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File" sheetId="1" r:id="rId4"/>
    <sheet state="visible" name="Sheet1" sheetId="2" r:id="rId5"/>
    <sheet state="visible" name="Company Validation" sheetId="3" r:id="rId6"/>
  </sheets>
  <definedNames>
    <definedName hidden="1" localSheetId="0" name="_xlnm._FilterDatabase">'Work File'!$A$1:$I$5438</definedName>
    <definedName hidden="1" localSheetId="1" name="_xlnm._FilterDatabase">Sheet1!$A$1:$F$6759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@sumogarhwal10@gmail.com 
PLS CARRY ON FROM HERE
	-Shanil Kothari</t>
      </text>
    </comment>
  </commentList>
</comments>
</file>

<file path=xl/sharedStrings.xml><?xml version="1.0" encoding="utf-8"?>
<sst xmlns="http://schemas.openxmlformats.org/spreadsheetml/2006/main" count="31161" uniqueCount="11249">
  <si>
    <t>Product Name</t>
  </si>
  <si>
    <t>Company Name</t>
  </si>
  <si>
    <t>Drug Name</t>
  </si>
  <si>
    <t>Form</t>
  </si>
  <si>
    <t>Pack Size</t>
  </si>
  <si>
    <t>Packing Type</t>
  </si>
  <si>
    <t>MRP</t>
  </si>
  <si>
    <t>Schedule</t>
  </si>
  <si>
    <t>Rate</t>
  </si>
  <si>
    <t>PROTHIADEN 25MG TAB</t>
  </si>
  <si>
    <t>ABBOTT (NEURO PSYCHIATRY)</t>
  </si>
  <si>
    <t>TABLET</t>
  </si>
  <si>
    <t>STRIP</t>
  </si>
  <si>
    <t>PROTHIADEN 50MG TAB</t>
  </si>
  <si>
    <t>PROTHIADEN 75MG TAB</t>
  </si>
  <si>
    <t>PROTHIADEN M 50MG TAB</t>
  </si>
  <si>
    <t>PROTHIADEN M TAB</t>
  </si>
  <si>
    <t>ZOLFRESH 10MG TAB</t>
  </si>
  <si>
    <t>ZOLFRESH 5MG TAB</t>
  </si>
  <si>
    <t>DIGENE FIZZ LEMON SACH.</t>
  </si>
  <si>
    <t>Abbott India Ltd (SPECIALITY)</t>
  </si>
  <si>
    <t>SACHET</t>
  </si>
  <si>
    <t>PACK</t>
  </si>
  <si>
    <t>DIGENE GEL (M) 450ML</t>
  </si>
  <si>
    <t>DIGENE GEL (MF) 170ML</t>
  </si>
  <si>
    <t>LIBRAX TAB</t>
  </si>
  <si>
    <t>OBIMET 500MG TAB</t>
  </si>
  <si>
    <t>OBIMET GX 1MG TAB</t>
  </si>
  <si>
    <t>OBIMET GX 2MG TAB</t>
  </si>
  <si>
    <t>OBIMET SR 1000MG TAB</t>
  </si>
  <si>
    <t>OBIMET SR 1GM TAB</t>
  </si>
  <si>
    <t>OBIMET SR 500MG TAB</t>
  </si>
  <si>
    <t>ROCKBON D 400 IU TAB</t>
  </si>
  <si>
    <t>ROCKBON KIT TAB</t>
  </si>
  <si>
    <t>ROCKBON TAB</t>
  </si>
  <si>
    <t>SURBEX FE CHEWABLE TAB</t>
  </si>
  <si>
    <t>SURBEX GOLD CAP</t>
  </si>
  <si>
    <t>CAPSULE</t>
  </si>
  <si>
    <t>THYROCAB 10MG TAB</t>
  </si>
  <si>
    <t>THYROCAL D3 TAB</t>
  </si>
  <si>
    <t>THYRONORM 100MCG TAB</t>
  </si>
  <si>
    <t>THYRONORM 112MCG TAB</t>
  </si>
  <si>
    <t>THYRONORM 125MCG TAB</t>
  </si>
  <si>
    <t>THYRONORM 12.5MG TAB</t>
  </si>
  <si>
    <t>THYRONORM 150MCG TAB</t>
  </si>
  <si>
    <t>THYRONORM 25MCG TAB</t>
  </si>
  <si>
    <t>THYRONORM 50MCG TAB</t>
  </si>
  <si>
    <t>THYRONORM 62.5MG TAB</t>
  </si>
  <si>
    <t>THYRONORM 75MCG TAB</t>
  </si>
  <si>
    <t>THYROWEL CAP</t>
  </si>
  <si>
    <t>NIVAQUINE P 250MG TAB</t>
  </si>
  <si>
    <t>ABBOTT INDIA LTD (OTC)</t>
  </si>
  <si>
    <t>OMNATAX O 200MG DT</t>
  </si>
  <si>
    <t>QUIK KOOL 10GM</t>
  </si>
  <si>
    <t>SARIDON TAB</t>
  </si>
  <si>
    <t>SENSODYNE TOOTH PASTE R.&amp;.P. 100GM</t>
  </si>
  <si>
    <t>SENSODYNE TOOTH PASTE R.&amp; P. 70GM</t>
  </si>
  <si>
    <t>ABVIDA M 50/500MG TAB</t>
  </si>
  <si>
    <t>ABBOTT (CRITICAL CARE)</t>
  </si>
  <si>
    <t>ACITROM 0.5MG TAB</t>
  </si>
  <si>
    <t>ACITROM 1MG TAB</t>
  </si>
  <si>
    <t>ACITROM 2MG TAB</t>
  </si>
  <si>
    <t>ACITROM 3MG TAB</t>
  </si>
  <si>
    <t>ACITROM 4MG TAB</t>
  </si>
  <si>
    <t>CAAT 10MG TAB</t>
  </si>
  <si>
    <t>CALAPTIN 120 SR TAB</t>
  </si>
  <si>
    <t>CALAPTIN 240 SR TAB</t>
  </si>
  <si>
    <t>CALAPTIN 40MG TAB</t>
  </si>
  <si>
    <t>CALAPTIN 80MG TAB</t>
  </si>
  <si>
    <t>CLARIBID 250 DS SYRUP 30ML</t>
  </si>
  <si>
    <t>DABLEXA 110MG CAP</t>
  </si>
  <si>
    <t>DABLEXA-75 TAB 1*10</t>
  </si>
  <si>
    <t>FINECEF 1GM INJ.</t>
  </si>
  <si>
    <t>INJECTION</t>
  </si>
  <si>
    <t>VIAL</t>
  </si>
  <si>
    <t>GLEDEPA 10MG TAB</t>
  </si>
  <si>
    <t>GLEDEPA 5MG TAB</t>
  </si>
  <si>
    <t>NICODUCE 5MG TAB</t>
  </si>
  <si>
    <t>NICODUCE OD 10MG TAB</t>
  </si>
  <si>
    <t>R-2 TRIO 10MG TAB</t>
  </si>
  <si>
    <t>R-2 TRIO 20MG TAB</t>
  </si>
  <si>
    <t>SORBITRATE HF TAB</t>
  </si>
  <si>
    <t>SORBITRATE INSTA</t>
  </si>
  <si>
    <t>STROMIX A 150MG CAP</t>
  </si>
  <si>
    <t>STROMIX A 75MG CAP</t>
  </si>
  <si>
    <t>STROMIX TAB</t>
  </si>
  <si>
    <t>TORESA 10MG TAB</t>
  </si>
  <si>
    <t>TORESA 5MG TAB</t>
  </si>
  <si>
    <t>XARB 150MG TAB</t>
  </si>
  <si>
    <t>XARB H TAB</t>
  </si>
  <si>
    <t>ACTIV 360 TAB</t>
  </si>
  <si>
    <t>ABBOTT (PRIMARY CARE)</t>
  </si>
  <si>
    <t>ACUVIN TAB</t>
  </si>
  <si>
    <t>AMICOLON 15 EMULSION 5ML</t>
  </si>
  <si>
    <t>AMICOLON CAP</t>
  </si>
  <si>
    <t>AVOMINE TAB</t>
  </si>
  <si>
    <t>BACTRIM DS TAB</t>
  </si>
  <si>
    <t>BACTRIM SYRUP 50ML</t>
  </si>
  <si>
    <t>BASITON FORTE TAB</t>
  </si>
  <si>
    <t>BETONIN AST SYP 200ML</t>
  </si>
  <si>
    <t>BILAZEST 20MG TAB</t>
  </si>
  <si>
    <t>BILAZEST M TAB</t>
  </si>
  <si>
    <t>BIOSUGANRIL 10MG TAB</t>
  </si>
  <si>
    <t>BIOSUGANRIL 20MG TAB</t>
  </si>
  <si>
    <t>BIOSUGANRIL 5MG TAB</t>
  </si>
  <si>
    <t>BIOZOBID PLUS TAB</t>
  </si>
  <si>
    <t>BIOZOBID TAB</t>
  </si>
  <si>
    <t>B STILL 16MG TAB</t>
  </si>
  <si>
    <t>B STILL 24MG TAB</t>
  </si>
  <si>
    <t>B STILL 8MG TAB</t>
  </si>
  <si>
    <t>CANDYCOP TOOTH PASTE 70GM</t>
  </si>
  <si>
    <t>CLARIBID 250MG TAB</t>
  </si>
  <si>
    <t>CLARIBID 500MG TAB</t>
  </si>
  <si>
    <t>CLARIBID GRANULES 21.15GM</t>
  </si>
  <si>
    <t>CONTRAMAL 100MG INJ. 1*2ML</t>
  </si>
  <si>
    <t>CONTRAMAL 50MG CAP</t>
  </si>
  <si>
    <t>CONTRAMAL 50MG INJ. 1*1ML</t>
  </si>
  <si>
    <t>CONTRAMAL DT TAB</t>
  </si>
  <si>
    <t>CONTRAMAL SR 100MG TAB</t>
  </si>
  <si>
    <t>CURENEXT CREAM 50GM</t>
  </si>
  <si>
    <t>DURAJOINT CAP</t>
  </si>
  <si>
    <t>DURAJOINTGM TAB</t>
  </si>
  <si>
    <t>DURAJOINT PLUS CAP</t>
  </si>
  <si>
    <t>EBILITY 10MG TAB</t>
  </si>
  <si>
    <t>ENLIVA CAP</t>
  </si>
  <si>
    <t>ESGIPYRIN-A TAB</t>
  </si>
  <si>
    <t>ESGIPYRIN INSTAGEL 30GM</t>
  </si>
  <si>
    <t>ESGIPYRIN INSTAGEL 50GM</t>
  </si>
  <si>
    <t>ESGIPYRIN SP TAB</t>
  </si>
  <si>
    <t>ESGIPYRIN TAB</t>
  </si>
  <si>
    <t>ESGIPYRIN TH TAB</t>
  </si>
  <si>
    <t>ESOGA RD CAP</t>
  </si>
  <si>
    <t>ESSENTIALE L CAP</t>
  </si>
  <si>
    <t>ETODY 120MG TAB</t>
  </si>
  <si>
    <t>ETODY 60MG TAB</t>
  </si>
  <si>
    <t>ETODY 90MG TAB</t>
  </si>
  <si>
    <t>ETODY-TH TAB</t>
  </si>
  <si>
    <t>FABOLITE POWDER 100GM</t>
  </si>
  <si>
    <t>FEBUSTAT 40MG TAB</t>
  </si>
  <si>
    <t>FEBUSTAT 80MG TAB</t>
  </si>
  <si>
    <t>FLAGYL 200MG TAB</t>
  </si>
  <si>
    <t>FLAGYL 400MG TAB</t>
  </si>
  <si>
    <t>FLAGYL SUSP 60ML</t>
  </si>
  <si>
    <t>GENTICYN 80MG INJ 2ML</t>
  </si>
  <si>
    <t>GENTICYN EYE DROP 5ML</t>
  </si>
  <si>
    <t>GENTICYN EYE DROPS 10ML</t>
  </si>
  <si>
    <t>GENTICYN HC DROPS 10ML</t>
  </si>
  <si>
    <t>HYDENT K PASTE 100GM</t>
  </si>
  <si>
    <t>HYDENT PRO TOOTH PASTE 70GM</t>
  </si>
  <si>
    <t>KENACORT 10MG INJ. 1ML</t>
  </si>
  <si>
    <t>KENACORT 40MG INJ 1ML</t>
  </si>
  <si>
    <t>KENACORT 4MG TAB</t>
  </si>
  <si>
    <t>KENACORT ORAL PASTE 5GM</t>
  </si>
  <si>
    <t>KETOF DT TAB</t>
  </si>
  <si>
    <t>KIDPRED SUSP 60ML</t>
  </si>
  <si>
    <t>LIMCEE 500MG CHEW TAB</t>
  </si>
  <si>
    <t>LIMCEE + TAB</t>
  </si>
  <si>
    <t>LOBATE AL GEL 20GM</t>
  </si>
  <si>
    <t>LOBATE DUSTING POWDER 100GM</t>
  </si>
  <si>
    <t>LOBATEGM NEO CREAM 15GM</t>
  </si>
  <si>
    <t>LOBATE GN CREAM 15GM</t>
  </si>
  <si>
    <t>LOBATE M SKIN CREAM 15GM</t>
  </si>
  <si>
    <t>LORSAID OD TAB</t>
  </si>
  <si>
    <t>LORSAID P 325MG TAB</t>
  </si>
  <si>
    <t>LORSAID P 8MG TAB</t>
  </si>
  <si>
    <t>LORSAID SD 4MG TAB</t>
  </si>
  <si>
    <t>LORSAID SD 8MG TAB</t>
  </si>
  <si>
    <t>LUNABET CREAM 20GM</t>
  </si>
  <si>
    <t>LUNABET LOTION 15ML</t>
  </si>
  <si>
    <t>MALIDENS DS SUSPENSION 60ML</t>
  </si>
  <si>
    <t>MALIDENS TAB</t>
  </si>
  <si>
    <t>MONTI FX TAB</t>
  </si>
  <si>
    <t>NEBASULF POWDER 10GM</t>
  </si>
  <si>
    <t>NEW DELETUS BX EXPT. 100ML</t>
  </si>
  <si>
    <t>NEW DELETUS P SYP 100ML</t>
  </si>
  <si>
    <t>NEW DELETUS TAB</t>
  </si>
  <si>
    <t>ORAHEX PLUS ORAL RINS 150ML</t>
  </si>
  <si>
    <t>PARAXIN 250MG CAP</t>
  </si>
  <si>
    <t>PARAXIN 500MG CAP</t>
  </si>
  <si>
    <t>PARAXIN DRAGEE 250MG TAB</t>
  </si>
  <si>
    <t>PENTIDS 200MG TAB</t>
  </si>
  <si>
    <t>PENTIDS 400MG TAB</t>
  </si>
  <si>
    <t>PENTIDS 800MG TAB</t>
  </si>
  <si>
    <t>PHENERGAN 10MG TAB</t>
  </si>
  <si>
    <t>PHENERGAN 25MG TAB</t>
  </si>
  <si>
    <t>PHENERGAN INJ 2ML</t>
  </si>
  <si>
    <t>PHENERGAN SYRUP 100ML</t>
  </si>
  <si>
    <t>PHENSEDYL BR SYRUP 100ML</t>
  </si>
  <si>
    <t>PHENSEDYL CR SYRUP 100ML</t>
  </si>
  <si>
    <t>PHENSEDYL-DMR SYRUP 100ML</t>
  </si>
  <si>
    <t>PHENSEDYL EX SYRUP 100ML</t>
  </si>
  <si>
    <t>PHENSEDYL LR SYRUP 100ML</t>
  </si>
  <si>
    <t>PHENSEDYL NEW COUGH LINC 100ML</t>
  </si>
  <si>
    <t>PHENSEDYL T SYRUP 100ML</t>
  </si>
  <si>
    <t>PREGAMET 75MG TAB</t>
  </si>
  <si>
    <t>PREGAMET SR TAB</t>
  </si>
  <si>
    <t>RANOGARD 500MG TAB</t>
  </si>
  <si>
    <t>RAPISONE DSR CAP</t>
  </si>
  <si>
    <t>RAPISONE SR CAP</t>
  </si>
  <si>
    <t>RASHFREE CREAM 20GM</t>
  </si>
  <si>
    <t>REJOINT TAB</t>
  </si>
  <si>
    <t>REJOINT-T TAB</t>
  </si>
  <si>
    <t>REJOINT UC TAB</t>
  </si>
  <si>
    <t>ROCALTROL CAP</t>
  </si>
  <si>
    <t>ROVAMYCIN FORTE TAB</t>
  </si>
  <si>
    <t>SAFEDICLO CAP</t>
  </si>
  <si>
    <t>SECNIL 1GM FORTE TAB</t>
  </si>
  <si>
    <t>SET GI CAP</t>
  </si>
  <si>
    <t>STEMETIL 1ML INJ</t>
  </si>
  <si>
    <t>STEMETIL MD TAB</t>
  </si>
  <si>
    <t>SUPRA PLUS TAB</t>
  </si>
  <si>
    <t>SURBEX NANO 60K ORAL SOLU. 5ML</t>
  </si>
  <si>
    <t>SURBEX NANO SPRAY 15ML</t>
  </si>
  <si>
    <t>SURBEX XT TAB</t>
  </si>
  <si>
    <t>TIXYLIX-D SYRUP 100ML</t>
  </si>
  <si>
    <t>TIXYLIX-LS SYP 100ML</t>
  </si>
  <si>
    <t>TIXYLIX NEW SYRUP 60ML</t>
  </si>
  <si>
    <t>TOOTHMIN PASTE 70GM</t>
  </si>
  <si>
    <t>TOSSEX DMR SYRUP 100ML</t>
  </si>
  <si>
    <t>TOSSEX SYRUP 100ML</t>
  </si>
  <si>
    <t>TOSSEX XP SYRUP 100ML</t>
  </si>
  <si>
    <t>TRESMOX LB D CAP</t>
  </si>
  <si>
    <t>VITAMIN A CHEWTAB</t>
  </si>
  <si>
    <t>ZIL-O TAB</t>
  </si>
  <si>
    <t>ZOBID D 50MG TAB</t>
  </si>
  <si>
    <t>ZOBID SR 100MG TAB</t>
  </si>
  <si>
    <t>ADEQUET 100MG TAB</t>
  </si>
  <si>
    <t>ADEQUET 25MG TAB</t>
  </si>
  <si>
    <t>ADEQUET 50MG TAB</t>
  </si>
  <si>
    <t>AMISANT 100MG TAB</t>
  </si>
  <si>
    <t>AMISANT 200MG TAB</t>
  </si>
  <si>
    <t>AMISANT 50MG TAB</t>
  </si>
  <si>
    <t>AMLUCK CREAM 10GM</t>
  </si>
  <si>
    <t>AMLUCK CREAM 30GM</t>
  </si>
  <si>
    <t>AZILTREND 40MG TAB</t>
  </si>
  <si>
    <t>AZILTREND 80MG TAB</t>
  </si>
  <si>
    <t>BENADON TAB</t>
  </si>
  <si>
    <t>BISOSAFE 2.5MG TAB</t>
  </si>
  <si>
    <t>BISOSAFE 5MG TAB</t>
  </si>
  <si>
    <t>CILADUO 10MG TAB</t>
  </si>
  <si>
    <t>CILADUO 5MG TAB</t>
  </si>
  <si>
    <t>CYTOGARD 20MG TAB</t>
  </si>
  <si>
    <t>CYTOGARD MR 35MG TAB</t>
  </si>
  <si>
    <t>CYTOGARD OD 60MG CAP</t>
  </si>
  <si>
    <t>DELOK 20MG CAP</t>
  </si>
  <si>
    <t>DELOK 30MG CAP</t>
  </si>
  <si>
    <t>DEPSONIL 25MG TAB</t>
  </si>
  <si>
    <t>DEPSONIL PM 75MG CAP</t>
  </si>
  <si>
    <t>DIABETROL SR TAB</t>
  </si>
  <si>
    <t>DIABETROL TAB</t>
  </si>
  <si>
    <t>DURAPAIN TAB</t>
  </si>
  <si>
    <t>ENACE 10MG TAB</t>
  </si>
  <si>
    <t>ENACE D 10MG TAB</t>
  </si>
  <si>
    <t>EPILEX CHRONO 200MG TAB</t>
  </si>
  <si>
    <t>EPILEX CHRONO 300MG TAB</t>
  </si>
  <si>
    <t>EPILEX CHRONO 500MG TAB</t>
  </si>
  <si>
    <t>EPILEX ORAL SUSP. 100ML</t>
  </si>
  <si>
    <t>EPILEX TAB</t>
  </si>
  <si>
    <t>FACE CARE TVAKSH 60GM</t>
  </si>
  <si>
    <t>FACECLIN AT CREAM 15GM</t>
  </si>
  <si>
    <t>FACECLIN GEL 20GM</t>
  </si>
  <si>
    <t>FAMTAC 40MG TAB</t>
  </si>
  <si>
    <t>FOLLISERUM 60ML</t>
  </si>
  <si>
    <t>FOOTPAL CREAM 100GM</t>
  </si>
  <si>
    <t>GARDENAL 30MG TAB</t>
  </si>
  <si>
    <t>GARDENAL 60MG TAB</t>
  </si>
  <si>
    <t>GARDENAL SYRUP 100ML</t>
  </si>
  <si>
    <t>GAROIN TAB</t>
  </si>
  <si>
    <t>GLIMER 1MG TAB</t>
  </si>
  <si>
    <t>GLIMER 2MG TAB</t>
  </si>
  <si>
    <t>GLIMER 3MG TAB</t>
  </si>
  <si>
    <t>GLUFORMIN 500MG TAB</t>
  </si>
  <si>
    <t>GLUFORMIN 850MG TAB</t>
  </si>
  <si>
    <t>GLUFORMIN G 1 FORTE NEW</t>
  </si>
  <si>
    <t>GLUFORMIN G 1 FORTE TAB</t>
  </si>
  <si>
    <t>GLUFORMIN G 1 TAB</t>
  </si>
  <si>
    <t>GLUFORMIN G 2 FORTE NEW</t>
  </si>
  <si>
    <t>GLUFORMIN G 2 FORTE TAB</t>
  </si>
  <si>
    <t>GLUFORMIN G 2 TAB</t>
  </si>
  <si>
    <t>GLUFORMIN I 0.5MG TAB</t>
  </si>
  <si>
    <t>GLUFORMIN I 1MG TAB</t>
  </si>
  <si>
    <t>GLUFORMIN XL 1000MG TAB</t>
  </si>
  <si>
    <t>GLUFORMIN XL 500MG TAB</t>
  </si>
  <si>
    <t>GTN SORBITRATE CR 2.6MG</t>
  </si>
  <si>
    <t>GTN SORBITRATE CR 6.4MG</t>
  </si>
  <si>
    <t>ISMO 10MG TAB</t>
  </si>
  <si>
    <t>ISMO 20MG TAB</t>
  </si>
  <si>
    <t>ISMO RETARD 40MG TAB</t>
  </si>
  <si>
    <t>I-TYZA 100MG CAP</t>
  </si>
  <si>
    <t>I-TYZA 200MG CAP</t>
  </si>
  <si>
    <t>I-TYZA CAP</t>
  </si>
  <si>
    <t>IVABID 5MG TAB</t>
  </si>
  <si>
    <t>LEVESAM 1GM TAB</t>
  </si>
  <si>
    <t>LEVESAM 250MG TAB</t>
  </si>
  <si>
    <t>LEVESAM 500MG TAB</t>
  </si>
  <si>
    <t>LEVESAM ORAL SOLUTION 100ML</t>
  </si>
  <si>
    <t>LIBRIUM 10MG TAB</t>
  </si>
  <si>
    <t>LIBRIUM 25MG TAB</t>
  </si>
  <si>
    <t>LOBATE SKIN CREAM 30GM</t>
  </si>
  <si>
    <t>LOBATE S OINTMENT 30GM</t>
  </si>
  <si>
    <t>OINTMENT</t>
  </si>
  <si>
    <t>30GM</t>
  </si>
  <si>
    <t>TUBE</t>
  </si>
  <si>
    <t>LOFATIN CREAM 10GM</t>
  </si>
  <si>
    <t>LOFATIN CREAM 30GM</t>
  </si>
  <si>
    <t>LOFATIN CREAM 50GM</t>
  </si>
  <si>
    <t>LURATREND 40MG TAB</t>
  </si>
  <si>
    <t>MADOPAR 250MG TAB</t>
  </si>
  <si>
    <t>MAZETOL 100MG TAB</t>
  </si>
  <si>
    <t>MAZETOL 200MG TAB</t>
  </si>
  <si>
    <t>MAZETOL 400MG TAB</t>
  </si>
  <si>
    <t>MAZETOL SR 200MG TAB</t>
  </si>
  <si>
    <t>MAZETOL SR 300MG TAB</t>
  </si>
  <si>
    <t>MAZETOL SR 400MG TAB</t>
  </si>
  <si>
    <t>MDD XR 100MG TAB</t>
  </si>
  <si>
    <t>MDD XR 50MG TAB</t>
  </si>
  <si>
    <t>MELAGARD 50+ LOTION 60ML</t>
  </si>
  <si>
    <t>MELAGARD LOTION 50ML</t>
  </si>
  <si>
    <t>MELAGLOW DAY CREAM 15GM</t>
  </si>
  <si>
    <t>MELAGLOW NEW CREAM $ 15GM</t>
  </si>
  <si>
    <t>MELAGLOW NEW CREAM 30GM</t>
  </si>
  <si>
    <t>MELAGLOW RICH CREAM 20GM</t>
  </si>
  <si>
    <t>MELALITE 15 CREAM 30GM</t>
  </si>
  <si>
    <t>MELALITE 15 CREAM 50GM</t>
  </si>
  <si>
    <t>MELALITE FORTE CREAM 30GM</t>
  </si>
  <si>
    <t>MELALITE XL CREAM 15GM</t>
  </si>
  <si>
    <t>MINICHEK F SPRAY 60ML</t>
  </si>
  <si>
    <t>MOXON 0.2MG TAB</t>
  </si>
  <si>
    <t>MOXON 0.3MG TAB</t>
  </si>
  <si>
    <t>MYSOLINE 250MG TAB</t>
  </si>
  <si>
    <t>NEO MERCAZOLE 10MG TAB</t>
  </si>
  <si>
    <t>NEO MERCAZOLE 20MG TAB</t>
  </si>
  <si>
    <t>NEO MERCAZOLE 5MG TAB</t>
  </si>
  <si>
    <t>NERVUP FORTE CAP</t>
  </si>
  <si>
    <t>NERVUP INJ. 1ML</t>
  </si>
  <si>
    <t>NERVUP OD CAP</t>
  </si>
  <si>
    <t>NERVUP PG CAP</t>
  </si>
  <si>
    <t>NEW FOLLIHAIR A TAB</t>
  </si>
  <si>
    <t>NEW FOLLIHAIR TAB $</t>
  </si>
  <si>
    <t>NEW FOLLIHAIR TAB</t>
  </si>
  <si>
    <t>NEW LYSUPRA SYRUP 200ML</t>
  </si>
  <si>
    <t>NUBETA 2.5MG TAB</t>
  </si>
  <si>
    <t>NUBETA 5MG TAB</t>
  </si>
  <si>
    <t>NUBETA H TAB</t>
  </si>
  <si>
    <t>NUBETA SM TAB</t>
  </si>
  <si>
    <t>OX MAZETOL 150MG TAB</t>
  </si>
  <si>
    <t>OX MAZETOL 300MG TAB</t>
  </si>
  <si>
    <t>OX MAZETOL 450MG TAB</t>
  </si>
  <si>
    <t>OX MAZETOL 600MG TAB</t>
  </si>
  <si>
    <t>OXMAZETOL ER 300MG TAB</t>
  </si>
  <si>
    <t>OXMAZETOL ER 600MG TAB</t>
  </si>
  <si>
    <t>PPG 0.2MG TAB</t>
  </si>
  <si>
    <t>PPG 0.3MG TAB</t>
  </si>
  <si>
    <t>PPG MD 0.2MG TAB</t>
  </si>
  <si>
    <t>PPG MD 0.3MG TAB</t>
  </si>
  <si>
    <t>PPG MET 0.2MG TAB</t>
  </si>
  <si>
    <t>PPG MET 0.3MG TAB</t>
  </si>
  <si>
    <t>PPG TRIO 1MG TAB</t>
  </si>
  <si>
    <t>PPG TRIO 2MG TAB</t>
  </si>
  <si>
    <t>PPG TRIO FORTE 1MG TAB</t>
  </si>
  <si>
    <t>PPG TRIO FORTE 2MG TAB</t>
  </si>
  <si>
    <t>PRELIPID CAP</t>
  </si>
  <si>
    <t>R-2 10MG TAB</t>
  </si>
  <si>
    <t>R-2 20MG TAB</t>
  </si>
  <si>
    <t>R-2 5MG TAB</t>
  </si>
  <si>
    <t>R-2 ASP 150MG CAP</t>
  </si>
  <si>
    <t>R-2 ASP 75MG CAP</t>
  </si>
  <si>
    <t>RIVOTRIL 0.25MG TAB</t>
  </si>
  <si>
    <t>RIVOTRIL 0.5MG TAB</t>
  </si>
  <si>
    <t>RIVOTRIL 2MG TAB</t>
  </si>
  <si>
    <t>SELSUN DAILY SHAMPOO 120ML</t>
  </si>
  <si>
    <t>SELSUN DAILY SHAMPOO 60ML</t>
  </si>
  <si>
    <t>SELSUN LOTION 120ML</t>
  </si>
  <si>
    <t>SELSUN LOTION 60ML</t>
  </si>
  <si>
    <t>SELSUN S SHAMPOO 120ML</t>
  </si>
  <si>
    <t>SELSUN S SHAMPOO 60ML</t>
  </si>
  <si>
    <t>SELSUN Z SHAMPOO 120ML</t>
  </si>
  <si>
    <t>SELSUN Z SHAMPOO 60ML</t>
  </si>
  <si>
    <t>SMETO CREAM 10GM</t>
  </si>
  <si>
    <t>SMETO CREAM 20GM</t>
  </si>
  <si>
    <t>SOLAZE 100MG TAB</t>
  </si>
  <si>
    <t>SORBITRATE 10MG TAB</t>
  </si>
  <si>
    <t>SORBITRATE 5MG TAB</t>
  </si>
  <si>
    <t>STATOR 10MG TAB</t>
  </si>
  <si>
    <t>STATOR 20MG TAB</t>
  </si>
  <si>
    <t>STATOR 40MG TAB</t>
  </si>
  <si>
    <t>STATOR ASP 150MG TAB</t>
  </si>
  <si>
    <t>STATOR ASP 75MG CAP</t>
  </si>
  <si>
    <t>STATOR CV TAB</t>
  </si>
  <si>
    <t>STATOR F TAB</t>
  </si>
  <si>
    <t>SUGANRIL TAB</t>
  </si>
  <si>
    <t>SUPERMET AM TAB</t>
  </si>
  <si>
    <t>SUPERMET H TAB</t>
  </si>
  <si>
    <t>SUPERMET XL 100MG TAB</t>
  </si>
  <si>
    <t>SUPERMET XL 25MG TAB</t>
  </si>
  <si>
    <t>SUPERMET XL 50MG TAB</t>
  </si>
  <si>
    <t>SURBEX STAR CAP</t>
  </si>
  <si>
    <t>S ZETALO 10MG TAB</t>
  </si>
  <si>
    <t>S ZETALO 20MG TAB</t>
  </si>
  <si>
    <t>S ZETALO 5MG TAB</t>
  </si>
  <si>
    <t>S ZETALO LS TAB</t>
  </si>
  <si>
    <t>S ZETALO PLUS 5MG TAB</t>
  </si>
  <si>
    <t>S ZETALO PLUS MD TAB</t>
  </si>
  <si>
    <t>S ZETALO PLUS TAB</t>
  </si>
  <si>
    <t>TELPRES 20MG TAB</t>
  </si>
  <si>
    <t>TELPRES 40MG TAB</t>
  </si>
  <si>
    <t>TELPRES 80MG TAB</t>
  </si>
  <si>
    <t>TELPRES AM 80MG TAB</t>
  </si>
  <si>
    <t>TELPRES AMH TAB</t>
  </si>
  <si>
    <t>TELPRES AM TAB</t>
  </si>
  <si>
    <t>TELPRES CT 40/12.5MG TAB</t>
  </si>
  <si>
    <t>TELPRES CT 40/6.25MG TAB</t>
  </si>
  <si>
    <t>TELPRES CT 80MG TAB</t>
  </si>
  <si>
    <t>TELPRES H 40MG TAB</t>
  </si>
  <si>
    <t>TELPRES H 80MG TAB</t>
  </si>
  <si>
    <t>TELPRES MT 25MG TAB</t>
  </si>
  <si>
    <t>TELPRES MT 50MG TAB</t>
  </si>
  <si>
    <t>TELPRES TRIO TAB</t>
  </si>
  <si>
    <t>TG GOAL 145MG TAB</t>
  </si>
  <si>
    <t>TRIBET 1MG TAB</t>
  </si>
  <si>
    <t>TRIBET 2MG TAB</t>
  </si>
  <si>
    <t>TRIBET FORTE 1MG TAB</t>
  </si>
  <si>
    <t>TRIBET FORTE 2MG TAB</t>
  </si>
  <si>
    <t>TRIBETROL 1MG TAB</t>
  </si>
  <si>
    <t>TRIBETROL 2MG TAB</t>
  </si>
  <si>
    <t>TRIBETROL FORTE 1MG TAB</t>
  </si>
  <si>
    <t>TRIBETROL FORTE 2MG TAB</t>
  </si>
  <si>
    <t>TRUSTYL BR SYRUP 100ML</t>
  </si>
  <si>
    <t>TRUSTYL BR SYRUP 60ML</t>
  </si>
  <si>
    <t>TUFACNE 10MG TAB</t>
  </si>
  <si>
    <t>TUFACNE 20MG CAP</t>
  </si>
  <si>
    <t>TVAKSH FACEGLOW 15GM</t>
  </si>
  <si>
    <t>TVAKSH FACE GUARD 30GM 30GM</t>
  </si>
  <si>
    <t>TVAKSH SOFT SKIN 75ML</t>
  </si>
  <si>
    <t>TYZA CREAM 15GM</t>
  </si>
  <si>
    <t>TYZA DP GEL 15GM</t>
  </si>
  <si>
    <t>TYZA DUSTING POWDER 50GM</t>
  </si>
  <si>
    <t>TYZA M CREAM 10GM</t>
  </si>
  <si>
    <t>TYZA TAB</t>
  </si>
  <si>
    <t>UVOX 100MG TAB</t>
  </si>
  <si>
    <t>UVOX 50MG TAB</t>
  </si>
  <si>
    <t>UVOX CR 100MG TAB</t>
  </si>
  <si>
    <t>VALANCE 125MG TAB</t>
  </si>
  <si>
    <t>VALANCE 250MG TAB</t>
  </si>
  <si>
    <t>VALANCE 500MG SOLUTION 100ML</t>
  </si>
  <si>
    <t>VALANCE 500MG SOLUTION 200ML</t>
  </si>
  <si>
    <t>VALANCE 500MG TAB</t>
  </si>
  <si>
    <t>VALANCE OD 1000MG TAB</t>
  </si>
  <si>
    <t>VALANCE OD 250MG TAB</t>
  </si>
  <si>
    <t>VALANCE OD 500MG TAB</t>
  </si>
  <si>
    <t>VALANCE OD 750MG TAB</t>
  </si>
  <si>
    <t>VALANCE SOLUTION 100ML</t>
  </si>
  <si>
    <t>VILAXEL 20MG TAB</t>
  </si>
  <si>
    <t>VILAXEL 40MG TAB</t>
  </si>
  <si>
    <t>WINBP 20MG TAB</t>
  </si>
  <si>
    <t>WINBP 40MG TAB</t>
  </si>
  <si>
    <t>WINBP AM 20MG TAB</t>
  </si>
  <si>
    <t>WIN BP CT 20/6.25MG TAB</t>
  </si>
  <si>
    <t>WIN BP CT 40/6.25MG TAB</t>
  </si>
  <si>
    <t>WINBP TRIO 20MG TAB</t>
  </si>
  <si>
    <t>XEVOR 10MG TAB</t>
  </si>
  <si>
    <t>XEVOR TAB</t>
  </si>
  <si>
    <t>ZEFORMIN XR 30MG TAB</t>
  </si>
  <si>
    <t>ZEFORMIN XR 60MG TAB</t>
  </si>
  <si>
    <t>ZOMELIS MET 50/1000MG TAB</t>
  </si>
  <si>
    <t>ZOMELIS MET 50/500MG TAB</t>
  </si>
  <si>
    <t>ZOMELIS TAB</t>
  </si>
  <si>
    <t>AMICOLON SB SACHET 1GM</t>
  </si>
  <si>
    <t>PIRAMAL (GENERAL MEDICINE)</t>
  </si>
  <si>
    <t>NIVAQUINE P SUSP 60ML</t>
  </si>
  <si>
    <t>SECNIL KIT 1KIT</t>
  </si>
  <si>
    <t>SUPRADYN TAB</t>
  </si>
  <si>
    <t>GABANEXT 75MG CAP</t>
  </si>
  <si>
    <t>ABBOTT (DIABETES)</t>
  </si>
  <si>
    <t>NERVUP ER TAB</t>
  </si>
  <si>
    <t>PIOZONE M 15MG TAB</t>
  </si>
  <si>
    <t>SEMI EUGLUCON TAB</t>
  </si>
  <si>
    <t>SEMI TRIBET 1MG TAB</t>
  </si>
  <si>
    <t>SEMI TRIBET 2MG TAB</t>
  </si>
  <si>
    <t>D3 UP SACHET 1GM</t>
  </si>
  <si>
    <t>PIRAMAL (S C METALIFE)</t>
  </si>
  <si>
    <t>LOT H 50MG TAB</t>
  </si>
  <si>
    <t>METGLAR 1MG TAB</t>
  </si>
  <si>
    <t>MONO SORBITRATE 10MG TAB</t>
  </si>
  <si>
    <t>MONO SORBITRATE 20MG TAB</t>
  </si>
  <si>
    <t>PIRAMAL (NEURO PSYCHIATRY)</t>
  </si>
  <si>
    <t>LURATREND 80MG TAB</t>
  </si>
  <si>
    <t>VALUE TAB</t>
  </si>
  <si>
    <t>USV (MULTI SPECIALITY)</t>
  </si>
  <si>
    <t>ROCKBON C SPRAY 3.7ML</t>
  </si>
  <si>
    <t>PIRAMAL (ORTHO)</t>
  </si>
  <si>
    <t>ROCKBON PTH 750MG INJ. 3ML</t>
  </si>
  <si>
    <t>ROCKBON PTH PEN DEVICE</t>
  </si>
  <si>
    <t>PEICE</t>
  </si>
  <si>
    <t>ROCKBON VITANULES SACHET 1GM</t>
  </si>
  <si>
    <t>SUPRACTIV CAP $</t>
  </si>
  <si>
    <t>BECOZYM C FORTE TAB</t>
  </si>
  <si>
    <t>PIRAMAL (ACUTE CARE)</t>
  </si>
  <si>
    <t>ZIMINIC 100MG TAB</t>
  </si>
  <si>
    <t>ZIMINIC 200MG TAB</t>
  </si>
  <si>
    <t>ZIMINIC 50MG TAB</t>
  </si>
  <si>
    <t>ZIMINIC O 100MG DT TAB</t>
  </si>
  <si>
    <t>ZIMINIC O 200MG TAB</t>
  </si>
  <si>
    <t>RESTECLIN 250MG CAP</t>
  </si>
  <si>
    <t>PIRAMAL (MULTI SPECIALITY)</t>
  </si>
  <si>
    <t>3 MIX CREAM 10GM</t>
  </si>
  <si>
    <t>PIRAMAL (MULTY THERAPY)</t>
  </si>
  <si>
    <t>NEW EXERGE TAB</t>
  </si>
  <si>
    <t>NIFEDINE 10MG TAB</t>
  </si>
  <si>
    <t>PIRAMAL (PAIN MANAGEMENT)</t>
  </si>
  <si>
    <t>NIFEDINE 5MG TAB</t>
  </si>
  <si>
    <t>NIFEDINE SR 20MG TAB</t>
  </si>
  <si>
    <t>AMBISTRYN S 0.75GM</t>
  </si>
  <si>
    <t>PIRAMAL (ENDURA)</t>
  </si>
  <si>
    <t>AMBISTRYN S 1GM</t>
  </si>
  <si>
    <t>CROTORAX CREAM 20GM</t>
  </si>
  <si>
    <t>CROTORAX HC CREAM 10GM</t>
  </si>
  <si>
    <t>CROTORAX LOTION 60ML</t>
  </si>
  <si>
    <t>HANSEPRAN 100MG CAP</t>
  </si>
  <si>
    <t>HANSEPRAN 50MG CAP</t>
  </si>
  <si>
    <t>MALIDENS SUSPENSION 60ML</t>
  </si>
  <si>
    <t>QUADRIDERM RF CREAM 10GM</t>
  </si>
  <si>
    <t>QUADRIDERM RF CREAM 5GM</t>
  </si>
  <si>
    <t>RESTECLIN 500MG CAP</t>
  </si>
  <si>
    <t>VALIUM 5MG TAB</t>
  </si>
  <si>
    <t>ALLOCIUM D3 TAB</t>
  </si>
  <si>
    <t>ALLOTROPE LIFE SCIENCES P LTD</t>
  </si>
  <si>
    <t>EARNAGE SYP 200ML</t>
  </si>
  <si>
    <t>EARNAGE TAB</t>
  </si>
  <si>
    <t>FLORATROP TAB</t>
  </si>
  <si>
    <t>IROTROP TAB</t>
  </si>
  <si>
    <t>SPINFIX TAB</t>
  </si>
  <si>
    <t>TROPCIUM TAB</t>
  </si>
  <si>
    <t>TROPIKAST L TAB</t>
  </si>
  <si>
    <t>AMLOSAFE 10MG TAB</t>
  </si>
  <si>
    <t>ARISTO (GENETICA)</t>
  </si>
  <si>
    <t>AMLOSAFE 2.5MG TAB</t>
  </si>
  <si>
    <t>AMLOSAFE 3D TAB</t>
  </si>
  <si>
    <t>AMLOSAFE 5MG TAB</t>
  </si>
  <si>
    <t>AMLOSAFE AT</t>
  </si>
  <si>
    <t>AMLOSAFE H TAB</t>
  </si>
  <si>
    <t>AMLOSAFE LS 2.5 2.5MG TA</t>
  </si>
  <si>
    <t>AMLOSAFE LS 5 5MG TAB</t>
  </si>
  <si>
    <t>AMLOSAFE MT 25MG TAB</t>
  </si>
  <si>
    <t>AMLOSAFE TM 40MG TAB</t>
  </si>
  <si>
    <t>AMLOSAFE TM 80MG TAB</t>
  </si>
  <si>
    <t>BIGOMET 1000MG SR TAB</t>
  </si>
  <si>
    <t>BIGOMET 500MG SR TAB</t>
  </si>
  <si>
    <t>BIGOMET 500MG TAB</t>
  </si>
  <si>
    <t>BIGOMET M TAB</t>
  </si>
  <si>
    <t>CHEXID RF TAB</t>
  </si>
  <si>
    <t>CLOFLOW 75MG TAB</t>
  </si>
  <si>
    <t>CLOFLOW PLUS 75/75MG CAP</t>
  </si>
  <si>
    <t>CROMOPLEX FORTE CAP</t>
  </si>
  <si>
    <t>DELISPRIN 75MG TAB</t>
  </si>
  <si>
    <t>ENOXAFLO 40MG INJ. 0.4ML</t>
  </si>
  <si>
    <t>ENOXAFLO 60MG INJ. 0.6ML</t>
  </si>
  <si>
    <t>FLODART PLUS CAP</t>
  </si>
  <si>
    <t>FLODART TAB</t>
  </si>
  <si>
    <t>FONDUM 0.5 INJECTION</t>
  </si>
  <si>
    <t>GABASAFE PLUS CAP</t>
  </si>
  <si>
    <t>GABASAFE PLUS SR 75MG TAB</t>
  </si>
  <si>
    <t>GLEZ 10MG TAB</t>
  </si>
  <si>
    <t>GLEZ 5MG TAB</t>
  </si>
  <si>
    <t>GLIMIPREX 1MG TAB</t>
  </si>
  <si>
    <t>GLIMIPREX 2MG TAB</t>
  </si>
  <si>
    <t>GLIMIPREX MF 1/500MG TAB</t>
  </si>
  <si>
    <t>GLIMIPREX MF 2/500MG TAB</t>
  </si>
  <si>
    <t>GLIMIPREX MF FORTE 1MG TAB</t>
  </si>
  <si>
    <t>GLIMIPREX MF FORTE 2MG TAB</t>
  </si>
  <si>
    <t>GLIPON 20/1000 MF FORTE TAB</t>
  </si>
  <si>
    <t>GLIPON 20/500 MF TAB</t>
  </si>
  <si>
    <t>GLIPON 20MG TAB</t>
  </si>
  <si>
    <t>GLUBOSE 50MG TAB</t>
  </si>
  <si>
    <t>MEGAGLIPTIN</t>
  </si>
  <si>
    <t>MEGAGLIPTIN TAB</t>
  </si>
  <si>
    <t>MEGANEURON CAP</t>
  </si>
  <si>
    <t>MEGANEURON FORTE INJ. 2ML</t>
  </si>
  <si>
    <t>MEGANEURON INJ.</t>
  </si>
  <si>
    <t>MEGANEURON NT 50MG TAB</t>
  </si>
  <si>
    <t>MEGANEURON NT 75MG TAB</t>
  </si>
  <si>
    <t>MEGANEURON OD PLUS CAP</t>
  </si>
  <si>
    <t>MEGANEURON PG CAP</t>
  </si>
  <si>
    <t>MEGAVOG 0.2MG TAB</t>
  </si>
  <si>
    <t>MEGAVOG 0.3MG TAB</t>
  </si>
  <si>
    <t>MEGAVOG MF 0.2/500MG TAB</t>
  </si>
  <si>
    <t>MEGAVOG MF 0.3/500MG TAB</t>
  </si>
  <si>
    <t>METAGLEZ FORTE TAB</t>
  </si>
  <si>
    <t>METAGLEZ TAB</t>
  </si>
  <si>
    <t>MYOPROL XL 25MG TAB</t>
  </si>
  <si>
    <t>MYOPROL XL 50MG TAB</t>
  </si>
  <si>
    <t>NEBI 2.5MG TAB</t>
  </si>
  <si>
    <t>NEBI 5MG TAB</t>
  </si>
  <si>
    <t>NEBI AM TAB</t>
  </si>
  <si>
    <t>NEBI H TAB</t>
  </si>
  <si>
    <t>OLMESAFE 20MG TAB</t>
  </si>
  <si>
    <t>OLMESAFE H 20/12.5MG TAB</t>
  </si>
  <si>
    <t>OMNICEF 0 50MG ORAL SUSP. 30ML</t>
  </si>
  <si>
    <t>OMNICEF AZ 200/250MG TAB</t>
  </si>
  <si>
    <t>OMNICEF O 100MG ORAL SUSP. 30ML</t>
  </si>
  <si>
    <t>ORFLAZ KIT 1KIT</t>
  </si>
  <si>
    <t>QCARD 100MG CAP</t>
  </si>
  <si>
    <t>S AMLOSAFE 2.5MG TAB</t>
  </si>
  <si>
    <t>S AMLOSAFE 5MG TAB</t>
  </si>
  <si>
    <t>S AMLOSAFE AT 2.5/50 TAB</t>
  </si>
  <si>
    <t>TORSID 10MG TAB</t>
  </si>
  <si>
    <t>TORSID 5MG TAB</t>
  </si>
  <si>
    <t>TORSID PLUS 10/50MG TAB</t>
  </si>
  <si>
    <t>TORSID PLUS 5/50MG TAB</t>
  </si>
  <si>
    <t>TRIGLIMIPREX 1MG TAB</t>
  </si>
  <si>
    <t>TRIGLIMIPREX 2MG TAB</t>
  </si>
  <si>
    <t>TRIMEGAVOG 1MG TAB</t>
  </si>
  <si>
    <t>TRIMEGAVOG 2MG TAB</t>
  </si>
  <si>
    <t>VASONEXT CAP</t>
  </si>
  <si>
    <t>ZILPRES 40MG TAB</t>
  </si>
  <si>
    <t>ZILPRES 80MG TAB</t>
  </si>
  <si>
    <t>ALFA OSTEBON CAP</t>
  </si>
  <si>
    <t>SUN PHARMA (AZURA)</t>
  </si>
  <si>
    <t>AMBRODIL-S SYP 100ML</t>
  </si>
  <si>
    <t>CLINGEN 3 VAGI.SUPP.</t>
  </si>
  <si>
    <t>SUPPOSITORY</t>
  </si>
  <si>
    <t>CLINGEN FORTE TAB</t>
  </si>
  <si>
    <t>CLINGEN VAGINAL SUPP.</t>
  </si>
  <si>
    <t>CLINGEN WASH 100ML</t>
  </si>
  <si>
    <t>FOLINEXT D 100MG CAP</t>
  </si>
  <si>
    <t>FOLINEXT GOLD TAB</t>
  </si>
  <si>
    <t>FOLINEXT TAB</t>
  </si>
  <si>
    <t>IMAX FORTE CAP</t>
  </si>
  <si>
    <t>IMAX S INJ. 5ML</t>
  </si>
  <si>
    <t>IMAX XT SUSPENSION 150ML</t>
  </si>
  <si>
    <t>IMAX XT TAB</t>
  </si>
  <si>
    <t>INTIMACY PLUS 2MG TAB @</t>
  </si>
  <si>
    <t>INTIMACY PLUS 3MG TAB</t>
  </si>
  <si>
    <t>LETPRO 2.5MG TAB</t>
  </si>
  <si>
    <t>MY PILL TAB @</t>
  </si>
  <si>
    <t>NEW IMAX FORTE CAP</t>
  </si>
  <si>
    <t>OFLER 200MG TAB</t>
  </si>
  <si>
    <t>OFLER OZ TAB</t>
  </si>
  <si>
    <t>OMNICEF O 200MG DT TAB</t>
  </si>
  <si>
    <t>OMNICEF O CV 200 TAB</t>
  </si>
  <si>
    <t>OMNICEF PLUS TAB</t>
  </si>
  <si>
    <t>OSTEBON PLUS TAB</t>
  </si>
  <si>
    <t>OSTEBON SUSPENSION 200ML</t>
  </si>
  <si>
    <t>PROFINE 200MG CAP</t>
  </si>
  <si>
    <t>PROTONE MOM POWDER 200GM</t>
  </si>
  <si>
    <t>PROTON MOM CHOCOALATE 200GM</t>
  </si>
  <si>
    <t>SUPER D3 2000 I.U.TAB</t>
  </si>
  <si>
    <t>SUPER D3 60000 I.U.TAB</t>
  </si>
  <si>
    <t>OESTROGEL TUBE 80GM</t>
  </si>
  <si>
    <t>Besins Healthcare India Pvt Ltd</t>
  </si>
  <si>
    <t>TRESGUARD HYG. 100ML</t>
  </si>
  <si>
    <t>UTROGESTAN 200MG TAB</t>
  </si>
  <si>
    <t>BIFERT F TAB</t>
  </si>
  <si>
    <t>BIOMI LIFE SCIENCES</t>
  </si>
  <si>
    <t>BIFERT M TAB</t>
  </si>
  <si>
    <t>BIO-9 FORTE SYRUP 200ML</t>
  </si>
  <si>
    <t>BIO-9 TAB</t>
  </si>
  <si>
    <t>BIOARG SACHETS 10GM</t>
  </si>
  <si>
    <t>BIO-HB TAB</t>
  </si>
  <si>
    <t>CYSTCURE TAB</t>
  </si>
  <si>
    <t>MICAL TAB</t>
  </si>
  <si>
    <t>NOTORCH TAB</t>
  </si>
  <si>
    <t>RZOLE TAB</t>
  </si>
  <si>
    <t>CRANFIT TAB</t>
  </si>
  <si>
    <t>CIPLA (UROLOGY)</t>
  </si>
  <si>
    <t>EMOCIP CREAM 50GM</t>
  </si>
  <si>
    <t>FINCAR TAB</t>
  </si>
  <si>
    <t>FLAVOCIP 200MG TAB</t>
  </si>
  <si>
    <t>FOSIROL POWDER 8GM</t>
  </si>
  <si>
    <t>ONCO-BCG 40MG INJ.</t>
  </si>
  <si>
    <t>PRUFLOX 600MG TAB</t>
  </si>
  <si>
    <t>STON 1 B6 SYP 200ML</t>
  </si>
  <si>
    <t>STON 1 B6 SYRUP 450ML</t>
  </si>
  <si>
    <t>STON 1 B6 TAB</t>
  </si>
  <si>
    <t>STON 1 ORAL SOLUTION 200ML</t>
  </si>
  <si>
    <t>STON 1 SYP 450ML</t>
  </si>
  <si>
    <t>TADAFLO 10MG TAB</t>
  </si>
  <si>
    <t>TADAFLO 20MG TAB</t>
  </si>
  <si>
    <t>TADAFLO 5MG TAB</t>
  </si>
  <si>
    <t>TEROL LA 2MG CAP</t>
  </si>
  <si>
    <t>TEROL LA 4MG CAP</t>
  </si>
  <si>
    <t>T-HIM INJECTION 4ML</t>
  </si>
  <si>
    <t>URIFAST 100MG CAP</t>
  </si>
  <si>
    <t>URIFAST CP 100MG CAP</t>
  </si>
  <si>
    <t>URIMAX 0.2MG CAP</t>
  </si>
  <si>
    <t>URIMAX 0.2MG TAB</t>
  </si>
  <si>
    <t>URIMAX 0.4MG CAP</t>
  </si>
  <si>
    <t>URIMAX 0.4MG TAB</t>
  </si>
  <si>
    <t>URIMAX D TAB</t>
  </si>
  <si>
    <t>URIMAX-DX TAB</t>
  </si>
  <si>
    <t>URIMAX F CAP</t>
  </si>
  <si>
    <t>VESIBETA 25MG TAB</t>
  </si>
  <si>
    <t>VESIBETA 50MG TAB</t>
  </si>
  <si>
    <t>VESIGARD 7.5MG TAB</t>
  </si>
  <si>
    <t>ADVENT 228.5MG TAB</t>
  </si>
  <si>
    <t>CIPLA (NURTURE)</t>
  </si>
  <si>
    <t>ADVENT DROP 91.4MG 10ML</t>
  </si>
  <si>
    <t>ADVENT DRY SYP 30ML</t>
  </si>
  <si>
    <t>ADVENT FORTE 457 SYRUP 60ML</t>
  </si>
  <si>
    <t>ADVENT FORTE SYP 30ML</t>
  </si>
  <si>
    <t>AZEE 100MG DRY SYP 15ML</t>
  </si>
  <si>
    <t>AZEE 100MG DT</t>
  </si>
  <si>
    <t>AZEE 100MG XL SYP 30ML</t>
  </si>
  <si>
    <t>AZEE 200MG DRY SYP 15ML</t>
  </si>
  <si>
    <t>AZEE 200MG XL SYRUP 30ML</t>
  </si>
  <si>
    <t>BILLARGIC 20MG TAB</t>
  </si>
  <si>
    <t>BILLARGIC ORAL SOLUTION 60ML</t>
  </si>
  <si>
    <t>BIOZORA SACHETS</t>
  </si>
  <si>
    <t>CEFOPROX 100MG DT TAB</t>
  </si>
  <si>
    <t>CEFOPROX 100 SUSPENSION 30ML</t>
  </si>
  <si>
    <t>CEFOPROX 50MG DT</t>
  </si>
  <si>
    <t>CEFOPROX 50 SUSPENSION 30ML</t>
  </si>
  <si>
    <t>EMESET SYRUP 30ML</t>
  </si>
  <si>
    <t>ESOMAC 10 GRANULES 3.2GM</t>
  </si>
  <si>
    <t>FEVAGO DROP 15ML</t>
  </si>
  <si>
    <t>FEVAGO DS SUSP. 60ML</t>
  </si>
  <si>
    <t>FEVAGO SUSPENSION 60ML</t>
  </si>
  <si>
    <t>JUNIOR CIPEG POWDER 121.1GM</t>
  </si>
  <si>
    <t>JUNIOR LANZOL 15MG TAB</t>
  </si>
  <si>
    <t>JUNIOR LANZOL 30MG TAB</t>
  </si>
  <si>
    <t>LEVOLIN PLUS JR. SYRUP 100ML</t>
  </si>
  <si>
    <t>LEVOLIN PLUS SYRUP 100ML</t>
  </si>
  <si>
    <t>LEVOLIN SYP 100ML</t>
  </si>
  <si>
    <t>MONTAIR 4MG TAB</t>
  </si>
  <si>
    <t>MONTAIR 5MG TAB</t>
  </si>
  <si>
    <t>MONTAIR DL TAB</t>
  </si>
  <si>
    <t>MONTAIR LC KID SYP 60ML</t>
  </si>
  <si>
    <t>MONTAIR LC KID TAB</t>
  </si>
  <si>
    <t>MONTAIR PLUS KID TAB</t>
  </si>
  <si>
    <t>MUPINASE CREAM 7.5GM</t>
  </si>
  <si>
    <t>MUPINASE OINTMENT 5GM</t>
  </si>
  <si>
    <t>5GM</t>
  </si>
  <si>
    <t>NEW NUTROLIN B PEDTAB</t>
  </si>
  <si>
    <t>NEW NUTROLIN B SYRUP 60ML</t>
  </si>
  <si>
    <t>PREDONE SYP 60ML</t>
  </si>
  <si>
    <t>SYNCLAR DRY SYP 30ML</t>
  </si>
  <si>
    <t>URIFAST SUSPENSION 200ML</t>
  </si>
  <si>
    <t>ZINCRIS SYP 60ML</t>
  </si>
  <si>
    <t>ZIPRAX 100MG DRY SYP 30ML</t>
  </si>
  <si>
    <t>ZIPRAX 50MG DRY SYP 30ML</t>
  </si>
  <si>
    <t>ZIPRAX 50MG DT TAB</t>
  </si>
  <si>
    <t>ZOFLUT CREAM 10GM</t>
  </si>
  <si>
    <t>CETAFRESH CLEANSING LOTION 200ML</t>
  </si>
  <si>
    <t>CIPLA (XTERNA)</t>
  </si>
  <si>
    <t>DEPEGNOL CREAM 15GM</t>
  </si>
  <si>
    <t>DIVAINE 50MG TAB</t>
  </si>
  <si>
    <t>EXCELA MAX MOISTURIZER 200GM</t>
  </si>
  <si>
    <t>EXCELA MAX MOISTURIZER 500GM</t>
  </si>
  <si>
    <t>EXCELA MOISTURIZER 50GM</t>
  </si>
  <si>
    <t>ISOTROIN 10MG TAB</t>
  </si>
  <si>
    <t>ISOTROIN 20MG CAP</t>
  </si>
  <si>
    <t>ISOTROIN 30MG TAB</t>
  </si>
  <si>
    <t>ISOTROIN 5MG TAB</t>
  </si>
  <si>
    <t>ITRALASE 100MG CAP</t>
  </si>
  <si>
    <t>ITRALASE 200MG CAP</t>
  </si>
  <si>
    <t>ITRANOX 100MG CAP</t>
  </si>
  <si>
    <t>LUDURA CREAM 10GM</t>
  </si>
  <si>
    <t>LUDURA CREAM 20GM</t>
  </si>
  <si>
    <t>LUDURA CREAM 50GM</t>
  </si>
  <si>
    <t>LUDURA LOTION 30ML</t>
  </si>
  <si>
    <t>LUMACIP CREAM 15GM</t>
  </si>
  <si>
    <t>LUMACIP PLUS CREAM 15GM</t>
  </si>
  <si>
    <t>OXIDOBEN GEL 15GM</t>
  </si>
  <si>
    <t>PAMORIA CREAM 30GM</t>
  </si>
  <si>
    <t>PAMORIA XL CREAM 50GM</t>
  </si>
  <si>
    <t>RIVELA GEL 60GM</t>
  </si>
  <si>
    <t>RIVELA LITE CREAM 60GM</t>
  </si>
  <si>
    <t>RIVELA SUNSCREEN LOTION 50ML</t>
  </si>
  <si>
    <t>RIVELA TINT SUNSCREEN LOTION 50ML</t>
  </si>
  <si>
    <t>SEBOWASH SHAMPOO $ 100ML</t>
  </si>
  <si>
    <t>TERBICIP CREAM 10GM</t>
  </si>
  <si>
    <t>TERBICIP SPRAY 30ML</t>
  </si>
  <si>
    <t>TERBICIP TAB</t>
  </si>
  <si>
    <t>TRANFIB 250MG TAB</t>
  </si>
  <si>
    <t>TRANFIB 500MG TAB</t>
  </si>
  <si>
    <t>VALCIVIR 1000MG TAB</t>
  </si>
  <si>
    <t>VALCIVIR 500MG TAB</t>
  </si>
  <si>
    <t>ZZZZZZ 6960</t>
  </si>
  <si>
    <t>TAZACT 1.125GM INJ.</t>
  </si>
  <si>
    <t>CIPLA (SUPRACARE)</t>
  </si>
  <si>
    <t>BUDECORT CR CAP</t>
  </si>
  <si>
    <t>CIPLA (HIV)</t>
  </si>
  <si>
    <t>DUOVIR N TAB</t>
  </si>
  <si>
    <t>DUOVIR TAB</t>
  </si>
  <si>
    <t>INNOMUNE 50MG TAB</t>
  </si>
  <si>
    <t>LAMIVIR 150MG TAB</t>
  </si>
  <si>
    <t>LOPIMUNE TAB</t>
  </si>
  <si>
    <t>NEVIMUNE TAB</t>
  </si>
  <si>
    <t>NEVIMUNE TAB 60</t>
  </si>
  <si>
    <t>SYNTHIVAN TABLETS</t>
  </si>
  <si>
    <t>TENVIR L TABLETS</t>
  </si>
  <si>
    <t>TRIOMUNE 30MG TAB</t>
  </si>
  <si>
    <t>VORITEK 200MG TAB</t>
  </si>
  <si>
    <t>ENTOFOAM *</t>
  </si>
  <si>
    <t>CIPLA (NON HIV)</t>
  </si>
  <si>
    <t>ESOMAC 20MG TAB</t>
  </si>
  <si>
    <t>ESOMAC 40MG TAB</t>
  </si>
  <si>
    <t>ESOMAC D 20MG CAP</t>
  </si>
  <si>
    <t>ESOMAC D 40MG CAP</t>
  </si>
  <si>
    <t>ESOMAC IV 40MG</t>
  </si>
  <si>
    <t>ESOMAC L CAP</t>
  </si>
  <si>
    <t>HEPTULAC FIBER ORAL SOLU. 200ML</t>
  </si>
  <si>
    <t>HEPTULAC FIBER SYRUP 100ML</t>
  </si>
  <si>
    <t>ITORAB CAP</t>
  </si>
  <si>
    <t>MESALO 800MG TAB</t>
  </si>
  <si>
    <t>MESALO FOAM 82GM</t>
  </si>
  <si>
    <t>MESALO OD TAB</t>
  </si>
  <si>
    <t>NUTRIMUNE TAB $</t>
  </si>
  <si>
    <t>PANSTAL CAP</t>
  </si>
  <si>
    <t>PANSTAL PLUS CAP</t>
  </si>
  <si>
    <t>PYLOKIT 1KIT</t>
  </si>
  <si>
    <t>PYLOKIT AC KIT COMBI 1KIT</t>
  </si>
  <si>
    <t>RIXMIN 200MG TAB</t>
  </si>
  <si>
    <t>RIXMIN 400MG TAB</t>
  </si>
  <si>
    <t>RIXMIN 550MG TAB</t>
  </si>
  <si>
    <t>ALFUSIN D TAB</t>
  </si>
  <si>
    <t>CIPLA (UROLOGY 2)</t>
  </si>
  <si>
    <t>ALFUSIN TAB</t>
  </si>
  <si>
    <t>CALUTIDE 50MG TAB</t>
  </si>
  <si>
    <t>CALUTIDE TAB CP</t>
  </si>
  <si>
    <t>CYTOMID 250MG TAB</t>
  </si>
  <si>
    <t>DUOFLO CAP</t>
  </si>
  <si>
    <t>DUPROST SOFT GELATIN CAP</t>
  </si>
  <si>
    <t>FOR-IC TAB</t>
  </si>
  <si>
    <t>OXYSPAS 2.5MG TAB</t>
  </si>
  <si>
    <t>OXYSPAS 5MG TAB</t>
  </si>
  <si>
    <t>SILOFAST 4MG CAP</t>
  </si>
  <si>
    <t>SILOFAST 8MG CAP</t>
  </si>
  <si>
    <t>SILOFAST 8MG TAB</t>
  </si>
  <si>
    <t>SILOFAST D4 CAP</t>
  </si>
  <si>
    <t>SILOFAST D8 CAP</t>
  </si>
  <si>
    <t>SOLIACT 10MG TAB</t>
  </si>
  <si>
    <t>SOLIACT 5MG TAB</t>
  </si>
  <si>
    <t>URIVOID TAB</t>
  </si>
  <si>
    <t>ADVENT 1.2GM INJ</t>
  </si>
  <si>
    <t>CIPLA (CRITICAL CARE)</t>
  </si>
  <si>
    <t>DALCINEX INJ.4ML 4ML</t>
  </si>
  <si>
    <t>FORCAN IV 100ML</t>
  </si>
  <si>
    <t>FORCAN PLUS INFUSION 200ML</t>
  </si>
  <si>
    <t>MERONIC 0.5GM INJ.</t>
  </si>
  <si>
    <t>MOXICIP IV 100ML</t>
  </si>
  <si>
    <t>PARACIP IV 100ML</t>
  </si>
  <si>
    <t>TAZACT 4.5GM INJ.</t>
  </si>
  <si>
    <t>VANLID INJ.</t>
  </si>
  <si>
    <t>METOLAR INJ. 5ML</t>
  </si>
  <si>
    <t>TICOCIN 400MG INJ.</t>
  </si>
  <si>
    <t>VIATRAN 1.5MG INJ.</t>
  </si>
  <si>
    <t>XYLISTIN INJ. 60MG</t>
  </si>
  <si>
    <t>ACTIVKIDS IMM.BOOSTERS(2+3)</t>
  </si>
  <si>
    <t>CIPLA (HEALTH)</t>
  </si>
  <si>
    <t>PCS</t>
  </si>
  <si>
    <t>ACTIVKIDS IMM.BOOSTERS (2+3) 7PCS</t>
  </si>
  <si>
    <t>ACTIVKIDS JR.UNOBIOTICS SACH.</t>
  </si>
  <si>
    <t>ACTIVSTART UNOBIOTICS SACH. 1GM</t>
  </si>
  <si>
    <t>BRAIN MAX SUSPENSION 150ML</t>
  </si>
  <si>
    <t>CIPHANDS 100ML</t>
  </si>
  <si>
    <t>CIPHANDS HAND SENITIZER 500ML</t>
  </si>
  <si>
    <t>CIPHANDS PROFESSION HANDRUB 500ML</t>
  </si>
  <si>
    <t>COFSILS COUGH DROPS 2.4GM</t>
  </si>
  <si>
    <t>COFSILS MEDICATED COUGH SYRUP 100ML</t>
  </si>
  <si>
    <t>IMMUNO BOOSTERS 4+6 YR.</t>
  </si>
  <si>
    <t>IMMUNO BOOSTERS 7+ YR.</t>
  </si>
  <si>
    <t>IMMUNO BOOSTERS 7 YR. 7PCS</t>
  </si>
  <si>
    <t>NICOGUM 2 SUGARFREE 10GUM</t>
  </si>
  <si>
    <t>NICOGUM 4 SUGARFREE 10GUM</t>
  </si>
  <si>
    <t>NICOTEX 2 CHEWING GUM (PAAN F</t>
  </si>
  <si>
    <t>GUM</t>
  </si>
  <si>
    <t>NICOTEX 2 CINNAMON FLAV.</t>
  </si>
  <si>
    <t>NICOTEX 2 FRUITY MINT</t>
  </si>
  <si>
    <t>NICOTEX 2MG TAB</t>
  </si>
  <si>
    <t>NICOTEX 2 MINT PLUS CHEWTAB</t>
  </si>
  <si>
    <t>NICOTEX 2 MINT TIN</t>
  </si>
  <si>
    <t>NICOTEX 4 CHEWING GUM (PAAN F</t>
  </si>
  <si>
    <t>NICOTEX 4 CINNAMON FLAV.</t>
  </si>
  <si>
    <t>NICOTEX 4 FRUITY MINT</t>
  </si>
  <si>
    <t>NICOTEX 4MG TAB</t>
  </si>
  <si>
    <t>NICOTEX 4 MINT PLUS CHEWTAB</t>
  </si>
  <si>
    <t>NICOTEX 4 MINT TIN</t>
  </si>
  <si>
    <t>UNOBIOTICS SB SACHETS</t>
  </si>
  <si>
    <t>9 PM EYE DROP 2.5ML</t>
  </si>
  <si>
    <t>CIPLA (FORESIGHT)</t>
  </si>
  <si>
    <t>AQUATEARS EYE DROP 10ML</t>
  </si>
  <si>
    <t>BRIMOCOM EYE DROP 5ML</t>
  </si>
  <si>
    <t>BRIMODIN EYE DROP 5ML</t>
  </si>
  <si>
    <t>FIT EYE TAB $</t>
  </si>
  <si>
    <t>FLOGEL EYE DROP 10ML</t>
  </si>
  <si>
    <t>GATIQUIN EYE DROP 5ML</t>
  </si>
  <si>
    <t>GATIQUIN HS EYE DROP 0.5ML</t>
  </si>
  <si>
    <t>GATIQUIN P EYE DROP 10ML</t>
  </si>
  <si>
    <t>LOTEFLAM EYE DROP 15ML</t>
  </si>
  <si>
    <t>LOWPROST EYE DROP 3ML</t>
  </si>
  <si>
    <t>MOXICIP KT EYE DROPS 5ML</t>
  </si>
  <si>
    <t>NATADROPS IP DROPS 5ML</t>
  </si>
  <si>
    <t>NEW FIT EYE TAB</t>
  </si>
  <si>
    <t>OCUGARD 500MG SOFTGEL</t>
  </si>
  <si>
    <t>OPTISTAT EYE DROPS 5ML</t>
  </si>
  <si>
    <t>OSMODROPS EYE DROP 10ML</t>
  </si>
  <si>
    <t>ACIVIR EYE OINTMENT 5GM</t>
  </si>
  <si>
    <t>ADDTEARS EYE DROP 10ML</t>
  </si>
  <si>
    <t>DORZOX EYE DROP 5ML</t>
  </si>
  <si>
    <t>DORZOX T EYE DROP 5ML</t>
  </si>
  <si>
    <t>FIT EYE PLUS CAP</t>
  </si>
  <si>
    <t>FLOGEL ULTRA EYE DROPS 10ML</t>
  </si>
  <si>
    <t>IMUDROP 0.5% DROP 0.5ML</t>
  </si>
  <si>
    <t>IMUDROPS DS SINGULES 0.5ML</t>
  </si>
  <si>
    <t>MOXICIP BR EYE DROP 5ML</t>
  </si>
  <si>
    <t>MOXICIP D DROP 5ML</t>
  </si>
  <si>
    <t>MOXICIP EYE DROP 5ML</t>
  </si>
  <si>
    <t>MOXICIP EYE OINT 5GM</t>
  </si>
  <si>
    <t>NEPCINAC EYE DROPS 5ML</t>
  </si>
  <si>
    <t>TOBAFLAM EYE DROP 5ML</t>
  </si>
  <si>
    <t>XOVATRA EYE DROP 2.5ML</t>
  </si>
  <si>
    <t>CIPLAR PLUS 10MG TAB</t>
  </si>
  <si>
    <t>CIPLA (IMPULSE)</t>
  </si>
  <si>
    <t>CIPLAR PLUS 5MG TAB</t>
  </si>
  <si>
    <t>LEVEPSY 1000MG TAB</t>
  </si>
  <si>
    <t>LEVEPSY 250MG TAB</t>
  </si>
  <si>
    <t>LEVEPSY 500MG TAB</t>
  </si>
  <si>
    <t>MIDACIP 1.25MG NASAL SPARY 16MD</t>
  </si>
  <si>
    <t>MIGARID 10MG TAB</t>
  </si>
  <si>
    <t>MIGARID 5MG TAB</t>
  </si>
  <si>
    <t>RISNIA FORTE TAB</t>
  </si>
  <si>
    <t>RISNIA MD 1MG TAB</t>
  </si>
  <si>
    <t>RISNIA MD 2MG TAB</t>
  </si>
  <si>
    <t>RISNIA MD 3MG TAB</t>
  </si>
  <si>
    <t>RISNIA MD 4MG TAB</t>
  </si>
  <si>
    <t>RISNIA PLUS TAB</t>
  </si>
  <si>
    <t>RISNIA SYRUP 60ML</t>
  </si>
  <si>
    <t>RIZACT 10MG TAB</t>
  </si>
  <si>
    <t>RIZACT 5MG TAB</t>
  </si>
  <si>
    <t>RIZACT MD 10MG TAB</t>
  </si>
  <si>
    <t>S CITADEP 10MG TAB</t>
  </si>
  <si>
    <t>S CITADEP 20MG TAB</t>
  </si>
  <si>
    <t>S CITADEP 5MG TAB</t>
  </si>
  <si>
    <t>S CITADEP FORTE TAB</t>
  </si>
  <si>
    <t>S CITADEP LS TAB</t>
  </si>
  <si>
    <t>S CITADEP PLUS TAB</t>
  </si>
  <si>
    <t>SCLEROGEM 120MG CAP 14CAP</t>
  </si>
  <si>
    <t>SCLEROGEM 240MG CAP 14CAP</t>
  </si>
  <si>
    <t>VENLOR XR 150MG CAP</t>
  </si>
  <si>
    <t>VENLOR XR 37.5MG CAP</t>
  </si>
  <si>
    <t>VENLOR XR 75MG CAP</t>
  </si>
  <si>
    <t>VERTIPRESS 8MG TAB</t>
  </si>
  <si>
    <t>VILAREST 20MG TAB</t>
  </si>
  <si>
    <t>VILAREST 40MG TAB</t>
  </si>
  <si>
    <t>ZELIP 10MG TAB</t>
  </si>
  <si>
    <t>ZELIP 5MG TAB</t>
  </si>
  <si>
    <t>ZOLMIST NASAL SPRAY 70MD</t>
  </si>
  <si>
    <t>AMANTRAL TAB</t>
  </si>
  <si>
    <t>AMANTREL CAP</t>
  </si>
  <si>
    <t>CIZOREST 100MG TAB</t>
  </si>
  <si>
    <t>CIZOREST 200MG TAB</t>
  </si>
  <si>
    <t>CIZOREST 50MG TAB</t>
  </si>
  <si>
    <t>CIZOREST OD 100MG TAB</t>
  </si>
  <si>
    <t>CIZOREST OD 200MG TAB</t>
  </si>
  <si>
    <t>CIZOREST OD 400MG TAB</t>
  </si>
  <si>
    <t>DONECEPT 10MG TAB</t>
  </si>
  <si>
    <t>DONECEPT 5MG TAB</t>
  </si>
  <si>
    <t>DONECEPT M FORTE TAB</t>
  </si>
  <si>
    <t>DONECEPT M TAB</t>
  </si>
  <si>
    <t>D VENLOR 100MG TAB</t>
  </si>
  <si>
    <t>D VENLOR 50MG TAB</t>
  </si>
  <si>
    <t>LACOPSY 100MG TAB</t>
  </si>
  <si>
    <t>LACOPSY 50MG TAB</t>
  </si>
  <si>
    <t>LAMETEC 100MG TAB</t>
  </si>
  <si>
    <t>LAMETEC 25MG DT</t>
  </si>
  <si>
    <t>LAMETEC 50MG DT</t>
  </si>
  <si>
    <t>LAMETEC KID TAB</t>
  </si>
  <si>
    <t>LAMETEC OD 100MG TAB</t>
  </si>
  <si>
    <t>LAMETEC OD 200MG TAB</t>
  </si>
  <si>
    <t>LAMETEC OD 50MG TAB</t>
  </si>
  <si>
    <t>NEURO GARDIAN TAB $</t>
  </si>
  <si>
    <t>NOVA 75MG CAP</t>
  </si>
  <si>
    <t>NOVA M 75MG CAP</t>
  </si>
  <si>
    <t>OXCARB 150MG TAB</t>
  </si>
  <si>
    <t>OXCARB 300MG TAB</t>
  </si>
  <si>
    <t>OXCARB 450MG TAB</t>
  </si>
  <si>
    <t>OXCARB 600MG TAB</t>
  </si>
  <si>
    <t>TABLURA 40MG TAB</t>
  </si>
  <si>
    <t>TABLURA 80MG TAB</t>
  </si>
  <si>
    <t>VALTEC CR 200MG TAB</t>
  </si>
  <si>
    <t>VALTEC CR 300MG TAB</t>
  </si>
  <si>
    <t>VALTEC CR 500MG TAB</t>
  </si>
  <si>
    <t>PREDONE FORTE SYP 60ML</t>
  </si>
  <si>
    <t>CIPLA (LUCENTA)</t>
  </si>
  <si>
    <t>ENTAVIR 0.5MG TAB</t>
  </si>
  <si>
    <t>CIPLA (HEPATOLOGY)</t>
  </si>
  <si>
    <t>LAMIVIR HBV TAB</t>
  </si>
  <si>
    <t>TENVIR TAB</t>
  </si>
  <si>
    <t>ADVENT 300MG INJ</t>
  </si>
  <si>
    <t>ADVENT 600MG INJ</t>
  </si>
  <si>
    <t>LINOSPAN INFUSION 100ML 100ML</t>
  </si>
  <si>
    <t>MIDACIP NASAL SPRAY 5ML</t>
  </si>
  <si>
    <t>NETSPAN 10MG INJ. 1ML</t>
  </si>
  <si>
    <t>VANLID 250MG INJ.</t>
  </si>
  <si>
    <t>ACIVIR 200MG DT</t>
  </si>
  <si>
    <t>CIPLA (CRESTA)</t>
  </si>
  <si>
    <t>ACIVIR 400MG DT</t>
  </si>
  <si>
    <t>ACIVIR 800MG DT</t>
  </si>
  <si>
    <t>ACIVIR CREAM 10GM</t>
  </si>
  <si>
    <t>ACIVIR CREAM 5GM</t>
  </si>
  <si>
    <t>ALZIVIT TAB</t>
  </si>
  <si>
    <t>ASTHALIN 2MG TAB</t>
  </si>
  <si>
    <t>ASTHALIN 4MG TAB</t>
  </si>
  <si>
    <t>ASTHALIN AX JR. SYRUP 100ML</t>
  </si>
  <si>
    <t>ASTHALIN AX SYRUP 100ML</t>
  </si>
  <si>
    <t>ASTHALIN DX SYRUP 100ML</t>
  </si>
  <si>
    <t>ASTHALIN EXPT. 100ML</t>
  </si>
  <si>
    <t>ASTHALIN PLUS EXPT. 100ML</t>
  </si>
  <si>
    <t>ASTHALIN SYP 100ML</t>
  </si>
  <si>
    <t>BILAFAV 20MG TAB</t>
  </si>
  <si>
    <t>BILAFAV ORAL SOLUTION 60ML</t>
  </si>
  <si>
    <t>CIPLACTIN TAB</t>
  </si>
  <si>
    <t>DEXLANZOL 30MG CAP</t>
  </si>
  <si>
    <t>DEXLANZOL 60MG CAP</t>
  </si>
  <si>
    <t>FORCAN 150MG TAB</t>
  </si>
  <si>
    <t>FORCAN 200MG TAB</t>
  </si>
  <si>
    <t>FORCAN 50MG TAB</t>
  </si>
  <si>
    <t>IBUGESIC PLUS SYP 60ML</t>
  </si>
  <si>
    <t>IBUGESIC PLUS SYRUP 100ML</t>
  </si>
  <si>
    <t>IBUGESIC PLUS TAB</t>
  </si>
  <si>
    <t>IBUGESIC SUSPENSION 100ML</t>
  </si>
  <si>
    <t>ITRANOX 200MG CAP</t>
  </si>
  <si>
    <t>CAPSLUE</t>
  </si>
  <si>
    <t>ITRANOX CAP</t>
  </si>
  <si>
    <t>JUNIOR RANICIZ SYRUP 100ML</t>
  </si>
  <si>
    <t>LEVOLIN 1MG TAB</t>
  </si>
  <si>
    <t>LEVOLIN 2MG TAB</t>
  </si>
  <si>
    <t>LUMET 80MG TAB</t>
  </si>
  <si>
    <t>NOVAMOX 250MG REDIUSE 60ML</t>
  </si>
  <si>
    <t>OFLOX 100MG REDIUSE SYP 60ML</t>
  </si>
  <si>
    <t>OFLOX 100MG TAB</t>
  </si>
  <si>
    <t>OFLOX 200MG TAB</t>
  </si>
  <si>
    <t>OFLOX 400MG TAB</t>
  </si>
  <si>
    <t>OFLOX 50MG REDIUSE SUSP. 60ML</t>
  </si>
  <si>
    <t>OFLOX D EYE DROP 10ML</t>
  </si>
  <si>
    <t>OFLOX EYE DROP 5ML</t>
  </si>
  <si>
    <t>OFLOX INFUSION 100ML</t>
  </si>
  <si>
    <t>OFLOX OZ INFUSION 100ML</t>
  </si>
  <si>
    <t>OFLOX OZ TAB</t>
  </si>
  <si>
    <t>OFLOX TZ TAB</t>
  </si>
  <si>
    <t>OMNIX 100MG DRY SYP 30ML</t>
  </si>
  <si>
    <t>OMNIX 100MG TAB</t>
  </si>
  <si>
    <t>OMNIX 200MG TAB</t>
  </si>
  <si>
    <t>OMNIX 50MG DRY SYP 50ML</t>
  </si>
  <si>
    <t>OMNIX 50MG DT TAB</t>
  </si>
  <si>
    <t>OMNIX CV 200MG TAB</t>
  </si>
  <si>
    <t>OMNIX O TAB</t>
  </si>
  <si>
    <t>PREDONE 10MG TAB</t>
  </si>
  <si>
    <t>PREDONE 5MG TAB</t>
  </si>
  <si>
    <t>QINARSOL 300MG TAB</t>
  </si>
  <si>
    <t>QINARSOL INJ. 2ML</t>
  </si>
  <si>
    <t>RESTYL 0.25MG TAB</t>
  </si>
  <si>
    <t>RESTYL 0.5MG TAB</t>
  </si>
  <si>
    <t>RID-AR KID SYRUP 30ML</t>
  </si>
  <si>
    <t>RID-AR KID TAB</t>
  </si>
  <si>
    <t>RID-AR TAB</t>
  </si>
  <si>
    <t>STRAFOS CREAM 15GM</t>
  </si>
  <si>
    <t>THEO ASTHALIN FORTE TAB</t>
  </si>
  <si>
    <t>THEO ASTHALIN NEW SYP 100ML</t>
  </si>
  <si>
    <t>THEO ASTHALIN SR TAB</t>
  </si>
  <si>
    <t>THEO ASTHALIN TAB</t>
  </si>
  <si>
    <t>VITOMIN D3 60K TAB</t>
  </si>
  <si>
    <t>VITOMIN D3 DROP 30ML</t>
  </si>
  <si>
    <t>VITOMIN D3 GRANULES 1GM</t>
  </si>
  <si>
    <t>VITOMIN Z DROP 15ML</t>
  </si>
  <si>
    <t>VITOMIN Z SYRUP 200ML</t>
  </si>
  <si>
    <t>VITOMIN Z TAB</t>
  </si>
  <si>
    <t>XYMOS 90MG SOAP 90GM</t>
  </si>
  <si>
    <t>AZEE 250MG TAB</t>
  </si>
  <si>
    <t>CIPLA (INSPIRA)</t>
  </si>
  <si>
    <t>AZEE 500MG INJ. 50ML</t>
  </si>
  <si>
    <t>AZEE 500MG TAB</t>
  </si>
  <si>
    <t>FAROBACT 200MG TAB</t>
  </si>
  <si>
    <t>FEXIGRA 120MG TAB</t>
  </si>
  <si>
    <t>FEXIGRA 180MG TAB</t>
  </si>
  <si>
    <t>LACSYP SYRUP 100ML</t>
  </si>
  <si>
    <t>LACSYP SYRUP 200ML</t>
  </si>
  <si>
    <t>LEVOFLOX 250MG TAB</t>
  </si>
  <si>
    <t>LEVOFLOX 500MG TAB</t>
  </si>
  <si>
    <t>LEVOFLOX 750MG TAB</t>
  </si>
  <si>
    <t>LEVOFLOX IV 100ML</t>
  </si>
  <si>
    <t>MONTAIR FX TAB</t>
  </si>
  <si>
    <t>MONTAIR PLUS TAB</t>
  </si>
  <si>
    <t>MOXIFLOX TAB</t>
  </si>
  <si>
    <t>MUCOPHYLINE CAP</t>
  </si>
  <si>
    <t>NEW NUTROLIN B PLUS CAP</t>
  </si>
  <si>
    <t>OMNIM XT TAB</t>
  </si>
  <si>
    <t>PRUCAPLA 1MG TAB</t>
  </si>
  <si>
    <t>PRUCAPLA 2MG TAB</t>
  </si>
  <si>
    <t>RABICIP 20MG TAB</t>
  </si>
  <si>
    <t>RABICIP D CAP</t>
  </si>
  <si>
    <t>RABICIP IV 2.5ML</t>
  </si>
  <si>
    <t>RABICIP L CAP</t>
  </si>
  <si>
    <t>ALERID D TAB</t>
  </si>
  <si>
    <t>CIPLA (OPTIMUS)</t>
  </si>
  <si>
    <t>ALERID SYP 30ML.</t>
  </si>
  <si>
    <t>ALERID SYP 60ML</t>
  </si>
  <si>
    <t>ALERID TAB</t>
  </si>
  <si>
    <t>CEFOPROX 200MG TAB</t>
  </si>
  <si>
    <t>CEFOPROX CV 100MG DRY SYP 30ML</t>
  </si>
  <si>
    <t>CEFOPROX CV 50MG DRY SYP 30ML</t>
  </si>
  <si>
    <t>CIPLACTIN PLUS SYRUP 200ML</t>
  </si>
  <si>
    <t>CIPLACTIN SYRUP 200ML</t>
  </si>
  <si>
    <t>CIPLOX 250MG TAB</t>
  </si>
  <si>
    <t>CIPLOX 500MG TAB</t>
  </si>
  <si>
    <t>CIPLOX D EYE DROP 10ML</t>
  </si>
  <si>
    <t>CIPLOX E/E DROPS 10ML</t>
  </si>
  <si>
    <t>CIPLOX TZ TAB</t>
  </si>
  <si>
    <t>DOMCET SUSPN. 30ML</t>
  </si>
  <si>
    <t>DOMCET TAB</t>
  </si>
  <si>
    <t>NORFLOX 200MG TAB</t>
  </si>
  <si>
    <t>NORFLOX 400MG TAB</t>
  </si>
  <si>
    <t>NORFLOX E/E DROP 10ML</t>
  </si>
  <si>
    <t>NORFLOX TZ TAB</t>
  </si>
  <si>
    <t>MEBEX SYP 30ML</t>
  </si>
  <si>
    <t>CIPLA SPECTRACARE</t>
  </si>
  <si>
    <t>MEBEX TAB</t>
  </si>
  <si>
    <t>NICOTINE 2 POLACRILAX GUM</t>
  </si>
  <si>
    <t>NICOTINE 4 POLACRILEX GUM</t>
  </si>
  <si>
    <t>PRESOLAR CAP</t>
  </si>
  <si>
    <t>TRIVEDON 20MG TAB</t>
  </si>
  <si>
    <t>CADRESS OINTMENT 10GM</t>
  </si>
  <si>
    <t>CIPLA (ZESTA)</t>
  </si>
  <si>
    <t>10GM</t>
  </si>
  <si>
    <t>CIPHANDS EXPERT HAND SANITIZ 150ML</t>
  </si>
  <si>
    <t>CIPHANDS EXPERT HAND SENITIZE 500ML</t>
  </si>
  <si>
    <t>EMESET 4MG TAB</t>
  </si>
  <si>
    <t>EMESET 4 ODT TAB</t>
  </si>
  <si>
    <t>EMESET INJ. 2ML</t>
  </si>
  <si>
    <t>EMESET INJ. 4ML</t>
  </si>
  <si>
    <t>EMESET MD 4MG TAB</t>
  </si>
  <si>
    <t>FEXIGRA SUSPENSION 100ML</t>
  </si>
  <si>
    <t>IBUGESIC AP TAB</t>
  </si>
  <si>
    <t>IBUGESIC ASP TAB</t>
  </si>
  <si>
    <t>IBUGESIC NANO GEL 30GM</t>
  </si>
  <si>
    <t>LINOSPAN 600MG TAB</t>
  </si>
  <si>
    <t>LINOSPAN INFUSION 300ML 300ML</t>
  </si>
  <si>
    <t>NOVACEF 1.5GM INJ. 20ML</t>
  </si>
  <si>
    <t>NOVACEF 250MG TAB</t>
  </si>
  <si>
    <t>NOVACEF 500MG TAB</t>
  </si>
  <si>
    <t>NOVACEF 750MG INJ. 15ML</t>
  </si>
  <si>
    <t>NOVACLOX 500MG INJ. 5ML</t>
  </si>
  <si>
    <t>NOVACLOX CAP</t>
  </si>
  <si>
    <t>NOVACLOX PED TAB</t>
  </si>
  <si>
    <t>NOVAMOX 125MG DT</t>
  </si>
  <si>
    <t>NOVAMOX 125MG REDIUSE 60ML</t>
  </si>
  <si>
    <t>NOVAMOX 125MG REDIUSE S 30ML</t>
  </si>
  <si>
    <t>NOVAMOX 250MG CAP</t>
  </si>
  <si>
    <t>NOVAMOX 250MG DT</t>
  </si>
  <si>
    <t>NOVAMOX 250MG REDIUSE 30ML</t>
  </si>
  <si>
    <t>NOVAMOX 500MG CAP</t>
  </si>
  <si>
    <t>NOVAMOX 500MG LB CAP</t>
  </si>
  <si>
    <t>NOVAMOX CV 1.2GM INJ. 20ML</t>
  </si>
  <si>
    <t>NOVAMOX CV 228.5MG TAB</t>
  </si>
  <si>
    <t>NOVAMOX CV 375MG TAB</t>
  </si>
  <si>
    <t>NOVAMOX CV 625MG TAB</t>
  </si>
  <si>
    <t>NOVAMOX CV DROP 10ML</t>
  </si>
  <si>
    <t>NOVAMOX CV DRY SYP 30ML</t>
  </si>
  <si>
    <t>NOVAMOX CV FORTE SYP 30ML</t>
  </si>
  <si>
    <t>NOVAMOX CV FORTE SYP 60ML</t>
  </si>
  <si>
    <t>NOVAMOX DROP 10ML</t>
  </si>
  <si>
    <t>NOVAMOX REDIUSE DROP 10ML</t>
  </si>
  <si>
    <t>OMNICAL 500MG TAB</t>
  </si>
  <si>
    <t>OMNIKACIN 100MG INJ. 2ML</t>
  </si>
  <si>
    <t>OMNIKACIN 250MG INJ. 2ML</t>
  </si>
  <si>
    <t>OMNIKACIN 500MG INJ. 2ML</t>
  </si>
  <si>
    <t>PAINIL PLUS TAB</t>
  </si>
  <si>
    <t>PAINIL SP TAB</t>
  </si>
  <si>
    <t>PAINIL TAB</t>
  </si>
  <si>
    <t>PANSEC 40MG IV</t>
  </si>
  <si>
    <t>PANSEC DSR CAP</t>
  </si>
  <si>
    <t>PANSEC L CAPSULES</t>
  </si>
  <si>
    <t>PANSEC TAB</t>
  </si>
  <si>
    <t>PARAFAST 10MG IV 10ML</t>
  </si>
  <si>
    <t>PEGURA POWDER 121.11GM</t>
  </si>
  <si>
    <t>PEGURA SACHETS 17GM</t>
  </si>
  <si>
    <t>SILVERCURE NANOGEL 20GM</t>
  </si>
  <si>
    <t>SILVERCURE NANOGEL 50GM</t>
  </si>
  <si>
    <t>TORODENT DT TAB</t>
  </si>
  <si>
    <t>ZIPRAX 100MG DT</t>
  </si>
  <si>
    <t>ZIPRAX 200MG DT</t>
  </si>
  <si>
    <t>ASSURANS TAB</t>
  </si>
  <si>
    <t>CIPLA (PH CARE)</t>
  </si>
  <si>
    <t>BOSENTAS 125MG TAB</t>
  </si>
  <si>
    <t>BOSENTAS 62.5MG TAB</t>
  </si>
  <si>
    <t>PIRFENEX 400MG TAB</t>
  </si>
  <si>
    <t>PIRFENEX TAB</t>
  </si>
  <si>
    <t>PULMOPRES TAB</t>
  </si>
  <si>
    <t>ADVENT 625MG TAB</t>
  </si>
  <si>
    <t>CIPLA (RESPIRATORY)</t>
  </si>
  <si>
    <t>ANTIFLU CAP</t>
  </si>
  <si>
    <t>DUONASE NASAL SPRAY 70MD</t>
  </si>
  <si>
    <t>FLOMIST NASAL SPRAY 100MD</t>
  </si>
  <si>
    <t>FURAMIST AZ NASAL SPRAY 70MD</t>
  </si>
  <si>
    <t>FURAMIST NASAL SPRAY 200MD</t>
  </si>
  <si>
    <t>LEVORID D TAB</t>
  </si>
  <si>
    <t>LEVORID TAB</t>
  </si>
  <si>
    <t>METASPRAY 100MD NASAL SPR 120MD</t>
  </si>
  <si>
    <t>NASOWASH SACHET 7.8GM</t>
  </si>
  <si>
    <t>NASOWASH STARTER KIT 10*7.8GM</t>
  </si>
  <si>
    <t>PULMIGEN TAB</t>
  </si>
  <si>
    <t>RAPID RHINO NASAL</t>
  </si>
  <si>
    <t>BECLATE 200MG INHALER 200MD</t>
  </si>
  <si>
    <t>BECLATE 200MG ROTACAP</t>
  </si>
  <si>
    <t>BECLATE 400MG ROTACAP</t>
  </si>
  <si>
    <t>BUDECORT 100MG ROTACAP</t>
  </si>
  <si>
    <t>BUDECORT 200MG ROTACAP</t>
  </si>
  <si>
    <t>BUDECORT 400MG ROTACAP</t>
  </si>
  <si>
    <t>BUDENASE AQ 150MD</t>
  </si>
  <si>
    <t>IPRAVENT ROTACAP</t>
  </si>
  <si>
    <t>SEROBID INHALER 200MD</t>
  </si>
  <si>
    <t>SEROBID ROTACAP</t>
  </si>
  <si>
    <t>DUOVA INHALER 120MD</t>
  </si>
  <si>
    <t>DUOVA ROTACAP</t>
  </si>
  <si>
    <t>GLYCOHALE F CAP</t>
  </si>
  <si>
    <t>LEVOLIN INHALER 200MD</t>
  </si>
  <si>
    <t>LEVOLIN ROTACAP</t>
  </si>
  <si>
    <t>MAXIFLO 100MG ROTACAP</t>
  </si>
  <si>
    <t>MAXIFLO 125 INHALER 120MD</t>
  </si>
  <si>
    <t>MAXIFLO 250 INHALER 120MD</t>
  </si>
  <si>
    <t>MAXIFLO 250MG ROTACAP</t>
  </si>
  <si>
    <t>MAXIFLO FORTE ROTACAP</t>
  </si>
  <si>
    <t>MINI ZEROSTAT SPACER</t>
  </si>
  <si>
    <t>MUCINAC 200MG TAB</t>
  </si>
  <si>
    <t>MUCINAC 600MG TAB</t>
  </si>
  <si>
    <t>MUCINAC AB TAB</t>
  </si>
  <si>
    <t>NEW REVOLIZER</t>
  </si>
  <si>
    <t>NISTAMI</t>
  </si>
  <si>
    <t>NUTRIMUNE PLUS POWDER 200GM</t>
  </si>
  <si>
    <t>ROFLAIR TAB</t>
  </si>
  <si>
    <t>SEROFLO 100MG ROTACAP</t>
  </si>
  <si>
    <t>SEROFLO 125 ECOPACK INHALER 200MD</t>
  </si>
  <si>
    <t>SEROFLO 125MG INHALER 120MD</t>
  </si>
  <si>
    <t>SEROFLO 125 SYNCHROBREATHE IN 120MD</t>
  </si>
  <si>
    <t>SEROFLO 250 ECOPACK INHALER 200MD</t>
  </si>
  <si>
    <t>SEROFLO 250MG INHALER 120MD</t>
  </si>
  <si>
    <t>SEROFLO 250MG ROTACAP</t>
  </si>
  <si>
    <t>SEROFLO 250 MULTIHALER</t>
  </si>
  <si>
    <t>DOSE</t>
  </si>
  <si>
    <t>SEROFLO 250 SYNCHROBREATHE IN 120MD</t>
  </si>
  <si>
    <t>SEROFLO 500MG ROTACAP</t>
  </si>
  <si>
    <t>SEROFLO 50MG INHALER 120MD</t>
  </si>
  <si>
    <t>TIOVA INHALER 200MD</t>
  </si>
  <si>
    <t>TIOVA ROTACAP</t>
  </si>
  <si>
    <t>TIOVA ROTACAPS</t>
  </si>
  <si>
    <t>TRIOHALE INHALER</t>
  </si>
  <si>
    <t>TRIOHALE ROTACAP</t>
  </si>
  <si>
    <t>ZEROSTAT SPACER</t>
  </si>
  <si>
    <t>BUDECORT 100MG INHALER 200MD</t>
  </si>
  <si>
    <t>CIPLA (RESPIRATORY 2)</t>
  </si>
  <si>
    <t>BUDECORT 200MG INHALER 200MD</t>
  </si>
  <si>
    <t>CICLOHALE 160MCG INHALER 120MD</t>
  </si>
  <si>
    <t>CICLOHALE 80MCG INHALER 120MD</t>
  </si>
  <si>
    <t>DUOLIN FORTE ROTACAP</t>
  </si>
  <si>
    <t>DUOLIN INHALER 200MD</t>
  </si>
  <si>
    <t>DUOLIN ROTACAP</t>
  </si>
  <si>
    <t>FORACORT 100MG INHALER 120MD</t>
  </si>
  <si>
    <t>FORACORT 100MG ROTACAP</t>
  </si>
  <si>
    <t>FORACORT 200MG INHALER 120MD</t>
  </si>
  <si>
    <t>FORACORT 200MG ROTACAP</t>
  </si>
  <si>
    <t>FORACORT 200 SYNCHROBREATHS 120MD</t>
  </si>
  <si>
    <t>FORACORT 400MG INHALER 120MD</t>
  </si>
  <si>
    <t>FORACORT 400MG ROTACAP</t>
  </si>
  <si>
    <t>FORACORT FORTE INHALER 120MD</t>
  </si>
  <si>
    <t>FORACORT FORTE ROTACAP</t>
  </si>
  <si>
    <t>FULLFORM 200MG ROTACAP</t>
  </si>
  <si>
    <t>FULLFORM 400MG ROTACAP</t>
  </si>
  <si>
    <t>HUF PUF KIT</t>
  </si>
  <si>
    <t>MONTAIR 10MG TAB</t>
  </si>
  <si>
    <t>MONTAIR LC TAB</t>
  </si>
  <si>
    <t>NEW BABY MASK</t>
  </si>
  <si>
    <t>NIVEOLI INHALER 120MD</t>
  </si>
  <si>
    <t>ROTAHALER</t>
  </si>
  <si>
    <t>ZEROSTAT VT SPACER</t>
  </si>
  <si>
    <t>AEROCORT FORTE ROTACAP</t>
  </si>
  <si>
    <t>CIPLA (RESPIRATORY 3)</t>
  </si>
  <si>
    <t>AEROCORT INHALER 200MD</t>
  </si>
  <si>
    <t>AEROCORT ROTACAP</t>
  </si>
  <si>
    <t>ASTHALIN INHALER 200MD</t>
  </si>
  <si>
    <t>ASTHALIN RESP.SOLUTION 15ML</t>
  </si>
  <si>
    <t>ASTHALIN RESPULES 2.5ML</t>
  </si>
  <si>
    <t>ASTHALIN ROTACAP</t>
  </si>
  <si>
    <t>ASTHALIN ROTACAPS</t>
  </si>
  <si>
    <t>AZIMAX 100 DRY SYP 15ML</t>
  </si>
  <si>
    <t>AZIMAX 200MG DRY SYP 15ML</t>
  </si>
  <si>
    <t>AZIMAX 250MG TAB</t>
  </si>
  <si>
    <t>AZIMAX 500MG TAB</t>
  </si>
  <si>
    <t>BUDECORT 0.5MG RESPULES 2ML</t>
  </si>
  <si>
    <t>BUDECORT 1MG RESPULES 2ML</t>
  </si>
  <si>
    <t>BUDESAL 0.5MG RESPULES 2.5ML</t>
  </si>
  <si>
    <t>BUDESAL 1MG RESPULES 2.5ML</t>
  </si>
  <si>
    <t>DUOLIN LD RESPULES 2.5ML</t>
  </si>
  <si>
    <t>DUOLIN RESPULES 2.5ML</t>
  </si>
  <si>
    <t>FLOHALE 0.5MG RESPULES 2ML</t>
  </si>
  <si>
    <t>FORACORT 0.5MG RESPULES 2ML</t>
  </si>
  <si>
    <t>FORACORT 1MG RESPULES 2ML</t>
  </si>
  <si>
    <t>INHALEX RESPULES 2ML</t>
  </si>
  <si>
    <t>IPRAVENT RESP.SOLUTION 15ML</t>
  </si>
  <si>
    <t>IPRAVENT RESPULES 2.5ML</t>
  </si>
  <si>
    <t>LEVOLIN 0.31MG RESPULES 3ML</t>
  </si>
  <si>
    <t>LEVOLIN 0.63MG RESPULES 2.5ML</t>
  </si>
  <si>
    <t>LEVOLIN 1.25MG RESPULES 2.5ML</t>
  </si>
  <si>
    <t>MOXICIP 400MG TAB</t>
  </si>
  <si>
    <t>MUCINAC INJ 2ML</t>
  </si>
  <si>
    <t>TOBAMIST RESPULES 5ML</t>
  </si>
  <si>
    <t>DUOLIN 3 RESPULES 3ML</t>
  </si>
  <si>
    <t>PIRAMAL (DERMA)</t>
  </si>
  <si>
    <t>GLYCOHALE RESPULES 1ML</t>
  </si>
  <si>
    <t>LEFUMIDE 10MG TAB</t>
  </si>
  <si>
    <t>LEFUMIDE 20MG TAB</t>
  </si>
  <si>
    <t>CIPEG POWDER 121GM</t>
  </si>
  <si>
    <t>CIPLA (SPECIALITIES)</t>
  </si>
  <si>
    <t>FERTOLET TAB</t>
  </si>
  <si>
    <t>MISOPROST 200MCG TAB</t>
  </si>
  <si>
    <t>CIPGEST 2MG TAB</t>
  </si>
  <si>
    <t>CIPLA (SPECIALITIES 2)</t>
  </si>
  <si>
    <t>CRISANTA LS @</t>
  </si>
  <si>
    <t>CRISANTA TAB</t>
  </si>
  <si>
    <t>DANOGEN 100MG CAP</t>
  </si>
  <si>
    <t>DANOGEN 200MG CAP</t>
  </si>
  <si>
    <t>DANOGEN 50MG CAP</t>
  </si>
  <si>
    <t>ENDOGEST 100MG CAP</t>
  </si>
  <si>
    <t>ENDOGEST 200MG CAP</t>
  </si>
  <si>
    <t>ENDOGEST SR 200MG TAB</t>
  </si>
  <si>
    <t>ENDOGEST SR 300MG TAB</t>
  </si>
  <si>
    <t>EVERFRESH LACTIC ACID HY.WASH 100ML</t>
  </si>
  <si>
    <t>FERTOMID 100MG TAB</t>
  </si>
  <si>
    <t>FERTOMID 25MG TAB</t>
  </si>
  <si>
    <t>FERTOMID 50MG TAB</t>
  </si>
  <si>
    <t>GINETTE 35MG TAB</t>
  </si>
  <si>
    <t>HB SET TAB</t>
  </si>
  <si>
    <t>IBUGESIC TH 4MG TAB</t>
  </si>
  <si>
    <t>IBUGESIC TH 8MG TAB</t>
  </si>
  <si>
    <t>MISOPROST 25MG TAB</t>
  </si>
  <si>
    <t>MISOPROST 600MG TAB</t>
  </si>
  <si>
    <t>PRASTOVA SR 75MG TAB</t>
  </si>
  <si>
    <t>RALISTA TAB</t>
  </si>
  <si>
    <t>TIBOFEM TAB</t>
  </si>
  <si>
    <t>CALZEM CAP</t>
  </si>
  <si>
    <t>D SOL 60 K TAB</t>
  </si>
  <si>
    <t>FEBUCIP 40MG TAB</t>
  </si>
  <si>
    <t>FEBUCIP 80MG TAB</t>
  </si>
  <si>
    <t>OSTEOFOS 35MG TAB</t>
  </si>
  <si>
    <t>OSTEOFOS 70MG TAB</t>
  </si>
  <si>
    <t>RISOFOS 150MG TAB</t>
  </si>
  <si>
    <t>RISOFOS 35MG TAB</t>
  </si>
  <si>
    <t>RISOFOS KIT TAB 1KIT</t>
  </si>
  <si>
    <t>VOLTANEC PR TAB</t>
  </si>
  <si>
    <t>BASAGLAR CARTIDGES 5*3ML</t>
  </si>
  <si>
    <t>CIPLA (RHEUMATOLOGY)</t>
  </si>
  <si>
    <t>BASAGLAR KWIK PEN 5*3ML</t>
  </si>
  <si>
    <t>AZMARDA 100MG TAB</t>
  </si>
  <si>
    <t>CIPLA (VITALIS)</t>
  </si>
  <si>
    <t>AZMARDA 200MG TAB</t>
  </si>
  <si>
    <t>AZMARDA 50MG TAB</t>
  </si>
  <si>
    <t>ATORLIP F TAB</t>
  </si>
  <si>
    <t>CARLOC 12.5MG TAB</t>
  </si>
  <si>
    <t>CARLOC 3.125MG TAB</t>
  </si>
  <si>
    <t>CARLOC 6.25MG TAB</t>
  </si>
  <si>
    <t>CILOGARD 20MG TAB</t>
  </si>
  <si>
    <t>IVABEAT 5MG TAB</t>
  </si>
  <si>
    <t>METOLAR 100MG TAB</t>
  </si>
  <si>
    <t>METOLAR 25MG TAB</t>
  </si>
  <si>
    <t>METOLAR 50MG TAB</t>
  </si>
  <si>
    <t>METOLAR AM 25MG TAB</t>
  </si>
  <si>
    <t>METOLAR AM 50MG TAB</t>
  </si>
  <si>
    <t>METOLAR TL 25MG TAB</t>
  </si>
  <si>
    <t>METOLAR TL 50MG TAB</t>
  </si>
  <si>
    <t>METOLAR XR 100MG CAP</t>
  </si>
  <si>
    <t>METOLAR XR 12.5MG CAP</t>
  </si>
  <si>
    <t>METOLAR XR 25MG TAB</t>
  </si>
  <si>
    <t>METOLAR XR 50MG CAP</t>
  </si>
  <si>
    <t>METOLAR XT 100MG TAB</t>
  </si>
  <si>
    <t>METOLAR XT 25MG TAB</t>
  </si>
  <si>
    <t>METOLAR XT 50MG TAB</t>
  </si>
  <si>
    <t>OLMECIP 20MG TAB</t>
  </si>
  <si>
    <t>OLMECIP 40MG TAB</t>
  </si>
  <si>
    <t>OLMECIP AM TAB</t>
  </si>
  <si>
    <t>OLMECIP H 40MG TAB</t>
  </si>
  <si>
    <t>OLMECIP H TAB</t>
  </si>
  <si>
    <t>OLMECIP TRIO TAB</t>
  </si>
  <si>
    <t>PLETOZ 100MG TAB</t>
  </si>
  <si>
    <t>PLETOZ 50MG TAB</t>
  </si>
  <si>
    <t>PRANDIAL 0.2MG TAB</t>
  </si>
  <si>
    <t>PRANDIAL 0.3MG TAB</t>
  </si>
  <si>
    <t>PRANDIAL M 0.2MG TAB</t>
  </si>
  <si>
    <t>PRANDIAL M 0.3MG TAB</t>
  </si>
  <si>
    <t>STARPILL TAB</t>
  </si>
  <si>
    <t>TECHLOR 40MG TAB</t>
  </si>
  <si>
    <t>TECHLOR 80MG TAB</t>
  </si>
  <si>
    <t>TICACIP 90MG TAB</t>
  </si>
  <si>
    <t>ZAART 25MG TAB</t>
  </si>
  <si>
    <t>ZAART 50MG TAB</t>
  </si>
  <si>
    <t>ZAART H TAB</t>
  </si>
  <si>
    <t>CIPLAR 10MG TAB</t>
  </si>
  <si>
    <t>CIPLA (VITALIS 2)</t>
  </si>
  <si>
    <t>CIPLAR 40MG TAB</t>
  </si>
  <si>
    <t>CIPLAR LA 20MG TAB</t>
  </si>
  <si>
    <t>CIPLAR LA 40MG TAB</t>
  </si>
  <si>
    <t>CLOPIVAS 75MG TAB</t>
  </si>
  <si>
    <t>CLOPIVAS AP 150MG TAB</t>
  </si>
  <si>
    <t>CLOPIVAS AP 75MG TAB</t>
  </si>
  <si>
    <t>FENOLIP 145MG TAB</t>
  </si>
  <si>
    <t>PROMINAD 100MG TAB</t>
  </si>
  <si>
    <t>ROSULIP 10MG TAB</t>
  </si>
  <si>
    <t>ROSULIP 20 TAB</t>
  </si>
  <si>
    <t>ROSULIP 40MG TAB</t>
  </si>
  <si>
    <t>ROSULIP 5MG TAB</t>
  </si>
  <si>
    <t>ROSULIP ASP 150MG CAP</t>
  </si>
  <si>
    <t>ROSULIP ASP 75MG CAP</t>
  </si>
  <si>
    <t>ROSULIP CV 10MG CAP</t>
  </si>
  <si>
    <t>ROSULIP CV 20MG CAP</t>
  </si>
  <si>
    <t>ROSULIP F 10MG TAB</t>
  </si>
  <si>
    <t>ROSULIP F 5MG TAB</t>
  </si>
  <si>
    <t>ROSULIP GOLD 10MG CAP</t>
  </si>
  <si>
    <t>ROSULIP GOLD 20MG CAP</t>
  </si>
  <si>
    <t>TRIVEDON MR TAB</t>
  </si>
  <si>
    <t>ZILANCE 40MG TAB</t>
  </si>
  <si>
    <t>ZILANCE 80MG TAB</t>
  </si>
  <si>
    <t>CRESAR 20MG TAB</t>
  </si>
  <si>
    <t>CRESAR 40MG TAB</t>
  </si>
  <si>
    <t>CRESAR 80MG TAB</t>
  </si>
  <si>
    <t>CRESAR AM 80MG TAB</t>
  </si>
  <si>
    <t>CRESAR AM TAB</t>
  </si>
  <si>
    <t>CRESAR CT 40MG TAB</t>
  </si>
  <si>
    <t>CRESAR CT 6.25MG TAB</t>
  </si>
  <si>
    <t>CRESAR H 80MG TAB</t>
  </si>
  <si>
    <t>CRESAR H TAB</t>
  </si>
  <si>
    <t>CRESAR PLUS TAB</t>
  </si>
  <si>
    <t>EXERMET 1000MG TAB</t>
  </si>
  <si>
    <t>EXERMET 500MG TAB</t>
  </si>
  <si>
    <t>EXERMET 850MG TAB</t>
  </si>
  <si>
    <t>EXERMETGM 0.5MG TAB</t>
  </si>
  <si>
    <t>EXERMETGM 501MG TAB</t>
  </si>
  <si>
    <t>EXERMETGM 502MG TAB</t>
  </si>
  <si>
    <t>EXERMETGM FORTE 1MG TAB</t>
  </si>
  <si>
    <t>EXERMETGM FORTE 2MG TAB</t>
  </si>
  <si>
    <t>EXERMET SR 500MG TAB</t>
  </si>
  <si>
    <t>NEBICIP 5MG TAB</t>
  </si>
  <si>
    <t>NOVA PLUS 75MG CAP</t>
  </si>
  <si>
    <t>OMALASOFT CAP</t>
  </si>
  <si>
    <t>TRIEXER 1 KIT TAB 1KIT</t>
  </si>
  <si>
    <t>TRIEXER 1MG TAB</t>
  </si>
  <si>
    <t>TRIEXER 2 KIT TAB 1KIT</t>
  </si>
  <si>
    <t>TRIEXER 2MG TAB</t>
  </si>
  <si>
    <t>TRIEXER 3MG TAB</t>
  </si>
  <si>
    <t>TRIEXER LS 1MG TAB</t>
  </si>
  <si>
    <t>TRIEXER LS 2MG TAB</t>
  </si>
  <si>
    <t>VYSOV 50MG TAB</t>
  </si>
  <si>
    <t>VYSOV M 50/1000MG TAB</t>
  </si>
  <si>
    <t>VYSOV M 50/500MG TAB</t>
  </si>
  <si>
    <t>VYSOV M 50/850MG TAB</t>
  </si>
  <si>
    <t>AMLOPRES 10MG TAB</t>
  </si>
  <si>
    <t>AMLOPRES 2.5MG TAB</t>
  </si>
  <si>
    <t>AMLOPRES 5MG TAB</t>
  </si>
  <si>
    <t>AMLOPRES AT 25MG TAB</t>
  </si>
  <si>
    <t>AMLOPRES AT TAB</t>
  </si>
  <si>
    <t>AMLOPRES L 5 5 TAB</t>
  </si>
  <si>
    <t>ATORLIP 10MG TAB</t>
  </si>
  <si>
    <t>ATORLIP 20MG TAB</t>
  </si>
  <si>
    <t>ATORLIP 40MG TAB</t>
  </si>
  <si>
    <t>ATORLIP 5MG TAB</t>
  </si>
  <si>
    <t>ATORLIP 80MG TAB</t>
  </si>
  <si>
    <t>ATORLIP ASP 10MG CAP</t>
  </si>
  <si>
    <t>ATORLIP CV CAP</t>
  </si>
  <si>
    <t>ATORLIP GOLD 10MG CAP</t>
  </si>
  <si>
    <t>ATORLIP GOLD 20MG CAP</t>
  </si>
  <si>
    <t>DYTOR 100MG TAB</t>
  </si>
  <si>
    <t>DYTOR 10MG TAB</t>
  </si>
  <si>
    <t>DYTOR 20MG TAB</t>
  </si>
  <si>
    <t>DYTOR 40MG TAB</t>
  </si>
  <si>
    <t>DYTOR 5MG TAB</t>
  </si>
  <si>
    <t>DYTOR E 10MG TAB</t>
  </si>
  <si>
    <t>DYTOR E 20MG TAB</t>
  </si>
  <si>
    <t>DYTOR INJECTION 2ML</t>
  </si>
  <si>
    <t>DYTOR PLUS 10MG TAB</t>
  </si>
  <si>
    <t>DYTOR PLUS 20MG TAB</t>
  </si>
  <si>
    <t>DYTOR PLUS 5MG TAB</t>
  </si>
  <si>
    <t>DYTOR PLUS LS TAB</t>
  </si>
  <si>
    <t>EPLERITE 25MG TAB</t>
  </si>
  <si>
    <t>EPLERITE 50MG TAB</t>
  </si>
  <si>
    <t>RAMIPRES 10MG TAB</t>
  </si>
  <si>
    <t>RAMIPRES 1.25MG TAB</t>
  </si>
  <si>
    <t>RAMIPRES 2.5MG TAB</t>
  </si>
  <si>
    <t>RAMIPRES 5MG TAB</t>
  </si>
  <si>
    <t>RAMIPRES H TAB</t>
  </si>
  <si>
    <t>AMLOPRES TL TAB</t>
  </si>
  <si>
    <t>ENCLEX 40MG PRE FILL.SYR 0.4ML</t>
  </si>
  <si>
    <t>ENCLEX 60MG PRE FILL.SYR 0.6ML</t>
  </si>
  <si>
    <t>PRASUVAS 10MG TAB</t>
  </si>
  <si>
    <t>SOTALAR 40MG TAB</t>
  </si>
  <si>
    <t>TACHYRA 100MG TAB</t>
  </si>
  <si>
    <t>TACHYRA 200MG TAB</t>
  </si>
  <si>
    <t>TIROCIP INJECTION 100ML</t>
  </si>
  <si>
    <t>WARF 1MG TAB</t>
  </si>
  <si>
    <t>WARF 2MG TAB</t>
  </si>
  <si>
    <t>WARF 3MG TAB</t>
  </si>
  <si>
    <t>WARF 5MG TAB</t>
  </si>
  <si>
    <t>8 X CREAM 30GM</t>
  </si>
  <si>
    <t>CIPLA (XTERNA 2)</t>
  </si>
  <si>
    <t>8X SHAMPOO 100ML</t>
  </si>
  <si>
    <t>ACNEDAP GEL 15GM</t>
  </si>
  <si>
    <t>ACNEDEP PLUS GEL 15GM</t>
  </si>
  <si>
    <t>ADGAIN CAP</t>
  </si>
  <si>
    <t>ADGAIN PLUS CAP</t>
  </si>
  <si>
    <t>AUXERG CREAM 30GM</t>
  </si>
  <si>
    <t>DIVAINE 100MG TAB</t>
  </si>
  <si>
    <t>FAMTREX 250MG TAB</t>
  </si>
  <si>
    <t>FINPECIA TAB</t>
  </si>
  <si>
    <t>NADIBACT CREAM 10GM</t>
  </si>
  <si>
    <t>NADIBACT GEL 10GM</t>
  </si>
  <si>
    <t>NADIBACT PLUS CREAM 7.5GM</t>
  </si>
  <si>
    <t>SASLIC DS FOAMING WASH 60ML</t>
  </si>
  <si>
    <t>SASLIC FOAMING WASH 60ML</t>
  </si>
  <si>
    <t>SERTACIDE B CREAM 10GM</t>
  </si>
  <si>
    <t>SERTACIDE CREAM 10GM</t>
  </si>
  <si>
    <t>SERTACIDE CREAM 30GM</t>
  </si>
  <si>
    <t>TOPCORT CREAM 15GM</t>
  </si>
  <si>
    <t>TUGAIN 10% FOAM 60GM</t>
  </si>
  <si>
    <t>TUGAIN 10% LOTION 100ML</t>
  </si>
  <si>
    <t>TUGAIN 2% FOAM 60MG</t>
  </si>
  <si>
    <t>TUGAIN 2% LOTION 60ML</t>
  </si>
  <si>
    <t>TUGAIN 5% FOAM 60MG</t>
  </si>
  <si>
    <t>TUGAIN 5% GEL 60GM</t>
  </si>
  <si>
    <t>TUGAIN 5% LOTION 60ML</t>
  </si>
  <si>
    <t>TUGAIN MEN 5% 60ML</t>
  </si>
  <si>
    <t>VC-15 SERUM 15ML</t>
  </si>
  <si>
    <t>VC 15 SERUM 5ML</t>
  </si>
  <si>
    <t>XGAIN HAIR SERUM 50ML</t>
  </si>
  <si>
    <t>XGAIN SHAMPOO 100ML</t>
  </si>
  <si>
    <t>XGAIN SHAMPOO 200ML</t>
  </si>
  <si>
    <t>EXCELA RICH FACIAL LOTION 50GM</t>
  </si>
  <si>
    <t>RIVELA TINT SUNSC.50SPF 50ML</t>
  </si>
  <si>
    <t>VC-X SERUM 10ML</t>
  </si>
  <si>
    <t>PATMET 1GM TAB</t>
  </si>
  <si>
    <t>CURATAS PHARMACEUTICALS LLP</t>
  </si>
  <si>
    <t>PATMET G 1MG TAB</t>
  </si>
  <si>
    <t>PATMET G 2MG TAB</t>
  </si>
  <si>
    <t>PATMET PG 1MG TAB</t>
  </si>
  <si>
    <t>PATMET PG 2MG TAB</t>
  </si>
  <si>
    <t>PATMET TAB</t>
  </si>
  <si>
    <t>PATMET VG 1MG TAB</t>
  </si>
  <si>
    <t>PATMET VG 2MG TAB</t>
  </si>
  <si>
    <t>PATRAB D CAP</t>
  </si>
  <si>
    <t>PATROSE 20MG TAB</t>
  </si>
  <si>
    <t>PATROSE 5MG TAB</t>
  </si>
  <si>
    <t>PATROSE TAB</t>
  </si>
  <si>
    <t>PATTEN M TAB</t>
  </si>
  <si>
    <t>PATTEN TAB</t>
  </si>
  <si>
    <t>PATVIT D TAB</t>
  </si>
  <si>
    <t>PATVIT GOLD TAB</t>
  </si>
  <si>
    <t>DUPHALAC SYP 150ML</t>
  </si>
  <si>
    <t>PIRAMAL (SOLVAY)</t>
  </si>
  <si>
    <t>DUPHALAC SYP 250ML</t>
  </si>
  <si>
    <t>DUPHASTON 10MG TAB</t>
  </si>
  <si>
    <t>DUVADILAN RETARD CAP</t>
  </si>
  <si>
    <t>PROTHIDIAN M 50MG TAB</t>
  </si>
  <si>
    <t>ROWASA 1GM SACHET 1GM</t>
  </si>
  <si>
    <t>ROWASA 500MG SACHET 500MG</t>
  </si>
  <si>
    <t>SOLFE TAB</t>
  </si>
  <si>
    <t>UDILIV 150MG TAB</t>
  </si>
  <si>
    <t>UDILIV 300MG TAB</t>
  </si>
  <si>
    <t>UDILIV 600MG TAB</t>
  </si>
  <si>
    <t>PANKREOFLAT TAB</t>
  </si>
  <si>
    <t>DUPHAR (SOLVAY 2)</t>
  </si>
  <si>
    <t>SOLSPRE SPRAY 100ML</t>
  </si>
  <si>
    <t>VERTIN 16MG TAB</t>
  </si>
  <si>
    <t>VERTIN 24MG TAB</t>
  </si>
  <si>
    <t>VERTIN 8MG TAB</t>
  </si>
  <si>
    <t>VERTIN OD 24MG TAB</t>
  </si>
  <si>
    <t>VERTIN OD TAB</t>
  </si>
  <si>
    <t>LIPIRA 10MG TAB</t>
  </si>
  <si>
    <t>EMCURE PHARMA (CRIANTE)</t>
  </si>
  <si>
    <t>SEMI XILIA MP 1MG TAB</t>
  </si>
  <si>
    <t>SEMI XILIA MP 2MG TAB</t>
  </si>
  <si>
    <t>STABOSE 0.2MG TAB</t>
  </si>
  <si>
    <t>STABOSE 0.3MG TAB</t>
  </si>
  <si>
    <t>STABOSE M 0.2MG TAB</t>
  </si>
  <si>
    <t>FERIUM XT DROP 15ML</t>
  </si>
  <si>
    <t>EMCURE PHARMA (XENNEX)</t>
  </si>
  <si>
    <t>FERIUM XT SUSP. 150ML</t>
  </si>
  <si>
    <t>FERIUM XT + SYRUP 200ML</t>
  </si>
  <si>
    <t>FERIUM XT TAB</t>
  </si>
  <si>
    <t>GALACT GRANULES 200GM</t>
  </si>
  <si>
    <t>SYLATE 250MG TAB</t>
  </si>
  <si>
    <t>SYLATE 500MG TAB</t>
  </si>
  <si>
    <t>SYLATE CVP TAB</t>
  </si>
  <si>
    <t>SYLATE INJ. 2ML</t>
  </si>
  <si>
    <t>SYLATE M 500MG TAB</t>
  </si>
  <si>
    <t>SYLATE T 500MG TAB</t>
  </si>
  <si>
    <t>CONSIVAS 10MG TAB</t>
  </si>
  <si>
    <t>EMCURE PHARMA (CD)</t>
  </si>
  <si>
    <t>CONSIVAS 20MG TAB</t>
  </si>
  <si>
    <t>CONSIVAS 40MG TAB</t>
  </si>
  <si>
    <t>CONSIVAS 5MG TAB</t>
  </si>
  <si>
    <t>CONSIVAS ASP CAP</t>
  </si>
  <si>
    <t>CONSIVAS F 10/160MG TAB</t>
  </si>
  <si>
    <t>CONSIVAS F TAB</t>
  </si>
  <si>
    <t>CONSIVAS GOLD 10MG CAP</t>
  </si>
  <si>
    <t>CONSIVAS GOLD 20MG CAP</t>
  </si>
  <si>
    <t>G3N 2.6MG TAB</t>
  </si>
  <si>
    <t>G3N 6.4MG TAB</t>
  </si>
  <si>
    <t>GABA HOSIT TAB</t>
  </si>
  <si>
    <t>GIPSOV M 20/500MG TAB</t>
  </si>
  <si>
    <t>GLIPSOV M 20/1000MG TAB</t>
  </si>
  <si>
    <t>GLIPSOV M 20/500MG TAB</t>
  </si>
  <si>
    <t>GLIPSOV M 50/500MG TAB</t>
  </si>
  <si>
    <t>GLIPSOV TAB</t>
  </si>
  <si>
    <t>HOSIT D3 TAB</t>
  </si>
  <si>
    <t>HOSIT FORTE INJECTION 2ML</t>
  </si>
  <si>
    <t>HOSIT INJ. 1ML</t>
  </si>
  <si>
    <t>HOSIT L TAB</t>
  </si>
  <si>
    <t>HOSIT PLUS CAP</t>
  </si>
  <si>
    <t>HOSIT TAB</t>
  </si>
  <si>
    <t>HOSIT XT CAP</t>
  </si>
  <si>
    <t>NUMLO AT TAB</t>
  </si>
  <si>
    <t>NUMLO D 5MG TAB</t>
  </si>
  <si>
    <t>NUMLO D TAB</t>
  </si>
  <si>
    <t>NUMLO-M 5MG TAB</t>
  </si>
  <si>
    <t>NUMLO-M TAB</t>
  </si>
  <si>
    <t>NUMLO TM 5MG TAB</t>
  </si>
  <si>
    <t>NUMLO TM TAB</t>
  </si>
  <si>
    <t>NUSAR 25MG TAB</t>
  </si>
  <si>
    <t>NUSAR 50MG TAB</t>
  </si>
  <si>
    <t>NUSAR AM TAB</t>
  </si>
  <si>
    <t>NUSAR ATN TAB</t>
  </si>
  <si>
    <t>NUSAR H TAB</t>
  </si>
  <si>
    <t>OLMEGARD 20MG TAB</t>
  </si>
  <si>
    <t>OLMEGARD 40MG TAB</t>
  </si>
  <si>
    <t>OLMEGARD AM TAB</t>
  </si>
  <si>
    <t>OLMEGARD CT 40MG TAB</t>
  </si>
  <si>
    <t>OLMEGARD CT TAB</t>
  </si>
  <si>
    <t>OLMEGARD H 40MG TAB</t>
  </si>
  <si>
    <t>OLMEGARD H TAB</t>
  </si>
  <si>
    <t>S NUMLO 2.5MG TAB</t>
  </si>
  <si>
    <t>S NUMLO 5MG TAB</t>
  </si>
  <si>
    <t>TRIOLVANCE 20MG TAB</t>
  </si>
  <si>
    <t>TRIOLVANCE 40MG TAB</t>
  </si>
  <si>
    <t>VYLDA M 1000MG TAB</t>
  </si>
  <si>
    <t>VYLDA M 500MG TAB</t>
  </si>
  <si>
    <t>VYLDA TAB</t>
  </si>
  <si>
    <t>XILIA 1MG TAB</t>
  </si>
  <si>
    <t>XILIA 2MG TAB</t>
  </si>
  <si>
    <t>XILIA M 1MG FORTE TAB</t>
  </si>
  <si>
    <t>XILIA M 1MG TAB</t>
  </si>
  <si>
    <t>XILIA M 2MG FORTE TAB</t>
  </si>
  <si>
    <t>XILIA M 2MG TAB</t>
  </si>
  <si>
    <t>XILIA MP 1MG TAB</t>
  </si>
  <si>
    <t>XILIA MP 2MG TAB</t>
  </si>
  <si>
    <t>XILIA TRIO 1MG TAB</t>
  </si>
  <si>
    <t>XILIA TRIO 2MG TAB</t>
  </si>
  <si>
    <t>ZILARBI 40MG TAB</t>
  </si>
  <si>
    <t>ZILARBI 80MG TAB</t>
  </si>
  <si>
    <t>ZILARBI CN 10MG TAB</t>
  </si>
  <si>
    <t>ZILARBI CN TAB</t>
  </si>
  <si>
    <t>ZILARBI CT 12.5MG TAB</t>
  </si>
  <si>
    <t>ZILARBI CT 25MG TAB</t>
  </si>
  <si>
    <t>ATOREC 10MG TAB</t>
  </si>
  <si>
    <t>EMCURE PHARMA (NUCRON)</t>
  </si>
  <si>
    <t>ATOREC 20MG TAB</t>
  </si>
  <si>
    <t>ATOREC ASP CAP</t>
  </si>
  <si>
    <t>ATOREC CV 10 CAP</t>
  </si>
  <si>
    <t>ATOREC CV 20 CAP</t>
  </si>
  <si>
    <t>ATOREC EZ TAB</t>
  </si>
  <si>
    <t>BEAT HF-5 TAB</t>
  </si>
  <si>
    <t>DABITRA 110MG CAP</t>
  </si>
  <si>
    <t>DABITRA 150MG CAP</t>
  </si>
  <si>
    <t>EMDIP 8MG TAB</t>
  </si>
  <si>
    <t>FERIUM 1K INJECTION 20ML</t>
  </si>
  <si>
    <t>FULL 24MG TAB</t>
  </si>
  <si>
    <t>METPURE AM 2.5MG TAB</t>
  </si>
  <si>
    <t>METPURE AM 5MG TAB</t>
  </si>
  <si>
    <t>METPURE H 50MG TAB</t>
  </si>
  <si>
    <t>METPURE H TAB</t>
  </si>
  <si>
    <t>METPURE TEL 20MG TAB</t>
  </si>
  <si>
    <t>METPURE TEL 40MG TAB</t>
  </si>
  <si>
    <t>METPURE XL 12.5MG TAB</t>
  </si>
  <si>
    <t>METPURE XL 25MG TAB</t>
  </si>
  <si>
    <t>METPURE XL 50MG TAB</t>
  </si>
  <si>
    <t>NUCARNIT 500MG TAB</t>
  </si>
  <si>
    <t>NUCARNIT F TAB</t>
  </si>
  <si>
    <t>NUCORIL 5MG TAB</t>
  </si>
  <si>
    <t>NUCORIL OD TAB</t>
  </si>
  <si>
    <t>TEMSAN 20MG TAB</t>
  </si>
  <si>
    <t>TEMSAN 40MG TAB</t>
  </si>
  <si>
    <t>TEMSAN 80MG TAB</t>
  </si>
  <si>
    <t>TEMSAN AM 5MG TAB</t>
  </si>
  <si>
    <t>TEMSAN AM TAB</t>
  </si>
  <si>
    <t>TEMSAN CT 80MG TAB</t>
  </si>
  <si>
    <t>TEMSAN CT TAB</t>
  </si>
  <si>
    <t>TEMSAN H 80MG TAB</t>
  </si>
  <si>
    <t>TEMSAN H TAB</t>
  </si>
  <si>
    <t>ASOMEX 1.25MG TAB</t>
  </si>
  <si>
    <t>Emcure Pharmaceuticals Ltd</t>
  </si>
  <si>
    <t>ASOMEX 2.5MG TAB</t>
  </si>
  <si>
    <t>ASOMEX 5MG TAB</t>
  </si>
  <si>
    <t>ASOMEX AT 2.5MG TAB</t>
  </si>
  <si>
    <t>ASOMEX AT 5MG TAB</t>
  </si>
  <si>
    <t>ASOMEX D 5MG TAB</t>
  </si>
  <si>
    <t>ASOMEX D TAB</t>
  </si>
  <si>
    <t>ASOMEX LT 2.5MG TAB</t>
  </si>
  <si>
    <t>ASOMEX OH TAB</t>
  </si>
  <si>
    <t>ASOMEX TM TAB</t>
  </si>
  <si>
    <t>CALONAT D3 TAB</t>
  </si>
  <si>
    <t>DAONIL M TAB</t>
  </si>
  <si>
    <t>DAONIL TAB</t>
  </si>
  <si>
    <t>EMCORIL DX SYRUP 100ML</t>
  </si>
  <si>
    <t>EMSULIDE P TAB</t>
  </si>
  <si>
    <t>INDUZ CAP</t>
  </si>
  <si>
    <t>LACTACYD HYGIENE WASH 100ML</t>
  </si>
  <si>
    <t>MVISTA CAP</t>
  </si>
  <si>
    <t>OROFER CAP</t>
  </si>
  <si>
    <t>OROFER FCM 1 K INJ. 20ML</t>
  </si>
  <si>
    <t>OROFER FCM 500MG INJ. 10ML</t>
  </si>
  <si>
    <t>OROFER S 100MG INJ. 5ML</t>
  </si>
  <si>
    <t>OROFER S 200MG INJ. 10ML</t>
  </si>
  <si>
    <t>OROFER S INJ. 2.5ML</t>
  </si>
  <si>
    <t>OROFER XT 30TAB</t>
  </si>
  <si>
    <t>OROFER XT DROP 15ML</t>
  </si>
  <si>
    <t>OROFER XT SUSP. 150ML</t>
  </si>
  <si>
    <t>OROFER XT + SUSPENSION 200ML</t>
  </si>
  <si>
    <t>OROFER XT TAB</t>
  </si>
  <si>
    <t>OROFER XT TOTAL TAB</t>
  </si>
  <si>
    <t>PAUSE 500MG TAB</t>
  </si>
  <si>
    <t>PAUSE MF TAB</t>
  </si>
  <si>
    <t>PAUSE XT TAB</t>
  </si>
  <si>
    <t>SEMI DAONIL TAB</t>
  </si>
  <si>
    <t>THIAKLOR 12.5MG TAB</t>
  </si>
  <si>
    <t>THIAKLOR 6.25MG TAB</t>
  </si>
  <si>
    <t>XPLODE POWDER $ 200GM</t>
  </si>
  <si>
    <t>XPLODE TAB $</t>
  </si>
  <si>
    <t>CELOL CAP</t>
  </si>
  <si>
    <t>CELOL-D3 CAP</t>
  </si>
  <si>
    <t>CELOL D3 + TAB</t>
  </si>
  <si>
    <t>CELOL + TABLET</t>
  </si>
  <si>
    <t>CELOL XT CAP</t>
  </si>
  <si>
    <t>EMANZEN D TAB</t>
  </si>
  <si>
    <t>FERIUM CHEWABLE TAB</t>
  </si>
  <si>
    <t>FERIUM D3 TAB</t>
  </si>
  <si>
    <t>FERIUM SYRUP 150ML</t>
  </si>
  <si>
    <t>PROXYM 200MG TAB</t>
  </si>
  <si>
    <t>PROXYM 300MG TAB</t>
  </si>
  <si>
    <t>PROXYM ER 200MG TAB</t>
  </si>
  <si>
    <t>PROXYM ER TAB</t>
  </si>
  <si>
    <t>PROXYM XT TAB</t>
  </si>
  <si>
    <t>RACIPER L CAP</t>
  </si>
  <si>
    <t>SERTIVA TAB</t>
  </si>
  <si>
    <t>TAMLET 2MG TAB</t>
  </si>
  <si>
    <t>TAMLET 4MG TAB</t>
  </si>
  <si>
    <t>FULL 24 INJ. 1ML</t>
  </si>
  <si>
    <t>EMCURE PHARMA (ZEMCURE)</t>
  </si>
  <si>
    <t>AD-CND 500MG TAB</t>
  </si>
  <si>
    <t>ENCORE HEALTHCARE PVT LTD</t>
  </si>
  <si>
    <t>ALVERISE CREAM 150GM</t>
  </si>
  <si>
    <t>ALVERISE CREAM 50GM</t>
  </si>
  <si>
    <t>ALVERISE LIT.CHAMP KIDS BAR 75GM</t>
  </si>
  <si>
    <t>ALVERISE SKIN FRIENDLY BAR 75GM</t>
  </si>
  <si>
    <t>ALVEXTRA CREAM 50GM</t>
  </si>
  <si>
    <t>CEFEXEPRESS-A TAB</t>
  </si>
  <si>
    <t>CLINRED-A GEL 15GM</t>
  </si>
  <si>
    <t>CLINRED B GEL 15GM</t>
  </si>
  <si>
    <t>CLINRED GEL 20GM</t>
  </si>
  <si>
    <t>CLINRED-N GEL 20GM</t>
  </si>
  <si>
    <t>D-WIK DROPS 15ML</t>
  </si>
  <si>
    <t>D-WIK GRANULES 1GM</t>
  </si>
  <si>
    <t>D-WIK NANO EMULSION 5ML</t>
  </si>
  <si>
    <t>D-WIK TAB</t>
  </si>
  <si>
    <t>FE-SENCY DROPS 30ML</t>
  </si>
  <si>
    <t>FE-SENCY SUSPENSION 150ML</t>
  </si>
  <si>
    <t>FE-SENCY TAB</t>
  </si>
  <si>
    <t>FE-SENSY DROPS 30ML</t>
  </si>
  <si>
    <t>FEXOKAST SUSPENSION 60ML</t>
  </si>
  <si>
    <t>FEXOKAST TAB</t>
  </si>
  <si>
    <t>FORFORA CREAM 30GM</t>
  </si>
  <si>
    <t>FORFORA-Z SHAMPOO 75ML</t>
  </si>
  <si>
    <t>GLAMWITE CREAM 20GM</t>
  </si>
  <si>
    <t>HELPOTUS-LS DROPS 15ML</t>
  </si>
  <si>
    <t>HELPOTUS-LS SYRUP 100ML</t>
  </si>
  <si>
    <t>HELPOTUS SYRUP 100ML</t>
  </si>
  <si>
    <t>JIMLIG 100MG CAP</t>
  </si>
  <si>
    <t>JIMLIG 200MG CAP</t>
  </si>
  <si>
    <t>JIMLIG GEL 30GM</t>
  </si>
  <si>
    <t>LULIPOROS LOTION 10ML</t>
  </si>
  <si>
    <t>LULIPORUS CREAM 10GM</t>
  </si>
  <si>
    <t>LULIPORUS CREAM 30GM</t>
  </si>
  <si>
    <t>MASKOSUN SPF LOTION 50ML</t>
  </si>
  <si>
    <t>MUMBELS SUSPENSION 200ML</t>
  </si>
  <si>
    <t>MUMBELS TAB</t>
  </si>
  <si>
    <t>PAWMENT TOPICAL APPLI. 25GM</t>
  </si>
  <si>
    <t>RESTIGERED-L CAP</t>
  </si>
  <si>
    <t>SCINO 5 TOPICAL SOLUTION 60ML</t>
  </si>
  <si>
    <t>SISOREST CREAM 15GM</t>
  </si>
  <si>
    <t>SISOREST-F CREAM 15GM</t>
  </si>
  <si>
    <t>SOTIL LOTION 60ML</t>
  </si>
  <si>
    <t>TABSUV TAB</t>
  </si>
  <si>
    <t>ZYGTER 250MG TAB</t>
  </si>
  <si>
    <t>ZYGTER CREAM 10GM</t>
  </si>
  <si>
    <t>AUDIOVIT CAP</t>
  </si>
  <si>
    <t>ENTOD (G-TECH)</t>
  </si>
  <si>
    <t>AZIFORCE 500MG TAB</t>
  </si>
  <si>
    <t>BRONKOLYTED-DX SYRUP 100ML</t>
  </si>
  <si>
    <t>BRONKOLYTE PD SYRUP 60ML</t>
  </si>
  <si>
    <t>BUDOHALE RESPULES 2*5ML</t>
  </si>
  <si>
    <t>CEFENTOD 200MG TAB</t>
  </si>
  <si>
    <t>DUOHALE RESPULES 2.5ML</t>
  </si>
  <si>
    <t>ENCLAV 625MG TAB</t>
  </si>
  <si>
    <t>ENTOGESIC TAB</t>
  </si>
  <si>
    <t>ENTOMACID DSR CAP</t>
  </si>
  <si>
    <t>ENTOMED PLUS INH.</t>
  </si>
  <si>
    <t>E-SALIVA PLUS MOUTH WASH 10ML</t>
  </si>
  <si>
    <t>FEXAGAON PLUS TAB</t>
  </si>
  <si>
    <t>FEXAGAON SUSPENSION 60ML</t>
  </si>
  <si>
    <t>MEFENTOD PLUS SYP 60ML</t>
  </si>
  <si>
    <t>MEFENTOD-P SUSPENSION 60ML</t>
  </si>
  <si>
    <t>MEFENTOD SUSPENSION 60ML</t>
  </si>
  <si>
    <t>NASOLINE NASAL SPRAY 10ML</t>
  </si>
  <si>
    <t>ORINASE (A) OXY NASAL SPRAY 10ML</t>
  </si>
  <si>
    <t>ORINASE (P) OXY NASAL SPRAY 10ML</t>
  </si>
  <si>
    <t>OTOBIOTIC AB EAR DROPS 5ML</t>
  </si>
  <si>
    <t>OTOBIOTIC PLAIN EAR DROPS 5ML</t>
  </si>
  <si>
    <t>OTOBIOTIC PLUS EAR DROPS 5ML</t>
  </si>
  <si>
    <t>OTOCIL EAR DROP 10ML</t>
  </si>
  <si>
    <t>OTOFUNGIN EAR DROPS 10ML</t>
  </si>
  <si>
    <t>OTOGON EAR DROPS 10ML</t>
  </si>
  <si>
    <t>RHINASE NASAL DROP 10ML</t>
  </si>
  <si>
    <t>RHINOFIT F NASAL SPRAY 6GM</t>
  </si>
  <si>
    <t>SINO PLUS 500MG TAB</t>
  </si>
  <si>
    <t>TINNITOD CAP</t>
  </si>
  <si>
    <t>WAXONIL ACTIV EAR DROPS 10ML</t>
  </si>
  <si>
    <t>WAXONIL KID EAR DROPS 10ML</t>
  </si>
  <si>
    <t>ZINCOCID SYRUP 200ML</t>
  </si>
  <si>
    <t>ZINCOCID TAB</t>
  </si>
  <si>
    <t>4 QUIN-BROM EYE DROPS 5ML</t>
  </si>
  <si>
    <t>Entod Pharmaceuticals Ltd</t>
  </si>
  <si>
    <t>4 QUIN-D EYE DROPS 5ML</t>
  </si>
  <si>
    <t>4 QUIN EYE DROPS 5ML</t>
  </si>
  <si>
    <t>4 QUIN LOT EYE DROPS 5ML</t>
  </si>
  <si>
    <t>4 QUIN PFS DROPS 0.5ML</t>
  </si>
  <si>
    <t>BIOTEARS EYE DROPS 10ML</t>
  </si>
  <si>
    <t>BSSOL 500 BALANCE SALTSOL 500ML</t>
  </si>
  <si>
    <t>DUO-2 EYE DROP 5ML</t>
  </si>
  <si>
    <t>E-FLO EYE OINTMENT 5GM</t>
  </si>
  <si>
    <t>ENLUBE EYE DROPS 10ML</t>
  </si>
  <si>
    <t>ENLUBE FUSION EYEDROPS 10ML</t>
  </si>
  <si>
    <t>ENMOX BD EYE DROP 5ML</t>
  </si>
  <si>
    <t>ENMOX EYE DROPS 5ML</t>
  </si>
  <si>
    <t>ENMOX PLUS EYE DROPS 5ML</t>
  </si>
  <si>
    <t>ENPRED EYE DROPS 5ML</t>
  </si>
  <si>
    <t>ENTODASE INJECTION</t>
  </si>
  <si>
    <t>FLUBICHLOR EYE DROPS 5ML</t>
  </si>
  <si>
    <t>FLUBIGAT EYE DROP 5ML</t>
  </si>
  <si>
    <t>HYLA EYE DROPS 10ML</t>
  </si>
  <si>
    <t>HYLA FUSION EYE DROPS 10ML</t>
  </si>
  <si>
    <t>HYLA PF EYE DROPS 10ML</t>
  </si>
  <si>
    <t>I-BORIC EYE DROPS 10ML</t>
  </si>
  <si>
    <t>I-DEW DS DROPS 10ML</t>
  </si>
  <si>
    <t>I-DEW EYE OINTMENT 5GM</t>
  </si>
  <si>
    <t>I-DEW SOOTHE EYE DROPS 10ML</t>
  </si>
  <si>
    <t>LACRYL-PF EYE GEL 5GM</t>
  </si>
  <si>
    <t>LACRYL ULTRA EYE DROPS 10ML</t>
  </si>
  <si>
    <t>LOC TEARS FUSION EYEDROPS 10ML</t>
  </si>
  <si>
    <t>LOT EYE DROPS 5ML</t>
  </si>
  <si>
    <t>LOT LS EYE DROPS 5ML</t>
  </si>
  <si>
    <t>MOTOGRAM EYE DROPS 5ML</t>
  </si>
  <si>
    <t>NEPATOP FREE EYE DROPS 5ML</t>
  </si>
  <si>
    <t>OLOPLUS KT EYE DROPS 5ML</t>
  </si>
  <si>
    <t>OLOPLUS OD EYE DROPS 3ML</t>
  </si>
  <si>
    <t>OMEFLOX EYE OINTMENT 5GM</t>
  </si>
  <si>
    <t>OPTICOOL EYE DROPS 10ML</t>
  </si>
  <si>
    <t>OPTIHIST EYE DROPS 5ML</t>
  </si>
  <si>
    <t>OPTITHROCIN EYE OINTMENT 5GM</t>
  </si>
  <si>
    <t>TROMIDE PLUS EYE DROPS 5ML</t>
  </si>
  <si>
    <t>APROTYL TAB</t>
  </si>
  <si>
    <t>FDC Ltd (SPECTRA)</t>
  </si>
  <si>
    <t>ENTEROPLUS SACHET 1GM</t>
  </si>
  <si>
    <t>LASTUSS CT TAB</t>
  </si>
  <si>
    <t>LASTUSS LA SYP 60ML</t>
  </si>
  <si>
    <t>OTEK AC AF DROPS 10ML</t>
  </si>
  <si>
    <t>TEARMAX EYE DROP 10ML</t>
  </si>
  <si>
    <t>ZIFI 100MG DRY SYP 30ML</t>
  </si>
  <si>
    <t>ZIFI 100MG DRY SYRUP 50ML</t>
  </si>
  <si>
    <t>ZIFI 100MG DT</t>
  </si>
  <si>
    <t>ZIFI 100MG READYMIX 30ML</t>
  </si>
  <si>
    <t>ZIFI 100MG READYMIX 50ML</t>
  </si>
  <si>
    <t>ZIFI 200MG TAB</t>
  </si>
  <si>
    <t>ZIFI 50 DRY SYP 30ML</t>
  </si>
  <si>
    <t>ZIFI 50MG DRY SYRUP 50ML</t>
  </si>
  <si>
    <t>ZIFI 50MG DT</t>
  </si>
  <si>
    <t>ZIFI 50MG READYMIX 50ML</t>
  </si>
  <si>
    <t>ZIFI 50 READYMIX SYP 30ML</t>
  </si>
  <si>
    <t>ZIFI 50 READYMIX SYRUP 60ML</t>
  </si>
  <si>
    <t>ZIFI AZ KID TAB</t>
  </si>
  <si>
    <t>ZIFI AZ TAB</t>
  </si>
  <si>
    <t>ZIFI CV 100MG DRY SYP 30ML</t>
  </si>
  <si>
    <t>ZIFI CV 100MG DRY SYRUP 50ML</t>
  </si>
  <si>
    <t>ZIFI CV 100MG DT TAB</t>
  </si>
  <si>
    <t>ZIFI CV 200MG DT TAB</t>
  </si>
  <si>
    <t>ZIFI CV 50MG DRY SYP 30ML</t>
  </si>
  <si>
    <t>ZIFI CV 50MG DRY SYP 50ML</t>
  </si>
  <si>
    <t>ZIFI CV 50MG DT TAB</t>
  </si>
  <si>
    <t>ZIFI DROP 10ML</t>
  </si>
  <si>
    <t>ZIFI LBX 200MG DT</t>
  </si>
  <si>
    <t>ZIFI O 100MG TAB</t>
  </si>
  <si>
    <t>ZIFI O 200MG TAB</t>
  </si>
  <si>
    <t>ZIFI OZ TAB</t>
  </si>
  <si>
    <t>ZIFI TURBO 600MG TAB</t>
  </si>
  <si>
    <t>ZIFI TURBO TAB</t>
  </si>
  <si>
    <t>1 AL 5MG TAB</t>
  </si>
  <si>
    <t>FDC Ltd (SELECT)</t>
  </si>
  <si>
    <t>1 AL M TAB</t>
  </si>
  <si>
    <t>1 AL SYP 30ML</t>
  </si>
  <si>
    <t>1 AL TOTAL SYP 60ML</t>
  </si>
  <si>
    <t>1 AL TOTAL TAB</t>
  </si>
  <si>
    <t>ARFLUR 100MG TAB</t>
  </si>
  <si>
    <t>ARFLUR 3D TAB</t>
  </si>
  <si>
    <t>ARFLUR CR TAB</t>
  </si>
  <si>
    <t>ARFLUR LBP CAP</t>
  </si>
  <si>
    <t>ARFLUR P TAB</t>
  </si>
  <si>
    <t>FDC D3 60K TAB</t>
  </si>
  <si>
    <t>FLEMIKLOX LBX CAP</t>
  </si>
  <si>
    <t>K TRIP FORTE TAB</t>
  </si>
  <si>
    <t>K TRIP PLUS TAB</t>
  </si>
  <si>
    <t>PYRIMON DF DROP 5ML</t>
  </si>
  <si>
    <t>PYRIMON EYE DROP 5ML</t>
  </si>
  <si>
    <t>RAPIDUCE SUSP. 100ML</t>
  </si>
  <si>
    <t>TRIGUARD MOUTH WASH 100ML</t>
  </si>
  <si>
    <t>TRIGUARD TOOTH PASTE 100GM</t>
  </si>
  <si>
    <t>VITCOBIN P SR TAB</t>
  </si>
  <si>
    <t>VITCOFOL CAP</t>
  </si>
  <si>
    <t>VITCOFOL C INJ.</t>
  </si>
  <si>
    <t>VITCOFOL DROP 15ML</t>
  </si>
  <si>
    <t>VITCOFOL HB CAP</t>
  </si>
  <si>
    <t>VITCOFOL INJ. 10ML</t>
  </si>
  <si>
    <t>VITCOFOL S 100MG INJ. 5ML</t>
  </si>
  <si>
    <t>VITCOFOL SYP 180ML</t>
  </si>
  <si>
    <t>ZIPANT 40MG TAB</t>
  </si>
  <si>
    <t>ZIPANT DSR CAP</t>
  </si>
  <si>
    <t>ZIPOD 100 DRY SYP 30ML</t>
  </si>
  <si>
    <t>ZIPOD 100MG DT TAB</t>
  </si>
  <si>
    <t>ZIPOD 200MG TAB</t>
  </si>
  <si>
    <t>ZIPOD 50MG DT TAB</t>
  </si>
  <si>
    <t>ZIPOD 50MG SYRUP 50ML</t>
  </si>
  <si>
    <t>ZIPOD CV 200MG TAB</t>
  </si>
  <si>
    <t>ZO 100MG DT</t>
  </si>
  <si>
    <t>ZO 200MG TAB</t>
  </si>
  <si>
    <t>ZO 400MG TAB</t>
  </si>
  <si>
    <t>ZO 50MG SUSPENSION 60ML</t>
  </si>
  <si>
    <t>ZO IV 100ML</t>
  </si>
  <si>
    <t>ZOXAN D DROP 10ML</t>
  </si>
  <si>
    <t>ZOXAN D EYE DROP 5ML</t>
  </si>
  <si>
    <t>CLIP 500MG TAB</t>
  </si>
  <si>
    <t>FDC Ltd (PROXIMA)</t>
  </si>
  <si>
    <t>CLIP MF TAB</t>
  </si>
  <si>
    <t>ENERZAL APPLE DRINK 200ML</t>
  </si>
  <si>
    <t>ENERZAL LIME POWDER $ 50GM</t>
  </si>
  <si>
    <t>ENERZAL ORANGE DRINK $ 200ML</t>
  </si>
  <si>
    <t>ENERZAL ORANGE POWDER $ 100GM</t>
  </si>
  <si>
    <t>ENERZAL ORANGE POWDER $ 50GM</t>
  </si>
  <si>
    <t>HUMYL POWDER $ 200GM</t>
  </si>
  <si>
    <t>OCUCEL A EYE DROP 10ML</t>
  </si>
  <si>
    <t>OTEK AC PLUS EAR DROP 5ML</t>
  </si>
  <si>
    <t>PLARICA TAB</t>
  </si>
  <si>
    <t>ROLISTAT 10MG TAB</t>
  </si>
  <si>
    <t>UV LUBE UNIMS 6*0.5ML</t>
  </si>
  <si>
    <t>VITCOFER TAB</t>
  </si>
  <si>
    <t>VORAST MD 4MG TAB</t>
  </si>
  <si>
    <t>ZEFU 125MG DT TAB</t>
  </si>
  <si>
    <t>ZEFU 250MG TAB</t>
  </si>
  <si>
    <t>ZEFU 500MG TAB</t>
  </si>
  <si>
    <t>ZEFU CV 250MG TAB</t>
  </si>
  <si>
    <t>ZEFU CV 500MG TAB</t>
  </si>
  <si>
    <t>ZEFU SYRUP 30ML</t>
  </si>
  <si>
    <t>ZOCON 100MG DT</t>
  </si>
  <si>
    <t>ZOCON 150MG TAB</t>
  </si>
  <si>
    <t>ZOCON 200MG TAB</t>
  </si>
  <si>
    <t>ZOCON 400MG TAB</t>
  </si>
  <si>
    <t>ZOCON 50 DT TAB</t>
  </si>
  <si>
    <t>ZOCON AS KIT TAB 1KIT</t>
  </si>
  <si>
    <t>ZOCON C CREAM 15GM</t>
  </si>
  <si>
    <t>ZOCON DUSTING POWDER 100GM</t>
  </si>
  <si>
    <t>ZOCON KZ SHAMPOO 60ML</t>
  </si>
  <si>
    <t>ZOCON L CREAM 20GM</t>
  </si>
  <si>
    <t>ZOCON LOTION 5ML</t>
  </si>
  <si>
    <t>ZOCON LOTION 60ML</t>
  </si>
  <si>
    <t>ZOCON SOAP 100GM</t>
  </si>
  <si>
    <t>ZOCON T KIT 1KIT</t>
  </si>
  <si>
    <t>ZOCON TRANSGEL 15GM</t>
  </si>
  <si>
    <t>ZOXAN 250MG TAB</t>
  </si>
  <si>
    <t>ZOXAN 500MG TAB</t>
  </si>
  <si>
    <t>ZOXAN E/E DROP 5ML</t>
  </si>
  <si>
    <t>ZOXAN EYE/EAR DROPS 10ML</t>
  </si>
  <si>
    <t>ZOXAN EYE OINT. 5GM</t>
  </si>
  <si>
    <t>ZOXAN EYE OINTMENT 10GM</t>
  </si>
  <si>
    <t>ZOXAN OZ TAB</t>
  </si>
  <si>
    <t>COTARYL AF CREAM 50GM</t>
  </si>
  <si>
    <t>FDC Ltd (LUMINA)</t>
  </si>
  <si>
    <t>COTARYL CREAM 50GM</t>
  </si>
  <si>
    <t>DROFEM A 1*10</t>
  </si>
  <si>
    <t>DROFEM TAB</t>
  </si>
  <si>
    <t>ETHASYL 250MG TAB</t>
  </si>
  <si>
    <t>ETHASYL 500MG TAB</t>
  </si>
  <si>
    <t>ETHASYL INJ. 4*2ML</t>
  </si>
  <si>
    <t>FLUNARIN 10MG TAB</t>
  </si>
  <si>
    <t>FLUNARIN 5MG TAB</t>
  </si>
  <si>
    <t>FUNGOTEK TAB</t>
  </si>
  <si>
    <t>KROMALITE CREAM 15GM</t>
  </si>
  <si>
    <t>MYCODERM C POWDER 100GM</t>
  </si>
  <si>
    <t>MYCODERM NM CREAM 10GM</t>
  </si>
  <si>
    <t>MYCODERM POWDER 150GM</t>
  </si>
  <si>
    <t>OCUVIR 200MG DT</t>
  </si>
  <si>
    <t>OCUVIR 400MG DT</t>
  </si>
  <si>
    <t>OCUVIR 800MG DT</t>
  </si>
  <si>
    <t>OCUVIR SKIN CREAM 5GM</t>
  </si>
  <si>
    <t>OCUVIR SR 1200MG TAB</t>
  </si>
  <si>
    <t>SALMODIL-DX SYRUP 100ML</t>
  </si>
  <si>
    <t>SALMODIL+ EXPT 100ML</t>
  </si>
  <si>
    <t>SALMODIL-LS SYRUP 100ML</t>
  </si>
  <si>
    <t>TRITOFEN TAB</t>
  </si>
  <si>
    <t>ZATHRIN 100MG DT</t>
  </si>
  <si>
    <t>ZATHRIN 100MG READYMIX 15ML</t>
  </si>
  <si>
    <t>ZATHRIN 100MG READYMIX 30ML</t>
  </si>
  <si>
    <t>ZATHRIN 200MG READYMIX 15ML</t>
  </si>
  <si>
    <t>ZATHRIN 200MG READYMIX 30ML</t>
  </si>
  <si>
    <t>ZATHRIN 250MG TAB</t>
  </si>
  <si>
    <t>ZATHRIN 500MG TAB</t>
  </si>
  <si>
    <t>ZATHRIN AX 250MG TAB</t>
  </si>
  <si>
    <t>ZATHRIN AX 500MG TAB</t>
  </si>
  <si>
    <t>ZATHRIN XL 200MG READYMIX 30ML</t>
  </si>
  <si>
    <t>ZILEE 250MG TAB</t>
  </si>
  <si>
    <t>ZILEE 500MG TAB</t>
  </si>
  <si>
    <t>ZITRAN 100MG CAP</t>
  </si>
  <si>
    <t>ZITRAN 200MG CAP</t>
  </si>
  <si>
    <t>ZIUM TAB</t>
  </si>
  <si>
    <t>ALLERMAX PLUS TAB</t>
  </si>
  <si>
    <t>FDC Ltd (VISTA)</t>
  </si>
  <si>
    <t>AMODEP 5MG TAB</t>
  </si>
  <si>
    <t>AMODEP AT TAB</t>
  </si>
  <si>
    <t>AMODEP TMH TAB</t>
  </si>
  <si>
    <t>AMODEP TM TAB</t>
  </si>
  <si>
    <t>AV-UTI SUSPENSION 100ML</t>
  </si>
  <si>
    <t>CDPIN 10MG TAB</t>
  </si>
  <si>
    <t>CDPIN 20MG TAB</t>
  </si>
  <si>
    <t>CDPIN 5MG TAB</t>
  </si>
  <si>
    <t>CINZAN 25MG TAB</t>
  </si>
  <si>
    <t>CINZAN 75MG TAB</t>
  </si>
  <si>
    <t>CINZAN PLUS TAB</t>
  </si>
  <si>
    <t>FLEMICLAV 375MG TAB</t>
  </si>
  <si>
    <t>FLEMICLAV 625MG TAB</t>
  </si>
  <si>
    <t>FLEMICLAV FORTE DS SYP 30ML</t>
  </si>
  <si>
    <t>FLEMICLAV KID DRY SYP 30ML</t>
  </si>
  <si>
    <t>FLEMICLAV KID DT TAB</t>
  </si>
  <si>
    <t>GUTRITE SB SACHET 1GM</t>
  </si>
  <si>
    <t>LACRELAX IG GRANULES 180GM</t>
  </si>
  <si>
    <t>LACRELAX IG GRANULES 90GM</t>
  </si>
  <si>
    <t>LACRELAX SYRUP</t>
  </si>
  <si>
    <t>PEPCIA 10MG TAB</t>
  </si>
  <si>
    <t>PEPCIA 20MG TAB</t>
  </si>
  <si>
    <t>PEPCIA D CAP</t>
  </si>
  <si>
    <t>PEPCIA L CAP</t>
  </si>
  <si>
    <t>RIFABET 200MG TAB</t>
  </si>
  <si>
    <t>RIFABET 400MG</t>
  </si>
  <si>
    <t>RIFABET 550MG TAB</t>
  </si>
  <si>
    <t>TEN DC M 1000MG TAB</t>
  </si>
  <si>
    <t>TEN DC M 500MG TAB</t>
  </si>
  <si>
    <t>TEN DC TAB</t>
  </si>
  <si>
    <t>TUFFCLO CREAM 30GM</t>
  </si>
  <si>
    <t>VIROVIR 250MG TAB</t>
  </si>
  <si>
    <t>VIROVIR 500MG TAB</t>
  </si>
  <si>
    <t>VITCOBIN TAB</t>
  </si>
  <si>
    <t>ZIBLOK 25MG TAB</t>
  </si>
  <si>
    <t>ZIBLOK 50MG TAB</t>
  </si>
  <si>
    <t>ZIGLIM 1MG TAB</t>
  </si>
  <si>
    <t>ZIGLIM 2MG TAB</t>
  </si>
  <si>
    <t>ZIGLIM M 1 FORTE TAB</t>
  </si>
  <si>
    <t>ZIGLIM M 1MG TAB</t>
  </si>
  <si>
    <t>ZIGLIM M 2 FORTE TAB</t>
  </si>
  <si>
    <t>ZIGLIM M 2MG TAB</t>
  </si>
  <si>
    <t>ZIGLIM PLUS 1 TAB</t>
  </si>
  <si>
    <t>ZIGLIM PLUS 2 TAB</t>
  </si>
  <si>
    <t>ZILOS 25MG TAB</t>
  </si>
  <si>
    <t>ZILOS 50MG TAB</t>
  </si>
  <si>
    <t>ZILOS AM TAB</t>
  </si>
  <si>
    <t>ZILOS H TAB</t>
  </si>
  <si>
    <t>ZIRAM 2.5MG CAP</t>
  </si>
  <si>
    <t>ZIRAM 5MG CAP</t>
  </si>
  <si>
    <t>ZITELMI 40MG TAB</t>
  </si>
  <si>
    <t>ZITELMI C TAB</t>
  </si>
  <si>
    <t>ZITELMI H TAB</t>
  </si>
  <si>
    <t>ZITELMI M 25MG TAB</t>
  </si>
  <si>
    <t>ZITELMI M 50MG TAB</t>
  </si>
  <si>
    <t>ZIVAST 10MG TAB</t>
  </si>
  <si>
    <t>ZIVAST 20MG TAB</t>
  </si>
  <si>
    <t>ZIVAST 5MG TAB</t>
  </si>
  <si>
    <t>ZIVAST AM TAB</t>
  </si>
  <si>
    <t>ZIVAST E 10 TAB</t>
  </si>
  <si>
    <t>ZIVAST F TAB</t>
  </si>
  <si>
    <t>ZORNO SUSP 30ML</t>
  </si>
  <si>
    <t>ZORNO TAB</t>
  </si>
  <si>
    <t>ZOSPAR 200MG TAB</t>
  </si>
  <si>
    <t>ROLISTAT 5MG TAB</t>
  </si>
  <si>
    <t>FDC Ltd (DILSE)</t>
  </si>
  <si>
    <t>ROLISTAT F 10MG TAB</t>
  </si>
  <si>
    <t>ROLISTAT F 5MG TAB</t>
  </si>
  <si>
    <t>SYNPLATT 75MG TAB</t>
  </si>
  <si>
    <t>URIPRO 0.4MG CAP</t>
  </si>
  <si>
    <t>VASOMET XL 25MG TAB</t>
  </si>
  <si>
    <t>VASOMET XL 50MG TAB</t>
  </si>
  <si>
    <t>ZIBOSE 0.2MG TAB</t>
  </si>
  <si>
    <t>ZIBOSE 0.3MG TAB</t>
  </si>
  <si>
    <t>ZIBOSE M 0.2MG TAB</t>
  </si>
  <si>
    <t>ZIBOSE M 0.3MG TAB</t>
  </si>
  <si>
    <t>ZIPIO 15MG TAB</t>
  </si>
  <si>
    <t>ZIPIO M 15MG TAB</t>
  </si>
  <si>
    <t>BIMAPIX 0.01% EYE DROP 3ML</t>
  </si>
  <si>
    <t>FDC Ltd (PIXEL)</t>
  </si>
  <si>
    <t>IOBET EYE DROP 5ML</t>
  </si>
  <si>
    <t>IOBRIM EYE DROP 5ML</t>
  </si>
  <si>
    <t>IOPAR SR CAP</t>
  </si>
  <si>
    <t>IOTIM 0.5% EYE DROP 5ML</t>
  </si>
  <si>
    <t>IOTIM B EYE DROP 5ML</t>
  </si>
  <si>
    <t>IOTIM PLUS EYE DROP 5ML</t>
  </si>
  <si>
    <t>MOISOL EYE DROP 5ML</t>
  </si>
  <si>
    <t>MOISOL Z EYE DROP 10ML</t>
  </si>
  <si>
    <t>MOSI D EYE DROP 5ML</t>
  </si>
  <si>
    <t>MOSI D EYE DROPS 10ML</t>
  </si>
  <si>
    <t>MOSI-DX EYE DROPS 5ML</t>
  </si>
  <si>
    <t>MOSI EYE DROP 5ML</t>
  </si>
  <si>
    <t>MOSI EYE OINTMENT 5GM</t>
  </si>
  <si>
    <t>NEPAPIX EYE DROP 5ML</t>
  </si>
  <si>
    <t>OCUDOR EYE DROP 5ML</t>
  </si>
  <si>
    <t>OCUFLUR EYE DROP 5ML</t>
  </si>
  <si>
    <t>OCUVIR EYE OINTMENT 5GM</t>
  </si>
  <si>
    <t>OCUWEL CAP</t>
  </si>
  <si>
    <t>PILOCAR 2% EYE DROP 5ML</t>
  </si>
  <si>
    <t>PIXELUB MULTI EYE DROP 10ML</t>
  </si>
  <si>
    <t>PIXELUB UNIMS 6*4ML</t>
  </si>
  <si>
    <t>PYRICORT E/E DROP 5ML</t>
  </si>
  <si>
    <t>PYRICORT EYE/EAR DROP 10ML</t>
  </si>
  <si>
    <t>ZOCON EYE DROP 5ML</t>
  </si>
  <si>
    <t>ZO D DROP 10ML</t>
  </si>
  <si>
    <t>ZO D EYE DROP 5ML</t>
  </si>
  <si>
    <t>ZO EYE DROP 5ML</t>
  </si>
  <si>
    <t>ELECTRAL POWDER 21.80GM</t>
  </si>
  <si>
    <t>FDC Ltd (ELECTRAL)</t>
  </si>
  <si>
    <t>ELECTRAL POWDER 4.40GM 4.40GM</t>
  </si>
  <si>
    <t>ELECTRAL POWDER (O) 4.40GM</t>
  </si>
  <si>
    <t>ELECTRAL POWDER (ORANGE) 21.8GM</t>
  </si>
  <si>
    <t>ELECTRAL RTD APPLE $</t>
  </si>
  <si>
    <t>ELECTRAL RTD MANGO $</t>
  </si>
  <si>
    <t>ELECTRAL RTD ORANGE 200ML</t>
  </si>
  <si>
    <t>ELECTRAL-Z COMBI KIT 1KIT</t>
  </si>
  <si>
    <t>MUMMUM POWDER ST-1 400GM</t>
  </si>
  <si>
    <t>MUMMUM POWDER ST-2 400GM</t>
  </si>
  <si>
    <t>PROSOYAL POWDER $ 400GM</t>
  </si>
  <si>
    <t>SIMYL MCT OIL 100ML</t>
  </si>
  <si>
    <t>SIMYL MCT OIL $ 50ML</t>
  </si>
  <si>
    <t>SIMYL MCT POWDER $ 200GM</t>
  </si>
  <si>
    <t>SIMYL MCT POWDER $ 400GM</t>
  </si>
  <si>
    <t>ZEFRICH POWDER (CHOCO) $ 200GM</t>
  </si>
  <si>
    <t>ZEFRICH POWDER {M} $ 200GM</t>
  </si>
  <si>
    <t>ZIORAL ORAL SOLU. 100ML</t>
  </si>
  <si>
    <t>B-COLEN C NS SYRUP 100ML</t>
  </si>
  <si>
    <t>Galpha Laboratories Ltd</t>
  </si>
  <si>
    <t>B-COLEN NS DROPS 15ML</t>
  </si>
  <si>
    <t>B-COLEN NS SYRUP 200ML</t>
  </si>
  <si>
    <t>B-COLEN NS TAB</t>
  </si>
  <si>
    <t>B-COLEN WOMAN CAPSULES</t>
  </si>
  <si>
    <t>CLANOXY 200MG DRY SYRUP 30ML</t>
  </si>
  <si>
    <t>CLANOXY 625MG TAB</t>
  </si>
  <si>
    <t>GAL-COL DROPS 15ML</t>
  </si>
  <si>
    <t>GAL-COL DROPS 30ML</t>
  </si>
  <si>
    <t>GALROL 60 K CAP</t>
  </si>
  <si>
    <t>GALROL DROPS 30ML</t>
  </si>
  <si>
    <t>ISV 4 MD TAB</t>
  </si>
  <si>
    <t>ISV SYRUP 30ML</t>
  </si>
  <si>
    <t>LERZIN-M SYRUP 60ML</t>
  </si>
  <si>
    <t>LERZIN-M TAB</t>
  </si>
  <si>
    <t>LU-GAL CREAM 10GM</t>
  </si>
  <si>
    <t>LU-GAL CREAM 30GM 30GM</t>
  </si>
  <si>
    <t>MIK 1000MG INJ.</t>
  </si>
  <si>
    <t>MIK-500MG INJ 2ML</t>
  </si>
  <si>
    <t>ODICEF 1GM INJ.</t>
  </si>
  <si>
    <t>ODICEF 250MG INJ.</t>
  </si>
  <si>
    <t>ODICEF-CV 200 TAB</t>
  </si>
  <si>
    <t>ODICEF O 100MG DT TAB</t>
  </si>
  <si>
    <t>ODICEF O 200MG DT TAB</t>
  </si>
  <si>
    <t>ODICEF O DRY SYRUP 60ML</t>
  </si>
  <si>
    <t>ODICEF O FORTE DRY SYRUP 100ML</t>
  </si>
  <si>
    <t>ODICEF-S 1.5GM INJ.</t>
  </si>
  <si>
    <t>PANDOSTAL CAP</t>
  </si>
  <si>
    <t>PANDOSTAL OD CAP</t>
  </si>
  <si>
    <t>RHUMACORT TAB</t>
  </si>
  <si>
    <t>SUCOBA9 TAB</t>
  </si>
  <si>
    <t>VIPRON-XT TAB</t>
  </si>
  <si>
    <t>CANDID POWDER 100GM</t>
  </si>
  <si>
    <t>GLENMARK (OTC)</t>
  </si>
  <si>
    <t>HORLIX SACH. 75GM</t>
  </si>
  <si>
    <t>NIVEA CREAM</t>
  </si>
  <si>
    <t>SENSUR GEL 30GM</t>
  </si>
  <si>
    <t>SENSUR LOTION 50ML</t>
  </si>
  <si>
    <t>SENSUR OIL 10ML</t>
  </si>
  <si>
    <t>SENSUR RUBEFACIENT OINT. 10GM</t>
  </si>
  <si>
    <t>SENSUR RUB OINTMENT 30GM</t>
  </si>
  <si>
    <t>SENSUR SPRAY 40GM</t>
  </si>
  <si>
    <t>V WASH PLUS 100ML</t>
  </si>
  <si>
    <t>V WASH PLUS 200ML</t>
  </si>
  <si>
    <t>V WASH PLUS 20ML</t>
  </si>
  <si>
    <t>V WASH PLUS WIPES SACHET 1*10SAC.</t>
  </si>
  <si>
    <t>CHOC.HORLICKS BIG 100GM</t>
  </si>
  <si>
    <t>GLAXO (OTC)</t>
  </si>
  <si>
    <t>CROCIN 650MG TAB</t>
  </si>
  <si>
    <t>CROCIN ADVANCE TAB</t>
  </si>
  <si>
    <t>CROCIN COLD N FLU TAB</t>
  </si>
  <si>
    <t>CROCIN DROPS 15ML</t>
  </si>
  <si>
    <t>CROCIN DS SUSPENSION 60ML</t>
  </si>
  <si>
    <t>CROCIN PAIN RELIEF TAB</t>
  </si>
  <si>
    <t>CROCIN SUSPENSION 60ML</t>
  </si>
  <si>
    <t>OSTOCALCIUM FORTE TAB</t>
  </si>
  <si>
    <t>OSTOCALCIUM PLUS TAB</t>
  </si>
  <si>
    <t>OSTOCALCIUM SYP B/F 200ML</t>
  </si>
  <si>
    <t>OTRIVIN ADULT NASAL DROP 10ML</t>
  </si>
  <si>
    <t>OTRIVIN BABY NASAL DROPS 10ML</t>
  </si>
  <si>
    <t>OTRIVIN FAST REL.NASAL SRPAY 10ML</t>
  </si>
  <si>
    <t>OTRIVIN PED. NASAL DROP 10ML</t>
  </si>
  <si>
    <t>OTRIVIN S NASAL SPRAY 10ML</t>
  </si>
  <si>
    <t>SENSODYNE FRESH GEL 40GM</t>
  </si>
  <si>
    <t>SENSODYNE FRESH GEL 70GM</t>
  </si>
  <si>
    <t>SENSODYNE FRESH MINT 20GM</t>
  </si>
  <si>
    <t>SENSODYNE FRESH MINT 40GM</t>
  </si>
  <si>
    <t>SENSODYNE FRESH MINT 70GM</t>
  </si>
  <si>
    <t>SENSODYNE RAPID RELIEF 40GM</t>
  </si>
  <si>
    <t>SENSODYNE RAPID RELIEF 80GM</t>
  </si>
  <si>
    <t>SENSODYNE TOOTH PASTE 150GM</t>
  </si>
  <si>
    <t>SENSODYNE WHITENING 70GM</t>
  </si>
  <si>
    <t>T-MINIC DROPS 15ML</t>
  </si>
  <si>
    <t>T-MINIC SYRUP 60ML</t>
  </si>
  <si>
    <t>ESPAZINE 1MG TAB</t>
  </si>
  <si>
    <t>GLAXO (CNS)</t>
  </si>
  <si>
    <t>ESPAZINE 5MG TAB</t>
  </si>
  <si>
    <t>ESPAZINE PLUS TAB</t>
  </si>
  <si>
    <t>ICTACETAM 250MG TAB</t>
  </si>
  <si>
    <t>LAMICTAL 100MG DISP.TAB</t>
  </si>
  <si>
    <t>LAMICTAL 25MG DISP.TAB</t>
  </si>
  <si>
    <t>LAMICTAL 50MG DISP.TAB</t>
  </si>
  <si>
    <t>LAMICTAL 5MG DISP.TAB</t>
  </si>
  <si>
    <t>LAMICTAL XR 100MG TAB</t>
  </si>
  <si>
    <t>LAMICTAL XR 200MG TAB</t>
  </si>
  <si>
    <t>LAMICTAL XR 50MG TAB</t>
  </si>
  <si>
    <t>POVIZ SAFE SENITIZER 100ML</t>
  </si>
  <si>
    <t>POVIZ SAFE SENITIZER 500ML</t>
  </si>
  <si>
    <t>BETNESOL INJ. 8*1ML</t>
  </si>
  <si>
    <t>Glaxo SmithKline Pharmaceuticals Ltd</t>
  </si>
  <si>
    <t>BETNESOL N E/E DROP 5ML</t>
  </si>
  <si>
    <t>BETNESOL ORAL DROP 15ML</t>
  </si>
  <si>
    <t>BETNESOL TAB</t>
  </si>
  <si>
    <t>CALPOL 250MG SUSP. 60ML</t>
  </si>
  <si>
    <t>CALPOL 500MG TAB</t>
  </si>
  <si>
    <t>CALPOL 650MG TAB</t>
  </si>
  <si>
    <t>CALPOL PAEDIATRIC DROP 15ML</t>
  </si>
  <si>
    <t>CALPOL PAED.SUSP. 60ML</t>
  </si>
  <si>
    <t>CALPOL T TAB</t>
  </si>
  <si>
    <t>CETZINE A TAB</t>
  </si>
  <si>
    <t>CETZINE SYP 60ML</t>
  </si>
  <si>
    <t>CETZINE TAB</t>
  </si>
  <si>
    <t>COBADEX FORTE CAP</t>
  </si>
  <si>
    <t>ENTEROPLUS CAP</t>
  </si>
  <si>
    <t>FESOVIT CAP</t>
  </si>
  <si>
    <t>GLACE X CAP $</t>
  </si>
  <si>
    <t>NEOSPORIN H EAR DROP 5ML</t>
  </si>
  <si>
    <t>NEOSPORIN H OINTMENT 5GM</t>
  </si>
  <si>
    <t>NEOSPORIN OINT. 5GM</t>
  </si>
  <si>
    <t>NEOSPORIN POWDER 10GM</t>
  </si>
  <si>
    <t>NEOSPORIN SKIN OINTMENT B 20GM</t>
  </si>
  <si>
    <t>20GM</t>
  </si>
  <si>
    <t>PARIT D CAP</t>
  </si>
  <si>
    <t>PARIT TAB</t>
  </si>
  <si>
    <t>PHEXIN 125MG REDISYP 60ML</t>
  </si>
  <si>
    <t>PHEXIN 250MG CAP</t>
  </si>
  <si>
    <t>PHEXIN 250MG DT</t>
  </si>
  <si>
    <t>PHEXIN 250MG REDISYP 60ML</t>
  </si>
  <si>
    <t>PHEXIN 500MG CAP</t>
  </si>
  <si>
    <t>PHEXIN BD 375MG TAB</t>
  </si>
  <si>
    <t>PHEXIN BD 750MG TAB</t>
  </si>
  <si>
    <t>PHEXIN DROP 10ML</t>
  </si>
  <si>
    <t>PHEXIN DS SYP 30ML</t>
  </si>
  <si>
    <t>PHEXIN KID TAB</t>
  </si>
  <si>
    <t>PIRITON CS COUGH SUSP. 100ML</t>
  </si>
  <si>
    <t>PIRITON EXPT 100ML</t>
  </si>
  <si>
    <t>SHIELD OINTMENT 15GM</t>
  </si>
  <si>
    <t>15GM</t>
  </si>
  <si>
    <t>ZEMETRIL 250MG TAB</t>
  </si>
  <si>
    <t>ZEMETRIL 500MG TAB</t>
  </si>
  <si>
    <t>ZENTEL 400MG TAB</t>
  </si>
  <si>
    <t>ZENTEL SUSPENSION 10ML</t>
  </si>
  <si>
    <t>ZEVIT CAP</t>
  </si>
  <si>
    <t>ZINETAC 150MG TAB</t>
  </si>
  <si>
    <t>ZINETAC 300MG TAB</t>
  </si>
  <si>
    <t>ZUPAR CAPTAB</t>
  </si>
  <si>
    <t>BETNESOL FORTE TAB</t>
  </si>
  <si>
    <t>DAPSONE 100MG TAB</t>
  </si>
  <si>
    <t>DERMOCALM LOTION 100ML</t>
  </si>
  <si>
    <t>DERMOCALM LOTION 50ML</t>
  </si>
  <si>
    <t>DUOFILM 15ML</t>
  </si>
  <si>
    <t>EMODERM CREAM 50GM</t>
  </si>
  <si>
    <t>EUMOSONE CREAM 15GM</t>
  </si>
  <si>
    <t>EUMOSONE M CREAM 15GM</t>
  </si>
  <si>
    <t>FLUTIBACT OINTMENT 10GM</t>
  </si>
  <si>
    <t>FLUTIBACT OINTMENT 5GM</t>
  </si>
  <si>
    <t>FLUTIVATE CREAM 10GM</t>
  </si>
  <si>
    <t>FLUTIVATE E CREAM 10GM</t>
  </si>
  <si>
    <t>FLUTIVATE E CREAM 30GM</t>
  </si>
  <si>
    <t>FLUTIVATE OINT. 20GM</t>
  </si>
  <si>
    <t>GRISOVIN FP 250MG TAB</t>
  </si>
  <si>
    <t>MEBRYL TAB</t>
  </si>
  <si>
    <t>NEOTREXATE TAB *</t>
  </si>
  <si>
    <t>OILATUM BAR $ 100GM</t>
  </si>
  <si>
    <t>OILATUM BAR $ 50GM</t>
  </si>
  <si>
    <t>OILATUM KIDS BAR $ 50GM</t>
  </si>
  <si>
    <t>SASTID BAR 50GM</t>
  </si>
  <si>
    <t>STELBID 2MG TAB</t>
  </si>
  <si>
    <t>STELBID TAB</t>
  </si>
  <si>
    <t>STIEPROX LIQUID 50ML</t>
  </si>
  <si>
    <t>T BACT CREAM 7.5GM</t>
  </si>
  <si>
    <t>T-BACT OINTMENT 15GM</t>
  </si>
  <si>
    <t>T BACT OINTMENT 5GM</t>
  </si>
  <si>
    <t>TENOVATE GN CREAM 10GM</t>
  </si>
  <si>
    <t>TENOVATE M CREAM 15GM</t>
  </si>
  <si>
    <t>TENOVATE NM CREAM 10GM</t>
  </si>
  <si>
    <t>TENOVATE OINTMENT 15GM</t>
  </si>
  <si>
    <t>TENOVATE SKIN CREAM 30GM</t>
  </si>
  <si>
    <t>VOZET 5MG TAB</t>
  </si>
  <si>
    <t>ZIMIG 250MG TAB</t>
  </si>
  <si>
    <t>ZIMIG CREAM 10GM</t>
  </si>
  <si>
    <t>ZIMIVIR 1000MG TAB</t>
  </si>
  <si>
    <t>ZIMIVIR 500MG TAB</t>
  </si>
  <si>
    <t>ZODERM E CREAM 30GM</t>
  </si>
  <si>
    <t>ZOVIRAX 200MG TAB</t>
  </si>
  <si>
    <t>ZOVIRAX 400MG TAB</t>
  </si>
  <si>
    <t>ZOVIRAX 800MG TAB</t>
  </si>
  <si>
    <t>ZOVIRAX SUSPENSION 100ML</t>
  </si>
  <si>
    <t>ACNE AID BAR $ 100GM</t>
  </si>
  <si>
    <t>ACNE AID BAR $ 50GM</t>
  </si>
  <si>
    <t>ACNE AID WASH 60GM</t>
  </si>
  <si>
    <t>ANSOLAR GEL CREAM SPF 30 60GM</t>
  </si>
  <si>
    <t>ANSOLAR LOTION SPF 60 60ML</t>
  </si>
  <si>
    <t>BREVOXYL CREAM 20GM</t>
  </si>
  <si>
    <t>BREVOXYL CREAMY WASH 50GM</t>
  </si>
  <si>
    <t>OILATUM CREAM 40GM</t>
  </si>
  <si>
    <t>OILATUM EMOLLIENT 100ML</t>
  </si>
  <si>
    <t>OILATUM LOTION $ 100ML</t>
  </si>
  <si>
    <t>PHYSIOGEL AI CREAM 50GM</t>
  </si>
  <si>
    <t>PHYSIOGEL AI LOTION 100ML</t>
  </si>
  <si>
    <t>PHYSIOGEL CREAM 50GM</t>
  </si>
  <si>
    <t>PHYSIOGEL CREAM 75GM</t>
  </si>
  <si>
    <t>PHYSIOGEL LOTION 100ML</t>
  </si>
  <si>
    <t>SARNA LOTION $ 60GM</t>
  </si>
  <si>
    <t>SPECTRABAN SENSITIVE $ 30GM</t>
  </si>
  <si>
    <t>TOPGRAF 0.03% OINT 10GM</t>
  </si>
  <si>
    <t>TOPGRAF 0.1% OINT 10GM</t>
  </si>
  <si>
    <t>ANGIOTEC TAB</t>
  </si>
  <si>
    <t>BANOCIDE FORTE TAB</t>
  </si>
  <si>
    <t>BECADEXAMIN CAP #</t>
  </si>
  <si>
    <t>BETNOVATE C CREAM 30GM</t>
  </si>
  <si>
    <t>BETNOVATE CREAM 20GM</t>
  </si>
  <si>
    <t>BETNOVATEGM CREAM 20GM</t>
  </si>
  <si>
    <t>BETNOVATE N CREAM 20GM</t>
  </si>
  <si>
    <t>BETNOVATE S CREAM 20GM</t>
  </si>
  <si>
    <t>BIDURET L TAB</t>
  </si>
  <si>
    <t>BIDURET TAB</t>
  </si>
  <si>
    <t>CARZEC 3.125MG TAB</t>
  </si>
  <si>
    <t>CARZEC 6.25MG TAB</t>
  </si>
  <si>
    <t>CEFTUM 250MG CAPTAB</t>
  </si>
  <si>
    <t>CEFTUM 500MG CAPTAB</t>
  </si>
  <si>
    <t>CELIN 500MG TAB</t>
  </si>
  <si>
    <t>COBADEX CZS TAB</t>
  </si>
  <si>
    <t>ELTROXIN 125MCG TAB</t>
  </si>
  <si>
    <t>ELTROXIN 25MCG TAB</t>
  </si>
  <si>
    <t>ELTROXIN 50MCG TAB</t>
  </si>
  <si>
    <t>ELTROXIN 75MCG TAB</t>
  </si>
  <si>
    <t>ELTROXIN TAB</t>
  </si>
  <si>
    <t>LILO 10MG TAB</t>
  </si>
  <si>
    <t>LILO 20MG TAB</t>
  </si>
  <si>
    <t>MODUS 10MG TAB</t>
  </si>
  <si>
    <t>OTINA EAR DROP 5ML</t>
  </si>
  <si>
    <t>SEPMAX TAB</t>
  </si>
  <si>
    <t>SEPTRAN ADULT TAB</t>
  </si>
  <si>
    <t>SEPTRAN PAED.SUSP. 60ML</t>
  </si>
  <si>
    <t>SUPACEF 1.5GM INJ.</t>
  </si>
  <si>
    <t>URICOSTAT 40MG TAB</t>
  </si>
  <si>
    <t>URICOSTAT 80MG TAB</t>
  </si>
  <si>
    <t>ZYLORIC 100MG TAB</t>
  </si>
  <si>
    <t>ZYLORIC 300MG TAB</t>
  </si>
  <si>
    <t>AUGMENTIN 1000MG DUO TAB</t>
  </si>
  <si>
    <t>AUGMENTIN 1.2GM IV</t>
  </si>
  <si>
    <t>AUGMENTIN 375MG TAB</t>
  </si>
  <si>
    <t>AUGMENTIN 625MG DUO TAB</t>
  </si>
  <si>
    <t>AUGMENTIN DDS SYP 30ML</t>
  </si>
  <si>
    <t>AUGMENTIN DUO DRY SYRUP 30ML</t>
  </si>
  <si>
    <t>AVAMYS NASAL SPRAY 10GM</t>
  </si>
  <si>
    <t>BENITEC 20MG TAB</t>
  </si>
  <si>
    <t>BENITEC 40MG TAB</t>
  </si>
  <si>
    <t>BENITEC A TAB</t>
  </si>
  <si>
    <t>BENITEC H 20MG TAB</t>
  </si>
  <si>
    <t>BENITEC H 40MG TAB</t>
  </si>
  <si>
    <t>CCM TAB</t>
  </si>
  <si>
    <t>FEFOL SPANSULE CAP</t>
  </si>
  <si>
    <t>FEFOL Z CAP</t>
  </si>
  <si>
    <t>FLIXONASE NASAL SPRAY 120MD</t>
  </si>
  <si>
    <t>FORTUM 250MG INJ.</t>
  </si>
  <si>
    <t>LANOXIN TAB</t>
  </si>
  <si>
    <t>ROSUTEC 10MG TAB</t>
  </si>
  <si>
    <t>ROSUTEC 20MG TAB</t>
  </si>
  <si>
    <t>ROSUTEC 5MG TAB</t>
  </si>
  <si>
    <t>METLEAD G 1MG TAB</t>
  </si>
  <si>
    <t>METLEAD SR 500MG TAB</t>
  </si>
  <si>
    <t>SERETIDE 125MCG EVOHALER</t>
  </si>
  <si>
    <t>SERETIDE 250MCG EVOHALER</t>
  </si>
  <si>
    <t>SERETIDE ACCUHALER 50/100 50/100</t>
  </si>
  <si>
    <t>SERETIDE ACCUHALER 50/250 28MTD</t>
  </si>
  <si>
    <t>SERETIDE ACCUHALER 50/250 50/250</t>
  </si>
  <si>
    <t>SERETIDE ACCUHALER 50/500 28MTD</t>
  </si>
  <si>
    <t>SERETIDE ACCUHALER 50/500 50/500</t>
  </si>
  <si>
    <t>VENTORLIN EXPT. 120ML</t>
  </si>
  <si>
    <t>VENTORLIN INHALER 200MD</t>
  </si>
  <si>
    <t>VENTORLIN MINI SPACER-DV</t>
  </si>
  <si>
    <t>VENTORLIN SYP 100ML</t>
  </si>
  <si>
    <t>CALCULAT D3 TAB</t>
  </si>
  <si>
    <t>HIGLANCE LABORATORIES</t>
  </si>
  <si>
    <t>CALCULATE TAB</t>
  </si>
  <si>
    <t>TAMPIL 0.4MG TAB</t>
  </si>
  <si>
    <t>TAMPIL D TAB</t>
  </si>
  <si>
    <t>YOGABOSE 0.2MG TAB</t>
  </si>
  <si>
    <t>YOGABOSE 0.3MG TAB</t>
  </si>
  <si>
    <t>YOGAMETGM 1 FORTE TAB</t>
  </si>
  <si>
    <t>YOGAMETGM 1MG TAB</t>
  </si>
  <si>
    <t>YOGAMETGM 2 FORTE TAB</t>
  </si>
  <si>
    <t>YOGAMETGM 2MG TAB</t>
  </si>
  <si>
    <t>YOGAMETGMP 1MG TAB</t>
  </si>
  <si>
    <t>YOGAMETGMP 2MG TAB</t>
  </si>
  <si>
    <t>YOGAMET TRIO 1MG TAB</t>
  </si>
  <si>
    <t>YOGAMET TRIO 2MG TAB</t>
  </si>
  <si>
    <t>YOGAMIN M 75MG CAP</t>
  </si>
  <si>
    <t>YOGAPROL 25MG TAB</t>
  </si>
  <si>
    <t>YOGAPROL 50MG TAB</t>
  </si>
  <si>
    <t>YOGAPROL AM 50MG TAB</t>
  </si>
  <si>
    <t>YOGAROS 10MG TAB</t>
  </si>
  <si>
    <t>YOGAROS 20MG TAB</t>
  </si>
  <si>
    <t>YOGAROS 40MG TAB</t>
  </si>
  <si>
    <t>YOGAROS 5MG TAB</t>
  </si>
  <si>
    <t>YOGAROS GOLD 10MG CAP</t>
  </si>
  <si>
    <t>YOGAROS GOLD 20MG CAP</t>
  </si>
  <si>
    <t>YOGATEL 20MG TAB</t>
  </si>
  <si>
    <t>YOGATEL 40MG TAB</t>
  </si>
  <si>
    <t>YOGATEL 80MG TAB</t>
  </si>
  <si>
    <t>YOGATEL AH 40MG TAB</t>
  </si>
  <si>
    <t>YOGATEL AM 40MG TAB</t>
  </si>
  <si>
    <t>YOGATEL CH 40MG TAB</t>
  </si>
  <si>
    <t>YOGATEL CH 80MG TAB</t>
  </si>
  <si>
    <t>YOGATEL H 40MG TAB</t>
  </si>
  <si>
    <t>YOGATEL H 80MG TAB</t>
  </si>
  <si>
    <t>YOGAZAM 5MG TAB</t>
  </si>
  <si>
    <t>CYSTHEAL TAB</t>
  </si>
  <si>
    <t>INDIABULLS (FEMINEX)</t>
  </si>
  <si>
    <t>DARCIUM POWDER</t>
  </si>
  <si>
    <t>EMEFREZE TAB</t>
  </si>
  <si>
    <t>FEMIGRACE TAB</t>
  </si>
  <si>
    <t>IBIGEST 100MG CAP</t>
  </si>
  <si>
    <t>IBIGEST 200MG CAP</t>
  </si>
  <si>
    <t>IBIGEST 300MG CAP</t>
  </si>
  <si>
    <t>IBIGEST SR 200MG TAB</t>
  </si>
  <si>
    <t>IBIGEST SR 300MG CAP</t>
  </si>
  <si>
    <t>IBIMEFT TAB</t>
  </si>
  <si>
    <t>IBPRISTAL TAB</t>
  </si>
  <si>
    <t>IRONEX HB TAB</t>
  </si>
  <si>
    <t>IRONEX SACHETS</t>
  </si>
  <si>
    <t>LYSENIUM TAB</t>
  </si>
  <si>
    <t>NITROFEM SR TAB</t>
  </si>
  <si>
    <t>NITROFEM TAB</t>
  </si>
  <si>
    <t>STRONGMOM POWDER 200GM</t>
  </si>
  <si>
    <t>UROMUNE SOFTGEL CAP</t>
  </si>
  <si>
    <t>VALENTINA CAP</t>
  </si>
  <si>
    <t>IBCIL 10MG TAB</t>
  </si>
  <si>
    <t>INDIABULLS (CVD)</t>
  </si>
  <si>
    <t>IBCIL 20MG TAB</t>
  </si>
  <si>
    <t>IBCIL 5MG TAB</t>
  </si>
  <si>
    <t>IBCIL M 25MG TAB</t>
  </si>
  <si>
    <t>IBCIL M 50MG TAB</t>
  </si>
  <si>
    <t>IBCLOP A 150MG CAP</t>
  </si>
  <si>
    <t>IBCLOP A 75MG CAP</t>
  </si>
  <si>
    <t>IBCLOP TAB</t>
  </si>
  <si>
    <t>IBDINE 5MG TAB</t>
  </si>
  <si>
    <t>IBFORMIN 1GM SR TAB</t>
  </si>
  <si>
    <t>IBFORMIN 500MG SR TAB</t>
  </si>
  <si>
    <t>IBFORMIN G 0.5MG TAB</t>
  </si>
  <si>
    <t>IBFORMIN G 1MG TAB</t>
  </si>
  <si>
    <t>IBFORMIN G 2MG TAB</t>
  </si>
  <si>
    <t>IBGLIPTIN 20MG TAB</t>
  </si>
  <si>
    <t>IBGLIPTIN M 1000MG TAB</t>
  </si>
  <si>
    <t>IBGLIPTIN M 500MG TAB</t>
  </si>
  <si>
    <t>IBIMIDE 5MG TAB</t>
  </si>
  <si>
    <t>IBMETO XR 50MG TAB</t>
  </si>
  <si>
    <t>IBMIDE 10MG TAB</t>
  </si>
  <si>
    <t>IBMIDE 20MG TAB</t>
  </si>
  <si>
    <t>IBMIDE 5MG TAB</t>
  </si>
  <si>
    <t>IBOLME BETA TAB</t>
  </si>
  <si>
    <t>IBOLME CD TAB</t>
  </si>
  <si>
    <t>IBOLME CT 20MG TAB</t>
  </si>
  <si>
    <t>IBOLME CT 40MG TAB</t>
  </si>
  <si>
    <t>IBOLME CT 6.25MG TAB</t>
  </si>
  <si>
    <t>IBOLME TRIO 20MG TAB</t>
  </si>
  <si>
    <t>IBOLME TRIO 40MG TAB</t>
  </si>
  <si>
    <t>IBOMEGA TAB</t>
  </si>
  <si>
    <t>IBSLIM TAB</t>
  </si>
  <si>
    <t>IBSTATIN 10MG TAB</t>
  </si>
  <si>
    <t>IBSTATIN 20MG TAB</t>
  </si>
  <si>
    <t>IBSTATIN 40MG TAB</t>
  </si>
  <si>
    <t>IBSTATIN 5MG TAB</t>
  </si>
  <si>
    <t>IBSTATIN A 150MG CAP</t>
  </si>
  <si>
    <t>IBSTATIN A 75MG CAP</t>
  </si>
  <si>
    <t>IBSTATIN AC 10MG TAB</t>
  </si>
  <si>
    <t>IBSTATIN C TAB</t>
  </si>
  <si>
    <t>IBSTATIN-F 10MG TAB</t>
  </si>
  <si>
    <t>IBSTATIN F 5MG TAB</t>
  </si>
  <si>
    <t>IBTEL 20MG TAB</t>
  </si>
  <si>
    <t>IBTEL 40MG TAB</t>
  </si>
  <si>
    <t>IBTEL AM 40MG TAB</t>
  </si>
  <si>
    <t>IBTEL AM 80MG TAB</t>
  </si>
  <si>
    <t>IBTEL CT 40MG TAB</t>
  </si>
  <si>
    <t>IBTEL CT 6.25MG TAB</t>
  </si>
  <si>
    <t>IBTEL CT 80MG TAB</t>
  </si>
  <si>
    <t>IBTEL M 50MG TAB</t>
  </si>
  <si>
    <t>IBTEL TRIO 40MG TAB</t>
  </si>
  <si>
    <t>IBTEL TRIO 80MG TAB</t>
  </si>
  <si>
    <t>IBTOL 15MG TAB</t>
  </si>
  <si>
    <t>IBVILDA 50MG TAB</t>
  </si>
  <si>
    <t>IBVILDA M 1000MG TAB</t>
  </si>
  <si>
    <t>IBVILDA M 500MG TAB</t>
  </si>
  <si>
    <t>IBVOG 0.2MG TAB</t>
  </si>
  <si>
    <t>IBVOG 0.3MG TAB</t>
  </si>
  <si>
    <t>IBVOG M 0.3MG TAB</t>
  </si>
  <si>
    <t>IBZEN TAB</t>
  </si>
  <si>
    <t>IBZIL 40MG TAB</t>
  </si>
  <si>
    <t>IBZIL 80MG TAB</t>
  </si>
  <si>
    <t>ZENESTA 1 TAB</t>
  </si>
  <si>
    <t>ZENESTA 2 TAB</t>
  </si>
  <si>
    <t>ADAPERO GEL 15GM</t>
  </si>
  <si>
    <t>INDIABULLS (DERMANEX 1)</t>
  </si>
  <si>
    <t>IBGLOW ULTRA CREAM 15GM</t>
  </si>
  <si>
    <t>IBILUL CREAM 30GM</t>
  </si>
  <si>
    <t>IBITRET 10MG SOFTGEL</t>
  </si>
  <si>
    <t>IBITRET 20MG SOFTGEL</t>
  </si>
  <si>
    <t>MANDISA FOAM FACE WASH 60ML</t>
  </si>
  <si>
    <t>MINOFINA 5% SOLUTION 60ML</t>
  </si>
  <si>
    <t>MINOPEP ANTI-HAIRFALL SHAMPOO 250ML</t>
  </si>
  <si>
    <t>MINOPEP EVA SOLUTION 90ML.</t>
  </si>
  <si>
    <t>MINOPEP HAIR &amp; SCALP CONDI. 100GM</t>
  </si>
  <si>
    <t>MINOPEP SERUM 60ML</t>
  </si>
  <si>
    <t>MINOPEP SOLUTION 90ML</t>
  </si>
  <si>
    <t>MOIMAX FOOT CARE CREAM 50GM</t>
  </si>
  <si>
    <t>MOIMAX MOISTURIZER 100GM</t>
  </si>
  <si>
    <t>MOIMAX OC GEL 50GM</t>
  </si>
  <si>
    <t>DAPSIB GEL 15GM</t>
  </si>
  <si>
    <t>INDIABULLS (DERMANEX 2)</t>
  </si>
  <si>
    <t>HYDRAVO SKIN RENEWING MOIST. 50GM</t>
  </si>
  <si>
    <t>IBGLOW SKIN LIGHTENING CREAM 20GM</t>
  </si>
  <si>
    <t>IBISERT CREAM 30GM</t>
  </si>
  <si>
    <t>KETONITE GEL CREAM 30GM</t>
  </si>
  <si>
    <t>LA-MATISSE HAIR REVI.SERUM 60ML</t>
  </si>
  <si>
    <t>LA-MATISSE REPAIR RESCUE COND 100GM</t>
  </si>
  <si>
    <t>LA-MATISSE REPAIR RES.SHAMPOO 150ML</t>
  </si>
  <si>
    <t>LUMISE-C ANHYDROUS GEL 30GM</t>
  </si>
  <si>
    <t>LUMISE CLEANSER 100GM</t>
  </si>
  <si>
    <t>LUMISE CLEANSER 150GM</t>
  </si>
  <si>
    <t>LUMISE-G TAB</t>
  </si>
  <si>
    <t>NEW LA-MATISSE SERUM 90ML</t>
  </si>
  <si>
    <t>RETIGLOW NIGHT SERUM 30ML</t>
  </si>
  <si>
    <t>SOFTSCREEN SUNCREEN GEL 50GM</t>
  </si>
  <si>
    <t>SOFTSCREEN TINT GEL 50GM</t>
  </si>
  <si>
    <t>AMORFINE CREAM 30GM</t>
  </si>
  <si>
    <t>INDIABULLS (DERMANEX 3)</t>
  </si>
  <si>
    <t>APRNEXT 30 TAB</t>
  </si>
  <si>
    <t>BILAZO 20MG TAB</t>
  </si>
  <si>
    <t>CYCLONOX 100MG CAP</t>
  </si>
  <si>
    <t>CYCLONOX 50MG CAP</t>
  </si>
  <si>
    <t>GRISURE 500MG TAB</t>
  </si>
  <si>
    <t>IBITRA 100MG CAP</t>
  </si>
  <si>
    <t>IBITRA 200MG CAP</t>
  </si>
  <si>
    <t>PSORAXIB LOTION 150ML</t>
  </si>
  <si>
    <t>ACEBULL 100MG CAP</t>
  </si>
  <si>
    <t>INDIABULLS (INVICTA)</t>
  </si>
  <si>
    <t>ACEBULL A TAB</t>
  </si>
  <si>
    <t>ACEBULL SR 200MG TAB</t>
  </si>
  <si>
    <t>IBICLAV 625MG TAB</t>
  </si>
  <si>
    <t>IBICLAV DS SYRUP 30ML</t>
  </si>
  <si>
    <t>IBIKAST L TAB</t>
  </si>
  <si>
    <t>IBIKOF LS + SYRUP 100ML</t>
  </si>
  <si>
    <t>IBIKOF LS SYRUP 60ML</t>
  </si>
  <si>
    <t>IBIKOF SYRUP 100ML</t>
  </si>
  <si>
    <t>IBVITAL SYRUP 200ML</t>
  </si>
  <si>
    <t>IBVITAL TAB</t>
  </si>
  <si>
    <t>ITRABULL 100MG CAP</t>
  </si>
  <si>
    <t>ITRABULL 200MG CAP</t>
  </si>
  <si>
    <t>LULIBULL CREAM 10GM</t>
  </si>
  <si>
    <t>LULIBULL CREAM 30GM</t>
  </si>
  <si>
    <t>PANTOBULL 40MG TAB</t>
  </si>
  <si>
    <t>PANTOBULL D CAP</t>
  </si>
  <si>
    <t>BL 24 TAB</t>
  </si>
  <si>
    <t>INDIABULLS (NEXPIRA)</t>
  </si>
  <si>
    <t>IBCEF 500MG TAB</t>
  </si>
  <si>
    <t>IBIFLO 125 NEXHALER 240MTD</t>
  </si>
  <si>
    <t>IBIFLO 250 NEXCAPS</t>
  </si>
  <si>
    <t>IBIFLO 250 NEXHALER 240MTD</t>
  </si>
  <si>
    <t>IBIFLO-S 250 NEXCAPS</t>
  </si>
  <si>
    <t>IBIFLO S-500 NEXCAPS</t>
  </si>
  <si>
    <t>IBIFLO-S NEXHALER 240MTD</t>
  </si>
  <si>
    <t>IBIKAST F TAB</t>
  </si>
  <si>
    <t>IBIKAST LF TAB</t>
  </si>
  <si>
    <t>IBINASE NASAL SPRAY 120MTD</t>
  </si>
  <si>
    <t>IBINIDE 200MG NEXCAPS</t>
  </si>
  <si>
    <t>IBINIDE 200</t>
  </si>
  <si>
    <t>IBINIDE 400MG NEXCAPS</t>
  </si>
  <si>
    <t>IBINIDE 400</t>
  </si>
  <si>
    <t>IBINIDE R NEXPULE 2ML</t>
  </si>
  <si>
    <t>IBIRES I NEXPULE 2ML</t>
  </si>
  <si>
    <t>IBIRES L NEXPULE 2ML</t>
  </si>
  <si>
    <t>IBIRES NEXHALER 200MTD</t>
  </si>
  <si>
    <t>IBITROP NEXCAP</t>
  </si>
  <si>
    <t>RHINAID CAP</t>
  </si>
  <si>
    <t>ACTIBULL SUSPENSION 60ML</t>
  </si>
  <si>
    <t>INDIABULLS (PEDIA)</t>
  </si>
  <si>
    <t>IBALERT M KID SYRUP 60ML</t>
  </si>
  <si>
    <t>IBIBULL 250MG SUSP. 60ML</t>
  </si>
  <si>
    <t>IBIBULL DROPS 15ML</t>
  </si>
  <si>
    <t>IBIBULL SUSPENSION 60ML</t>
  </si>
  <si>
    <t>IBIKAST-L KID SYRUP 60ML</t>
  </si>
  <si>
    <t>IBIMOX BD SUSP. 30ML</t>
  </si>
  <si>
    <t>IBIMOX DROPS 10ML</t>
  </si>
  <si>
    <t>IBIMOX DS SYP 30ML</t>
  </si>
  <si>
    <t>IBIMOX SYRUP 30ML</t>
  </si>
  <si>
    <t>IBITUSS SUSP. 100ML</t>
  </si>
  <si>
    <t>IBIZOLID 100MG SYRUP 30ML</t>
  </si>
  <si>
    <t>MEFBULL DS SYRUP 100ML</t>
  </si>
  <si>
    <t>MEFBULL SYRUP 100ML</t>
  </si>
  <si>
    <t>XIFBULL 100MG DRY SYRUP 30ML</t>
  </si>
  <si>
    <t>XIFBULL 50MG DRY SYRUP 30ML</t>
  </si>
  <si>
    <t>XIFBULL DISP.TAB</t>
  </si>
  <si>
    <t>XIFBULL DROPS 10ML</t>
  </si>
  <si>
    <t>ACTIBULL SP TAB</t>
  </si>
  <si>
    <t>INDIABULLS (PRIMA)</t>
  </si>
  <si>
    <t>ACTIBULL TAB</t>
  </si>
  <si>
    <t>BIL-1 20MG TAB</t>
  </si>
  <si>
    <t>BIL-1 M TAB</t>
  </si>
  <si>
    <t>BIL-1 SYRUP 60ML</t>
  </si>
  <si>
    <t>ECORAB D CAP</t>
  </si>
  <si>
    <t>ECORAB L CAP</t>
  </si>
  <si>
    <t>ECORAB TAB</t>
  </si>
  <si>
    <t>ESTRAL-D TAB</t>
  </si>
  <si>
    <t>IBFLORA SUSPESION 5ML</t>
  </si>
  <si>
    <t>IBFLUX SOLUTION 200ML</t>
  </si>
  <si>
    <t>IBIALERT 5MG TAB</t>
  </si>
  <si>
    <t>IBIAPT SYRUP 200ML</t>
  </si>
  <si>
    <t>IBIBULL IV 100ML</t>
  </si>
  <si>
    <t>IBIBULL-T TAB</t>
  </si>
  <si>
    <t>IBICLEAR SOLUTION 180ML</t>
  </si>
  <si>
    <t>IBIDERM CREAM 10GM</t>
  </si>
  <si>
    <t>IBIDONE TAB</t>
  </si>
  <si>
    <t>IBIFAX-C TAB</t>
  </si>
  <si>
    <t>IBIFAX O IV 100ML</t>
  </si>
  <si>
    <t>IBIFAX O TAB</t>
  </si>
  <si>
    <t>IBIFIX 200MG TAB</t>
  </si>
  <si>
    <t>IBIFIX 400MG TAB</t>
  </si>
  <si>
    <t>IBIMOX 625MG TAB</t>
  </si>
  <si>
    <t>IBINEST TAB</t>
  </si>
  <si>
    <t>IBINUTRI SYRUP 100ML</t>
  </si>
  <si>
    <t>IBINUTRI TAB</t>
  </si>
  <si>
    <t>IBIORAL GEL 10GM</t>
  </si>
  <si>
    <t>IBIORAL MOUTHWASH 100ML</t>
  </si>
  <si>
    <t>IBIPANTO D TAB</t>
  </si>
  <si>
    <t>IBIPANTO TAB</t>
  </si>
  <si>
    <t>IBIPOD 100MG DRY SYRUP 30ML</t>
  </si>
  <si>
    <t>IBIPOD 100MG TAB</t>
  </si>
  <si>
    <t>IBIPOD 200MG TAB</t>
  </si>
  <si>
    <t>IBIPOD 50MG DRY SYRUP 30ML</t>
  </si>
  <si>
    <t>IBIPOD CV DRY SYRUP 30ML</t>
  </si>
  <si>
    <t>IBIPOD CV TAB</t>
  </si>
  <si>
    <t>IBIPROMPT SYP 200ML</t>
  </si>
  <si>
    <t>IBIREST TAB</t>
  </si>
  <si>
    <t>IBITHRAL 100MG SYRUP 15ML</t>
  </si>
  <si>
    <t>IBITHRAL 100MG SYRUP 30ML</t>
  </si>
  <si>
    <t>IBITHRAL 200MG SUSP. 30ML</t>
  </si>
  <si>
    <t>IBITHRAL 250MG TAB</t>
  </si>
  <si>
    <t>IBITHRAL 500MG TAB</t>
  </si>
  <si>
    <t>IBITOR TAB</t>
  </si>
  <si>
    <t>IBIZOLID IV 300ML</t>
  </si>
  <si>
    <t>IBIZOLID TAB</t>
  </si>
  <si>
    <t>MAXBULL 100MG TAB</t>
  </si>
  <si>
    <t>MAXBULL 25MG TAB</t>
  </si>
  <si>
    <t>MAXBULL 50MG TAB</t>
  </si>
  <si>
    <t>MEFBULL TAB</t>
  </si>
  <si>
    <t>NOBRO TAB</t>
  </si>
  <si>
    <t>VOMIBULL ORAL SOLUTION 30ML</t>
  </si>
  <si>
    <t>AMLOVEL 2.5MG TAB</t>
  </si>
  <si>
    <t>INDIABULLS (VESTA)</t>
  </si>
  <si>
    <t>AMLOVEL 5MG TAB</t>
  </si>
  <si>
    <t>AMLOVEL AT 25MG TAB</t>
  </si>
  <si>
    <t>AMLOVEL AT 50MG TAB</t>
  </si>
  <si>
    <t>FEXINID M TAB</t>
  </si>
  <si>
    <t>GLIPESTA 20MG TAB</t>
  </si>
  <si>
    <t>GLIPESTA M 1000MG TAB</t>
  </si>
  <si>
    <t>GLIPESTA M 500MG TAB</t>
  </si>
  <si>
    <t>IBI D3 TAB</t>
  </si>
  <si>
    <t>IBITOR 10MG TAB</t>
  </si>
  <si>
    <t>IBITOR 20MG TAB</t>
  </si>
  <si>
    <t>IBITOR 40MG TAB</t>
  </si>
  <si>
    <t>MEPHALIP TAB</t>
  </si>
  <si>
    <t>METFAITH 1000 TAB</t>
  </si>
  <si>
    <t>METFAITH 500MG TAB</t>
  </si>
  <si>
    <t>METFAITH G 1 FORTE TAB</t>
  </si>
  <si>
    <t>METFAITH G 1 TAB</t>
  </si>
  <si>
    <t>METFAITH G 2 FORTE TAB</t>
  </si>
  <si>
    <t>METFAITH G 2 TAB</t>
  </si>
  <si>
    <t>METFAITH PG 1 TAB</t>
  </si>
  <si>
    <t>METFAITH PG 2 TAB</t>
  </si>
  <si>
    <t>OMEVEST-D CAP</t>
  </si>
  <si>
    <t>OMEVEST TAB</t>
  </si>
  <si>
    <t>TELINDIA 20MG TAB</t>
  </si>
  <si>
    <t>TELINDIA 40MG TAB</t>
  </si>
  <si>
    <t>TELINDIA AM TAB</t>
  </si>
  <si>
    <t>TELINDIA H TAB</t>
  </si>
  <si>
    <t>VESTARYL JUNIOR SYRUP 60ML</t>
  </si>
  <si>
    <t>VESTARYL + SYRUP 100ML</t>
  </si>
  <si>
    <t>CYSTELIA 35MG TAB</t>
  </si>
  <si>
    <t>Jagsonpal Pharmaceuticals Ltd</t>
  </si>
  <si>
    <t>DIVAGEST SR 300MG TAB</t>
  </si>
  <si>
    <t>ENDOREG TAB</t>
  </si>
  <si>
    <t>KRAMPOFF TAB</t>
  </si>
  <si>
    <t>VERENA GEL 40GM</t>
  </si>
  <si>
    <t>YULIPRIST TAB</t>
  </si>
  <si>
    <t>CARTISAFE D TAB</t>
  </si>
  <si>
    <t>Jenburkt Pharmaceuticals Ltd</t>
  </si>
  <si>
    <t>CARTISAFE FORTE TAB</t>
  </si>
  <si>
    <t>EBERJEN CREAM 20GM</t>
  </si>
  <si>
    <t>EBERJEN M CREAM 10GM</t>
  </si>
  <si>
    <t>EBERJEN SOLUTION 40GM</t>
  </si>
  <si>
    <t>ECOPROT CH 200GM</t>
  </si>
  <si>
    <t>ECOPROT K.E. 200GM</t>
  </si>
  <si>
    <t>GLUCOTROL MF TAB</t>
  </si>
  <si>
    <t>GLUCOTROL TAB</t>
  </si>
  <si>
    <t>ITRIBEN 100MG CAP</t>
  </si>
  <si>
    <t>ITRIBEN 200MG CAP</t>
  </si>
  <si>
    <t>LA VIRIL CAP</t>
  </si>
  <si>
    <t>LULIJEN CREAM 30GM</t>
  </si>
  <si>
    <t>LULIJEN LOTION 15ML</t>
  </si>
  <si>
    <t>LUTRIBEN CREAM 30GM</t>
  </si>
  <si>
    <t>LUTRIBEN LOTION 15ML</t>
  </si>
  <si>
    <t>METMIN A TAB</t>
  </si>
  <si>
    <t>METMIN TAB</t>
  </si>
  <si>
    <t>NERVIJEN NP TAB</t>
  </si>
  <si>
    <t>NERVIJEN P CAP</t>
  </si>
  <si>
    <t>NERVIJEN PLUS INJ. 2ML</t>
  </si>
  <si>
    <t>NERVIJEN P SR TAB</t>
  </si>
  <si>
    <t>NERVIJEN XT CAP</t>
  </si>
  <si>
    <t>NEW NERVIJEN CT TAB</t>
  </si>
  <si>
    <t>NEW NERVIJEN D CAP</t>
  </si>
  <si>
    <t>NEW NERVIJEN PLUS CAP</t>
  </si>
  <si>
    <t>NEW NUMOX 625</t>
  </si>
  <si>
    <t>NEW NUMOX KID TAB</t>
  </si>
  <si>
    <t>NEW TRIBEN XT CREAM 10GM</t>
  </si>
  <si>
    <t>NEW ZIX RP CAP</t>
  </si>
  <si>
    <t>NUMOX LB CAP</t>
  </si>
  <si>
    <t>OJEN E/E DROP 5ML</t>
  </si>
  <si>
    <t>OJEN OZ SUSPENSION 30ML</t>
  </si>
  <si>
    <t>OJEN OZ TAB</t>
  </si>
  <si>
    <t>OJEN PLUS TAB</t>
  </si>
  <si>
    <t>OXICOJEN CREAM 20GM</t>
  </si>
  <si>
    <t>OXICOJEN CREAM 30GM</t>
  </si>
  <si>
    <t>OXICOJEN LOTION 50ML</t>
  </si>
  <si>
    <t>PIRIL DX SYP 100ML</t>
  </si>
  <si>
    <t>PIRITEXYL BR EXPT. 100ML</t>
  </si>
  <si>
    <t>PIRITEXYL LS JUNIOR SYRUP 50ML</t>
  </si>
  <si>
    <t>PIRITEXYL LS SF SYRUP 100ML</t>
  </si>
  <si>
    <t>PIRITEXYL LS+ SYRUP 100ML</t>
  </si>
  <si>
    <t>PIRITEXYL LS SYRUP 100ML</t>
  </si>
  <si>
    <t>PIRITEXYL PLUS COUGH SYRUP 100ML</t>
  </si>
  <si>
    <t>PIRITEXYL SYP 100ML</t>
  </si>
  <si>
    <t>POWERGESIC 2X GEL 30GM</t>
  </si>
  <si>
    <t>POWERGESIC MR TAB</t>
  </si>
  <si>
    <t>POWERGESIC PATCH 100MG</t>
  </si>
  <si>
    <t>PATCH</t>
  </si>
  <si>
    <t>POWERGESIC PLUS GEL 30GM</t>
  </si>
  <si>
    <t>POWERGESIC TAB</t>
  </si>
  <si>
    <t>RABERA L CAP</t>
  </si>
  <si>
    <t>TOPCAL M TAB</t>
  </si>
  <si>
    <t>TOPCAL O CAP</t>
  </si>
  <si>
    <t>TRAPIDOL D TAB</t>
  </si>
  <si>
    <t>TRIBEN AD LOTION 120ML</t>
  </si>
  <si>
    <t>TRIBEN B CREAM 20GM</t>
  </si>
  <si>
    <t>TRIBEN B LOTION 30ML</t>
  </si>
  <si>
    <t>TRIBEN CN CREAM 15GM</t>
  </si>
  <si>
    <t>TRIBEN CREAM 20GM</t>
  </si>
  <si>
    <t>TRIBEN DUSTING POWDER 100GM</t>
  </si>
  <si>
    <t>TRIBEN EAR DROP 10ML</t>
  </si>
  <si>
    <t>TRIBEN LOTION 30ML</t>
  </si>
  <si>
    <t>TRIBEN PLUS CREAM 10GM</t>
  </si>
  <si>
    <t>TRIBEN PLUS EAR DROP 5ML</t>
  </si>
  <si>
    <t>ZIXFLAM TAB</t>
  </si>
  <si>
    <t>ZIX MR 8MG TAB</t>
  </si>
  <si>
    <t>ZIX MR OD CAP</t>
  </si>
  <si>
    <t>ZIX MR TAB</t>
  </si>
  <si>
    <t>ZIX PG CAP</t>
  </si>
  <si>
    <t>ZIX P TAB</t>
  </si>
  <si>
    <t>ZIX R OD CAP</t>
  </si>
  <si>
    <t>ZIX SR TAB</t>
  </si>
  <si>
    <t>ZIX S TAB</t>
  </si>
  <si>
    <t>ZYDOL-P-DS SUSPESION 60ML</t>
  </si>
  <si>
    <t>ZYDOL P SUSPENSION 60ML</t>
  </si>
  <si>
    <t>ALBOXID FORTE TAB</t>
  </si>
  <si>
    <t>LIFECARE NEURO PRODUCTS LTD</t>
  </si>
  <si>
    <t>ALBOXID SOFTGEL</t>
  </si>
  <si>
    <t>ASENXIT 0.5MG TAB</t>
  </si>
  <si>
    <t>ASENXIT M TAB</t>
  </si>
  <si>
    <t>ASLOX 10MG CAP</t>
  </si>
  <si>
    <t>ASLOX 25MG CAP</t>
  </si>
  <si>
    <t>CALNERVE TAB</t>
  </si>
  <si>
    <t>DIGIVERT 16MG TAB</t>
  </si>
  <si>
    <t>INEASY TAB</t>
  </si>
  <si>
    <t>JOWELL 10MG TAB</t>
  </si>
  <si>
    <t>JOWELL PLUS TAB</t>
  </si>
  <si>
    <t>LORED 1MG TAB</t>
  </si>
  <si>
    <t>LORED 2MG TAB</t>
  </si>
  <si>
    <t>NERVOLON PLUS TAB</t>
  </si>
  <si>
    <t>NILEPS 2MG TAB</t>
  </si>
  <si>
    <t>NILEPS 5MG TAB</t>
  </si>
  <si>
    <t>PALZOL-D TAB</t>
  </si>
  <si>
    <t>PREBERT NT TAB</t>
  </si>
  <si>
    <t>PROPOL TR 40MG CAP</t>
  </si>
  <si>
    <t>QFLOX 20MG CAP</t>
  </si>
  <si>
    <t>QFLOX 60MG CAP</t>
  </si>
  <si>
    <t>QUITIN 100MG TAB</t>
  </si>
  <si>
    <t>QUITIN 25MG TAB</t>
  </si>
  <si>
    <t>QUITIN 50MG TAB</t>
  </si>
  <si>
    <t>RIZE PLUS TAB</t>
  </si>
  <si>
    <t>TOPPER 100MG TAB</t>
  </si>
  <si>
    <t>TOPPER 25MG TAB</t>
  </si>
  <si>
    <t>TOPPER 50MG TAB</t>
  </si>
  <si>
    <t>OROCLAV TAB</t>
  </si>
  <si>
    <t>PROTILIFE POWDER 200GM</t>
  </si>
  <si>
    <t>DIVELLA ER 250MG TAB</t>
  </si>
  <si>
    <t>MARKSANS PHARMA LTD (CNS CEREBELLA)</t>
  </si>
  <si>
    <t>DIVELLA ER 500MG TAB</t>
  </si>
  <si>
    <t>GOLDEP SR 25MG TAB</t>
  </si>
  <si>
    <t>GOLDEP SR 50MG TAB</t>
  </si>
  <si>
    <t>ICTALAM 100MG TAB</t>
  </si>
  <si>
    <t>LVT MARK 250MG TAB</t>
  </si>
  <si>
    <t>LVT MARK 500MG TAB</t>
  </si>
  <si>
    <t>METHOVIT BETA CAP</t>
  </si>
  <si>
    <t>NIRSAN MD 1MG TAB</t>
  </si>
  <si>
    <t>OLANZOTIC FORTE TAB</t>
  </si>
  <si>
    <t>OLANZOTIC PLUS TAB</t>
  </si>
  <si>
    <t>PREBELLA 75MG TAB</t>
  </si>
  <si>
    <t>PREBELLA M TAB</t>
  </si>
  <si>
    <t>QT 100MG TAB</t>
  </si>
  <si>
    <t>QT 25MG TAB</t>
  </si>
  <si>
    <t>QT-50MG TAB</t>
  </si>
  <si>
    <t>QT SR 200MG TAB</t>
  </si>
  <si>
    <t>SERACOLIN 500MG TAB</t>
  </si>
  <si>
    <t>SERACOLIN-P TAB</t>
  </si>
  <si>
    <t>XL PARO 12.5MG TAB</t>
  </si>
  <si>
    <t>XL PARO 25MG TAB</t>
  </si>
  <si>
    <t>ACNAY GEL 10GM</t>
  </si>
  <si>
    <t>MED MANOR (GLORIA)</t>
  </si>
  <si>
    <t>ACNEREX BAR 75GM</t>
  </si>
  <si>
    <t>ACNEREX FACE WASH 75GM</t>
  </si>
  <si>
    <t>BILAHIST TAB</t>
  </si>
  <si>
    <t>FUSIMIN CREAM 15GM</t>
  </si>
  <si>
    <t>GLYMED BAR 75GM</t>
  </si>
  <si>
    <t>GLYMED LOTION 100ML</t>
  </si>
  <si>
    <t>GLYMED LOTION 250ML</t>
  </si>
  <si>
    <t>KETO 4S CREAM 15GM</t>
  </si>
  <si>
    <t>KETO AZ SOLUTION 75ML</t>
  </si>
  <si>
    <t>KETO BAR 100GM</t>
  </si>
  <si>
    <t>KETO BAR 50GM</t>
  </si>
  <si>
    <t>KETO B CREAM 10GM</t>
  </si>
  <si>
    <t>KETO B LOTION 15ML</t>
  </si>
  <si>
    <t>KETO B LOTION 30ML</t>
  </si>
  <si>
    <t>KETO CREAM 15GM</t>
  </si>
  <si>
    <t>KETO CREAM 30GM</t>
  </si>
  <si>
    <t>KETO GOLD PREMIUM 100GM</t>
  </si>
  <si>
    <t>KETO LOTION 15ML</t>
  </si>
  <si>
    <t>KETO LOTION 50ML</t>
  </si>
  <si>
    <t>KETO POWDER 100GM</t>
  </si>
  <si>
    <t>KETO POWDER 50GM</t>
  </si>
  <si>
    <t>KOJIMED CREAM 15GM</t>
  </si>
  <si>
    <t>MEDICLIN SOAP 75GMS</t>
  </si>
  <si>
    <t>M-NEURON FORTE TAB</t>
  </si>
  <si>
    <t>PSORALYS CREAM 20GM</t>
  </si>
  <si>
    <t>RABNOR O TAB</t>
  </si>
  <si>
    <t>SETRABET B CREAM 10GM</t>
  </si>
  <si>
    <t>SETRABET CREAM 15GM</t>
  </si>
  <si>
    <t>SETRABET CREAM 30GMS</t>
  </si>
  <si>
    <t>TRICHOTON AT TAB</t>
  </si>
  <si>
    <t>TRICHOTON SYRUP 150ML</t>
  </si>
  <si>
    <t>TRIPCY PAIN RELIEF SPRAY 50GM</t>
  </si>
  <si>
    <t>TRU HAIR OIL 100ML</t>
  </si>
  <si>
    <t>CALORA LOTION 100ML 100ML</t>
  </si>
  <si>
    <t>Med Manor Organics Pvt Ltd</t>
  </si>
  <si>
    <t>CALORA LOTION 60ML</t>
  </si>
  <si>
    <t>KEFMED DS DRY SYRUP 30ML</t>
  </si>
  <si>
    <t>KETOMED + BAR 50GM</t>
  </si>
  <si>
    <t>KETONATE CREAM 15GM</t>
  </si>
  <si>
    <t>KETO SZ HAIR WASH 120ML</t>
  </si>
  <si>
    <t>KUFRIL D SYRUP 100ML</t>
  </si>
  <si>
    <t>KUFRIL EXPECTORENT 100ML</t>
  </si>
  <si>
    <t>KUFRIL LS DROP 15ML</t>
  </si>
  <si>
    <t>KUFRIL LS SYRUP 100ML</t>
  </si>
  <si>
    <t>KUFRYL D JUNIOR SYRUP 60ML</t>
  </si>
  <si>
    <t>LANTRAZ-100MG CAP</t>
  </si>
  <si>
    <t>LANTRAZ-200MG CAP</t>
  </si>
  <si>
    <t>MEDMOX CV 457 SACHET</t>
  </si>
  <si>
    <t>MEDMOX CV 625MG TAB</t>
  </si>
  <si>
    <t>MEDMOX CV DS SYP 30ML</t>
  </si>
  <si>
    <t>M-NEURON SYRUP 150ML</t>
  </si>
  <si>
    <t>PARAWEL 325MG TAB</t>
  </si>
  <si>
    <t>PARAWEL SUSP. 60ML</t>
  </si>
  <si>
    <t>PERMED BAR 75GM</t>
  </si>
  <si>
    <t>PERMED GEL 30GM</t>
  </si>
  <si>
    <t>PERMED LOTION 60ML</t>
  </si>
  <si>
    <t>SKINN C CREAM 75GM</t>
  </si>
  <si>
    <t>SKINN C SOAP 75GM</t>
  </si>
  <si>
    <t>TENDERSOFT BAR 75GM</t>
  </si>
  <si>
    <t>TRICHOTONE FORTE TAB</t>
  </si>
  <si>
    <t>ZINCOLD DROP 15ML</t>
  </si>
  <si>
    <t>ZINCOLD JR.TAB</t>
  </si>
  <si>
    <t>ZINCOLD PLUS SYRUP 60ML</t>
  </si>
  <si>
    <t>ZINCOLD PLUS TAB</t>
  </si>
  <si>
    <t>ZINCOLD SYRUP 60ML</t>
  </si>
  <si>
    <t>ZINCOLD TAB</t>
  </si>
  <si>
    <t>TRICHOTON TAB</t>
  </si>
  <si>
    <t>TRAVAIL H KIT 1KIT</t>
  </si>
  <si>
    <t>MEDICAL INTERVENTIONS PVT LTD</t>
  </si>
  <si>
    <t>NEUROBION FORTE TAB</t>
  </si>
  <si>
    <t>MERCK (P&amp;G)</t>
  </si>
  <si>
    <t>ALLERCET DC TAB</t>
  </si>
  <si>
    <t>Micro Labs (BROWN &amp; BURK)</t>
  </si>
  <si>
    <t>ALLERCET PEDTAB</t>
  </si>
  <si>
    <t>ALLERCET SYRUP 60ML</t>
  </si>
  <si>
    <t>ALLERCET TAB</t>
  </si>
  <si>
    <t>BACTOCLAV 375MG TAB</t>
  </si>
  <si>
    <t>BACTOCLAV 625MG TAB</t>
  </si>
  <si>
    <t>BACTOCLAV DRY SYP (COM.PACK) 30ML</t>
  </si>
  <si>
    <t>BACTOCLAV DS 457MG SYP 30ML</t>
  </si>
  <si>
    <t>BACTOCLAV DT TAB</t>
  </si>
  <si>
    <t>NEUROCETAM 800MG TAB</t>
  </si>
  <si>
    <t>NEUROCETAM CAP</t>
  </si>
  <si>
    <t>NEUROCETAM INJ. 15ML</t>
  </si>
  <si>
    <t>NEUROCETAM SYP 100ML</t>
  </si>
  <si>
    <t>NOVOLID TAB</t>
  </si>
  <si>
    <t>OSTONEX D3 CAP</t>
  </si>
  <si>
    <t>PHYTORAL TAB</t>
  </si>
  <si>
    <t>PULMOCEF 250MG TAB</t>
  </si>
  <si>
    <t>PULMOCEF 500MG TAB</t>
  </si>
  <si>
    <t>PULMOCEF CV 250MG TAB</t>
  </si>
  <si>
    <t>PULMOCEF CV 500MG TAB</t>
  </si>
  <si>
    <t>PULMOCEF LZ TAB</t>
  </si>
  <si>
    <t>SACROLYTE SACHET</t>
  </si>
  <si>
    <t>ZOLPID 10MG TAB</t>
  </si>
  <si>
    <t>AMLOZAAR H TAB</t>
  </si>
  <si>
    <t>MICRO (CARSYON II)</t>
  </si>
  <si>
    <t>AMLOZAAR TAB</t>
  </si>
  <si>
    <t>ANGIZAAR 25MG TAB</t>
  </si>
  <si>
    <t>ANGIZAAR 50MG TAB</t>
  </si>
  <si>
    <t>ANGIZAAR H TAB</t>
  </si>
  <si>
    <t>DIANORM 80MG TAB</t>
  </si>
  <si>
    <t>DIANORM M OD TAB</t>
  </si>
  <si>
    <t>DIANORM M TAB</t>
  </si>
  <si>
    <t>DIANORM OD 30MG TAB</t>
  </si>
  <si>
    <t>DIANORM OD 60MG TAB</t>
  </si>
  <si>
    <t>DIANORM TOTAL 30MG TAB</t>
  </si>
  <si>
    <t>DIANORM TOTAL 60MG TAB</t>
  </si>
  <si>
    <t>FENOVAS TAB</t>
  </si>
  <si>
    <t>HIPRIL A TAB</t>
  </si>
  <si>
    <t>PIONORM 15MG TAB</t>
  </si>
  <si>
    <t>PIONORM M 15MG TAB</t>
  </si>
  <si>
    <t>TURBOVAS 10MG TAB</t>
  </si>
  <si>
    <t>TURBOVAS 20MG TAB</t>
  </si>
  <si>
    <t>TURBOVAS 40MG TAB</t>
  </si>
  <si>
    <t>TURBOVAS 5MG TAB</t>
  </si>
  <si>
    <t>TURBOVAS ASP TAB</t>
  </si>
  <si>
    <t>TURBOVAS CV TAB</t>
  </si>
  <si>
    <t>TURBOVAS F TAB</t>
  </si>
  <si>
    <t>TURBOVAS GOLD 20MG TAB</t>
  </si>
  <si>
    <t>TURBOVAS GOLD TAB</t>
  </si>
  <si>
    <t>VILPOWER M 1000MG TAB</t>
  </si>
  <si>
    <t>VITAMER EA CAP</t>
  </si>
  <si>
    <t>VOGLINORM 0.2MG TAB</t>
  </si>
  <si>
    <t>VOGLINORM 0.3MG TAB</t>
  </si>
  <si>
    <t>VOGLINORMGM 1/0.3MG TAB</t>
  </si>
  <si>
    <t>VOGLINORMGM 1MG TAB</t>
  </si>
  <si>
    <t>VOGLINORMGM 2/0.3MG TAB</t>
  </si>
  <si>
    <t>VOGLINORMGM 2MG TAB</t>
  </si>
  <si>
    <t>VOGLINORMGM FORTE 2MG TAB</t>
  </si>
  <si>
    <t>VOGLINORM M 0.2MG TAB</t>
  </si>
  <si>
    <t>VOGLINORM M 0.3MG TAB</t>
  </si>
  <si>
    <t>ZILARTA 40MG TAB</t>
  </si>
  <si>
    <t>ZILARTA 80MG TAB</t>
  </si>
  <si>
    <t>ZILARTA CT 40/12.5MG TAB</t>
  </si>
  <si>
    <t>ZILARTA CT 40/6.25MG TAB</t>
  </si>
  <si>
    <t>CARVIDON MR TAB</t>
  </si>
  <si>
    <t>MICRO (CARSYON III)</t>
  </si>
  <si>
    <t>CARVIDON OD CAP</t>
  </si>
  <si>
    <t>NEBILONG 2.5MG TAB</t>
  </si>
  <si>
    <t>NEBILONG AM TAB</t>
  </si>
  <si>
    <t>NEBILONG H TAB</t>
  </si>
  <si>
    <t>NEBILONG TAB</t>
  </si>
  <si>
    <t>NULONG 10MG TAB</t>
  </si>
  <si>
    <t>NULONG 5MG TAB</t>
  </si>
  <si>
    <t>NULONG OL 20MG TAB</t>
  </si>
  <si>
    <t>NULONG OL 40MG TAB</t>
  </si>
  <si>
    <t>NULONG TRIO 40MG TAB</t>
  </si>
  <si>
    <t>NULONG TRIO TAB</t>
  </si>
  <si>
    <t>OLMAT 20MG TAB</t>
  </si>
  <si>
    <t>OLMAT 40MG TAB</t>
  </si>
  <si>
    <t>OLMAT AM 20MG TAB</t>
  </si>
  <si>
    <t>OLMAT AM 40MG TAB</t>
  </si>
  <si>
    <t>OLMAT AM H 40MG TAB</t>
  </si>
  <si>
    <t>OLMAT AM H TAB</t>
  </si>
  <si>
    <t>OLMAT CT 20MG TAB</t>
  </si>
  <si>
    <t>OLMAT CT 40MG TAB</t>
  </si>
  <si>
    <t>OLMAT H 40MG TAB</t>
  </si>
  <si>
    <t>OLMAT H TAB</t>
  </si>
  <si>
    <t>OLMAT MT 25MG TAB</t>
  </si>
  <si>
    <t>OLMAT MT 50MG TAB</t>
  </si>
  <si>
    <t>OLMAT TRIO TAB</t>
  </si>
  <si>
    <t>RESVINOL GOLD CAP</t>
  </si>
  <si>
    <t>TRIPRIDE LP 2 FORTE TAB</t>
  </si>
  <si>
    <t>AMLONG 10MG TAB</t>
  </si>
  <si>
    <t>MICRO (CARSYON)</t>
  </si>
  <si>
    <t>AMLONG 2.5MG TAB</t>
  </si>
  <si>
    <t>AMLONG 5MG TAB</t>
  </si>
  <si>
    <t>AMLONG A 25MG TAB</t>
  </si>
  <si>
    <t>AMLONG A TAB</t>
  </si>
  <si>
    <t>AMLONG H TAB</t>
  </si>
  <si>
    <t>AMLONG MT 25MG TAB</t>
  </si>
  <si>
    <t>AMLONG MT 50MG TAB</t>
  </si>
  <si>
    <t>AMLONG TL 40MG TAB</t>
  </si>
  <si>
    <t>ANGIPLAT 2.5MG TAB</t>
  </si>
  <si>
    <t>ANGIPLAT 6.5MG TAB</t>
  </si>
  <si>
    <t>AVAS 10MG TAB</t>
  </si>
  <si>
    <t>AVAS 20MG TAB</t>
  </si>
  <si>
    <t>AVAS 40MG TAB</t>
  </si>
  <si>
    <t>AVAS 5MG TAB</t>
  </si>
  <si>
    <t>AVAS CV 10MG TAB</t>
  </si>
  <si>
    <t>AVAS CV 20MG TAB</t>
  </si>
  <si>
    <t>BRIGREL TAB</t>
  </si>
  <si>
    <t>CALOSOFT AF LOTION 50ML</t>
  </si>
  <si>
    <t>MOXILONG 0.2MG TAB</t>
  </si>
  <si>
    <t>MOXILONG 0.3MG TAB</t>
  </si>
  <si>
    <t>PLAGERINE A 150MG CAP</t>
  </si>
  <si>
    <t>PLAGERINE A CAP</t>
  </si>
  <si>
    <t>PLAGERINE TAB</t>
  </si>
  <si>
    <t>S-AMLONG 2.5MG TAB</t>
  </si>
  <si>
    <t>TELPLUS TAB</t>
  </si>
  <si>
    <t>TELPLUS TRIO TAB</t>
  </si>
  <si>
    <t>TORSILONG 100MG TAB</t>
  </si>
  <si>
    <t>TORSILONG 40MG TAB</t>
  </si>
  <si>
    <t>TORSILONG 5MG TAB</t>
  </si>
  <si>
    <t>AMIODAR 100MG TAB</t>
  </si>
  <si>
    <t>MICRO (CARDICARE)</t>
  </si>
  <si>
    <t>AMIODAR 200MG TAB</t>
  </si>
  <si>
    <t>ARBITEL 20MG TAB</t>
  </si>
  <si>
    <t>ARBITEL 40MG TAB</t>
  </si>
  <si>
    <t>ARBITEL 80MG TAB</t>
  </si>
  <si>
    <t>ARBITEL AM 80MG TAB</t>
  </si>
  <si>
    <t>ARBITEL AMH TAB</t>
  </si>
  <si>
    <t>ARBITEL AM TAB</t>
  </si>
  <si>
    <t>ARBITEL AV TAB</t>
  </si>
  <si>
    <t>ARBITEL CT 40MG TAB</t>
  </si>
  <si>
    <t>ARBITEL CT 80MG TAB</t>
  </si>
  <si>
    <t>ARBITEL H 80MG TAB</t>
  </si>
  <si>
    <t>ARBITEL H TAB</t>
  </si>
  <si>
    <t>ARBITEL MT 25MG TAB</t>
  </si>
  <si>
    <t>ARBITEL MT 50MG TAB</t>
  </si>
  <si>
    <t>ARBITEL TRIO 25MG TAB</t>
  </si>
  <si>
    <t>ARBITEL TRIO 50MG TAB</t>
  </si>
  <si>
    <t>ASTIN 10MG TAB</t>
  </si>
  <si>
    <t>ASTIN 20MG TAB</t>
  </si>
  <si>
    <t>ASTIN 40MG TAB</t>
  </si>
  <si>
    <t>ASTIN CV 10MG TAB</t>
  </si>
  <si>
    <t>ASTIN CV 20MG TAB</t>
  </si>
  <si>
    <t>ASTIN D 10MG TAB</t>
  </si>
  <si>
    <t>ASTIN D 20MG TAB</t>
  </si>
  <si>
    <t>BENLONG 4MG TAB</t>
  </si>
  <si>
    <t>BENLONG 8MG TAB</t>
  </si>
  <si>
    <t>CARTINEX TAB</t>
  </si>
  <si>
    <t>CARVIPRESS 12.5MG TAB</t>
  </si>
  <si>
    <t>CARVIPRESS 3.125MG TAB</t>
  </si>
  <si>
    <t>CARVIPRESS 6.25MG TAB</t>
  </si>
  <si>
    <t>CHANNEL 30MG TAB</t>
  </si>
  <si>
    <t>CHANNEL 60MG TAB</t>
  </si>
  <si>
    <t>CHANNEL SR 120MG CAP</t>
  </si>
  <si>
    <t>CHANNEL SR 90MG CAP</t>
  </si>
  <si>
    <t>DABILONG 110MG CAP</t>
  </si>
  <si>
    <t>DABILONG 150MG CAP</t>
  </si>
  <si>
    <t>DABILONG 75MG CAP</t>
  </si>
  <si>
    <t>HOPACE 10MG TAB</t>
  </si>
  <si>
    <t>HOPACE 1.25MG TAB</t>
  </si>
  <si>
    <t>HOPACE 2.5MG TAB</t>
  </si>
  <si>
    <t>HOPACE 5MG TAB</t>
  </si>
  <si>
    <t>HOPACE H 5MG CAP</t>
  </si>
  <si>
    <t>HOPACE H TAB</t>
  </si>
  <si>
    <t>HOPACE MT 25MG TAB</t>
  </si>
  <si>
    <t>HOPACE MT 50MG TAB</t>
  </si>
  <si>
    <t>METAPRO AM 25MG TAB</t>
  </si>
  <si>
    <t>METAPRO AM 50MG TAB</t>
  </si>
  <si>
    <t>METAPRO CL 50MG TAB</t>
  </si>
  <si>
    <t>METAPRO XL 25MG TAB</t>
  </si>
  <si>
    <t>METAPRO XL 50MG TAB</t>
  </si>
  <si>
    <t>NITROFIX 10MG TAB</t>
  </si>
  <si>
    <t>NITROFIX 20MG TAB</t>
  </si>
  <si>
    <t>NITROFIX SR 30MG TAB</t>
  </si>
  <si>
    <t>NITROFIX SR 60MG TAB</t>
  </si>
  <si>
    <t>TORSILONG 10MG TAB</t>
  </si>
  <si>
    <t>TORSILONG 20MG TAB</t>
  </si>
  <si>
    <t>TORSINEX 10MG TAB</t>
  </si>
  <si>
    <t>TORSINEX 20MG TAB</t>
  </si>
  <si>
    <t>TORSINEX FORTE 10MG TAB</t>
  </si>
  <si>
    <t>TORSINEX FORTE 20MG TAB</t>
  </si>
  <si>
    <t>TORSINEX FORTE 5MG TAB</t>
  </si>
  <si>
    <t>TORSINEX INJ. 2ML</t>
  </si>
  <si>
    <t>TORSINEX PLUS TAB</t>
  </si>
  <si>
    <t>VILPOWER 50MG TAB</t>
  </si>
  <si>
    <t>VILPOWER M 500MG TAB</t>
  </si>
  <si>
    <t>CUTIWASH FACE WASH 60ML</t>
  </si>
  <si>
    <t>MICRO (DERMA)</t>
  </si>
  <si>
    <t>CUTIWASH SOFT FACE WASH 60ML</t>
  </si>
  <si>
    <t>CUTIWASH SOFT F/W GEL 100GM</t>
  </si>
  <si>
    <t>DENSUEX HAIR SERUM 60ML</t>
  </si>
  <si>
    <t>I-PHYTORAL 100MG CAP</t>
  </si>
  <si>
    <t>I-PHYTORAL 200MG CAP</t>
  </si>
  <si>
    <t>NUTRICAP H SOFTGEL</t>
  </si>
  <si>
    <t>NUTRICAP S SOFTGEL</t>
  </si>
  <si>
    <t>ONETONE 0.3% CREAM 20GM</t>
  </si>
  <si>
    <t>ONETONE PLUS CREAM 20GM</t>
  </si>
  <si>
    <t>PHYTORAL BAR 75GM</t>
  </si>
  <si>
    <t>PHYTORAL B CREAM 15GM</t>
  </si>
  <si>
    <t>PHYTORAL LOTION 75ML</t>
  </si>
  <si>
    <t>PHYTORAL OINTMENT 30GM</t>
  </si>
  <si>
    <t>PHYTORAL POWDER 100GM</t>
  </si>
  <si>
    <t>PHYTORAL SP LOTION 60ML</t>
  </si>
  <si>
    <t>PHYTORAL XL CREAM 50GM</t>
  </si>
  <si>
    <t>TRIWHITE CREAM 10GM</t>
  </si>
  <si>
    <t>AZIDERM 10% CREAM 15GM</t>
  </si>
  <si>
    <t>MICRO VISION (SKIN)</t>
  </si>
  <si>
    <t>AZIDERM 10% GEL 15GM</t>
  </si>
  <si>
    <t>AZIDERM 15% GEL 15GM</t>
  </si>
  <si>
    <t>AZIDERM 20% CREAM 15GM</t>
  </si>
  <si>
    <t>AZIDERM 20% GEL 15GM</t>
  </si>
  <si>
    <t>BETAGEL CREAM 20GM</t>
  </si>
  <si>
    <t>BETAGEL G CREAM 20GM</t>
  </si>
  <si>
    <t>CALOSOFT AF LOTION 100ML</t>
  </si>
  <si>
    <t>CALOSOFT PLUS LOTION 50ML</t>
  </si>
  <si>
    <t>COVERIT 2% SOLUTION 60ML</t>
  </si>
  <si>
    <t>COVERIT 5% SOLUTION 60ML</t>
  </si>
  <si>
    <t>FINTRIX 500MG TAB</t>
  </si>
  <si>
    <t>GLYCO 12 CREAM 30GM</t>
  </si>
  <si>
    <t>GLYCO 6 CREAM 30GM</t>
  </si>
  <si>
    <t>GLYCO A CREAM 30GM</t>
  </si>
  <si>
    <t>HERPERAX 400MG TAB</t>
  </si>
  <si>
    <t>HERPERAX 800MG TAB</t>
  </si>
  <si>
    <t>HERPERAX SKIN OINT 5GM</t>
  </si>
  <si>
    <t>KOJIVIT GEL 15GM</t>
  </si>
  <si>
    <t>KOJIVIT PLUS CREAM 30GM</t>
  </si>
  <si>
    <t>KOJIVIT PLUS GEL 15GM</t>
  </si>
  <si>
    <t>KOJIVIT ULTRA GEL 30GM</t>
  </si>
  <si>
    <t>LORINOL 10MG TAB</t>
  </si>
  <si>
    <t>LORINOL MD TAB</t>
  </si>
  <si>
    <t>L-TRIX CREAM 20GM</t>
  </si>
  <si>
    <t>L-TRIX LOTION 10ML</t>
  </si>
  <si>
    <t>MICROBACT 500MG TAB</t>
  </si>
  <si>
    <t>MINOLOX 100MG TAB</t>
  </si>
  <si>
    <t>MINOLOX 50MG TAB</t>
  </si>
  <si>
    <t>MONOGAURD CREAM 10GM</t>
  </si>
  <si>
    <t>MONOGUARD-B CREAM 10GM</t>
  </si>
  <si>
    <t>MONOGUARD CREAM 30GM</t>
  </si>
  <si>
    <t>MONOGUARD SHAMPOO 60ML</t>
  </si>
  <si>
    <t>NILAC A GEL 20GM</t>
  </si>
  <si>
    <t>NILAC GEL 20GM</t>
  </si>
  <si>
    <t>NUSOFT SOAP 1BAR</t>
  </si>
  <si>
    <t>OXIDON PLUS CAP 10CAP 35</t>
  </si>
  <si>
    <t>PHOTOBAN 30 AQUAGEL 100GM</t>
  </si>
  <si>
    <t>PHOTOBAN 30 AQUAGEL 60GM</t>
  </si>
  <si>
    <t>PHOTOBAN 30 LOTION 60ML</t>
  </si>
  <si>
    <t>PHOTOBAN 50 AQUAGEL 60GM</t>
  </si>
  <si>
    <t>SECALIA CREAM 100GM</t>
  </si>
  <si>
    <t>SECALIA CREAM 50GM</t>
  </si>
  <si>
    <t>SECALIA LOTION 100ML</t>
  </si>
  <si>
    <t>TRIVATE MX OINTMENT 20GM</t>
  </si>
  <si>
    <t>DIAPRIDE 1MG TAB</t>
  </si>
  <si>
    <t>MICRO (DTF)</t>
  </si>
  <si>
    <t>DIAPRIDE 2MG TAB</t>
  </si>
  <si>
    <t>DIAPRIDE M 0.5MG TAB</t>
  </si>
  <si>
    <t>DIAPRIDE M 1 FORTE TAB</t>
  </si>
  <si>
    <t>DIAPRIDE M1 HV TAB</t>
  </si>
  <si>
    <t>DIAPRIDE M1 LV TAB</t>
  </si>
  <si>
    <t>DIAPRIDE M 1MG TAB</t>
  </si>
  <si>
    <t>DIAPRIDE M 2 FORTE TAB</t>
  </si>
  <si>
    <t>DIAPRIDE M2 HV TAB</t>
  </si>
  <si>
    <t>DIAPRIDE M2 LV TAB</t>
  </si>
  <si>
    <t>DIAPRIDE M 2MG TAB</t>
  </si>
  <si>
    <t>DIAPRIDE M3 FORTE TAB</t>
  </si>
  <si>
    <t>DIAPRIDE M 3 FORTE TAB</t>
  </si>
  <si>
    <t>DIAPRIDE M4 FORTE TAB</t>
  </si>
  <si>
    <t>DIAPRIDE M 4 FORTE TAB</t>
  </si>
  <si>
    <t>DIARICH POWDER $ 200GM</t>
  </si>
  <si>
    <t>DIBIZIDE M TAB</t>
  </si>
  <si>
    <t>HYPOTAB TAB</t>
  </si>
  <si>
    <t>MECONERV PLUS CAP</t>
  </si>
  <si>
    <t>MELCOVIT GOLD CAP $</t>
  </si>
  <si>
    <t>MELMET 1000MG SR TAB</t>
  </si>
  <si>
    <t>MELMET 500MG SR TAB</t>
  </si>
  <si>
    <t>PREGATOR CAP</t>
  </si>
  <si>
    <t>TELROSE TAB</t>
  </si>
  <si>
    <t>TENEPRIDE 20MG TAB</t>
  </si>
  <si>
    <t>TENEPRIDE M 1000MG TAB</t>
  </si>
  <si>
    <t>TENEPRIDE M 500MG TAB</t>
  </si>
  <si>
    <t>TRIPRIDE 1MG TAB</t>
  </si>
  <si>
    <t>TRIPRIDE 2MG TAB</t>
  </si>
  <si>
    <t>TRIPRIDE FORTE 1MG TAB</t>
  </si>
  <si>
    <t>TRIPRIDE FORTE 2MG TAB</t>
  </si>
  <si>
    <t>TRIPRIDE HV 1MG TAB</t>
  </si>
  <si>
    <t>TRIPRIDE HV 2MG TAB</t>
  </si>
  <si>
    <t>TRIPRIDE LP 1MG TAB</t>
  </si>
  <si>
    <t>TRIPRIDE LP 2MG TAB</t>
  </si>
  <si>
    <t>TRIPRIDE LV 1MG TAB</t>
  </si>
  <si>
    <t>TRIPRIDE LV 2MG TAB</t>
  </si>
  <si>
    <t>VILDAPRIDE 50MG TAB</t>
  </si>
  <si>
    <t>VILDAPRIDE M 1000MG TAB</t>
  </si>
  <si>
    <t>VILDAPRIDE M 500MG TAB</t>
  </si>
  <si>
    <t>MOX CV 91.4MG DROP 10ML</t>
  </si>
  <si>
    <t>LIFT LIFE BIOTECH</t>
  </si>
  <si>
    <t>OSTOGARDGM TAB</t>
  </si>
  <si>
    <t>BUCAY OINTMENT 20GM</t>
  </si>
  <si>
    <t>Micro Labs Ltd</t>
  </si>
  <si>
    <t>CARIPILL SYRUP 150ML</t>
  </si>
  <si>
    <t>DOLO 120MG SUSPENSION 60ML</t>
  </si>
  <si>
    <t>DOLO 250MG SUSP. 60ML</t>
  </si>
  <si>
    <t>DOLO 500MG TAB</t>
  </si>
  <si>
    <t>DOLO 650MG TAB</t>
  </si>
  <si>
    <t>DOLO DROP 15ML</t>
  </si>
  <si>
    <t>DOLO MF SYP 60ML</t>
  </si>
  <si>
    <t>DOLOTUSS SF SYP 100ML.</t>
  </si>
  <si>
    <t>EBAST 10MG TAB</t>
  </si>
  <si>
    <t>EBAST 20MG TAB</t>
  </si>
  <si>
    <t>EBAST DC TAB</t>
  </si>
  <si>
    <t>EBAST M TAB</t>
  </si>
  <si>
    <t>ETIZEP 0.5MG TAB</t>
  </si>
  <si>
    <t>GCS TAB</t>
  </si>
  <si>
    <t>GRAMOCEF L TAB</t>
  </si>
  <si>
    <t>GRAMOCEF O 200MG DT</t>
  </si>
  <si>
    <t>GRAMOCEF O 50 ORAL SUSP. 30ML</t>
  </si>
  <si>
    <t>IREX SYRUP 150ML</t>
  </si>
  <si>
    <t>MICROBACT 250MG TAB</t>
  </si>
  <si>
    <t>MICRODOX LBX CAP</t>
  </si>
  <si>
    <t>NEUROCETAM PLUS TAB</t>
  </si>
  <si>
    <t>NUROTOR TAB</t>
  </si>
  <si>
    <t>SILYBON 140MG TAB</t>
  </si>
  <si>
    <t>SILYBON 70MG TAB</t>
  </si>
  <si>
    <t>SILYBON SYP 100ML</t>
  </si>
  <si>
    <t>SILYBON SYP 200ML</t>
  </si>
  <si>
    <t>CARIPILL TAB</t>
  </si>
  <si>
    <t>DOLOWIN FORTE TAB</t>
  </si>
  <si>
    <t>DOLOWIN MR TAB</t>
  </si>
  <si>
    <t>DOLOWIN PLUS TAB</t>
  </si>
  <si>
    <t>DOLOWIN SPAS TAB</t>
  </si>
  <si>
    <t>DOLOWIN SR TAB</t>
  </si>
  <si>
    <t>ESOFAG 40MG TAB</t>
  </si>
  <si>
    <t>ESOFAG D CAP</t>
  </si>
  <si>
    <t>ESOFAG L CAP</t>
  </si>
  <si>
    <t>GRAMOCEF CV 200MG TAB</t>
  </si>
  <si>
    <t>GRAMOCEF OF TAB</t>
  </si>
  <si>
    <t>LINOSEPT 600MG TAB</t>
  </si>
  <si>
    <t>NORDYS 200MG TAB</t>
  </si>
  <si>
    <t>NORDYS 400MG TAB</t>
  </si>
  <si>
    <t>NORDYS 550MG TAB</t>
  </si>
  <si>
    <t>UDIBON TAB</t>
  </si>
  <si>
    <t>USIBON 150MG TAB</t>
  </si>
  <si>
    <t>USIBON 300MG TAB</t>
  </si>
  <si>
    <t>AZILIDE 100MG REDI.SUSP. 15ML</t>
  </si>
  <si>
    <t>Micro Labs Ltd (NOVA)</t>
  </si>
  <si>
    <t>AZILIDE 200MG REDI.SUSP 15ML</t>
  </si>
  <si>
    <t>AZILIDE 250MG TAB</t>
  </si>
  <si>
    <t>AZILIDE 500MG TAB</t>
  </si>
  <si>
    <t>AZILIDE DT TAB</t>
  </si>
  <si>
    <t>AZILIDE XL 200MG REDIMED 30ML</t>
  </si>
  <si>
    <t>BILAST M TAB</t>
  </si>
  <si>
    <t>BILAST TAB</t>
  </si>
  <si>
    <t>CALNIFIT TAB</t>
  </si>
  <si>
    <t>DOLOPAR 125MG SUSP. 60ML</t>
  </si>
  <si>
    <t>DOLOPAR 250MG SUSPENSION 60ML</t>
  </si>
  <si>
    <t>DOLOPAR 650MG TAB</t>
  </si>
  <si>
    <t>DOLOPAR DROP 15ML</t>
  </si>
  <si>
    <t>DOLOPAR MDS SYP 60ML</t>
  </si>
  <si>
    <t>DOLOPAR M SUSPENSION 60ML</t>
  </si>
  <si>
    <t>DOLOPAR TAB</t>
  </si>
  <si>
    <t>FEROX XT SUSPENSION 200ML</t>
  </si>
  <si>
    <t>FEROX XT TAB</t>
  </si>
  <si>
    <t>FOLFIT TAB</t>
  </si>
  <si>
    <t>GINKOBA M CAP</t>
  </si>
  <si>
    <t>GINKOBA TAB</t>
  </si>
  <si>
    <t>HICET DC TAB</t>
  </si>
  <si>
    <t>HICET L TAB</t>
  </si>
  <si>
    <t>MICROCEF 100MG ORAL SUSP 30ML</t>
  </si>
  <si>
    <t>MICROCEF 100MG TAB</t>
  </si>
  <si>
    <t>MICROCEF 200MG DT</t>
  </si>
  <si>
    <t>MICROCEF 50MG DT TAB</t>
  </si>
  <si>
    <t>MICROCEF 50MG ORAL SUSP. 30ML</t>
  </si>
  <si>
    <t>MICROCEF CV 100MG DT</t>
  </si>
  <si>
    <t>MICROCEF CV 200MG TAB</t>
  </si>
  <si>
    <t>MICROCEF CV-50 DRY SYP 30ML</t>
  </si>
  <si>
    <t>MICROCEF O 200MG TAB</t>
  </si>
  <si>
    <t>PANTOTAB DSR CAP</t>
  </si>
  <si>
    <t>PANTOTAB TAB</t>
  </si>
  <si>
    <t>RABEOZ TAB 0</t>
  </si>
  <si>
    <t>VENTRYL D SYP 100ML</t>
  </si>
  <si>
    <t>VENTRYL EXPT. 100ML</t>
  </si>
  <si>
    <t>VENTRYL EXPT. S 60ML</t>
  </si>
  <si>
    <t>VENTRYL LS SYRUP 100ML</t>
  </si>
  <si>
    <t>VENTRYL LS SYRUP 60ML</t>
  </si>
  <si>
    <t>Z &amp; B CAP</t>
  </si>
  <si>
    <t>ALCAFT EYE DROP 5ML</t>
  </si>
  <si>
    <t>MICRO (VISION 1)</t>
  </si>
  <si>
    <t>BFN EYE DROP 5ML</t>
  </si>
  <si>
    <t>CORNIGEL EYE OINT 5GM</t>
  </si>
  <si>
    <t>FBN EYE DROP 5ML</t>
  </si>
  <si>
    <t>FLUMACE EYE DROP 5ML</t>
  </si>
  <si>
    <t>HERPERAX EYE OINTMENT 5GM</t>
  </si>
  <si>
    <t>LOPRES 0.5% EYE DROP 5ML</t>
  </si>
  <si>
    <t>LUBREX DS EYE DROP 10ML</t>
  </si>
  <si>
    <t>LUBREX EYE DROP 10ML</t>
  </si>
  <si>
    <t>LUBREX UNO EYE DROP 5*0.4ML</t>
  </si>
  <si>
    <t>LUTIVIT CAP</t>
  </si>
  <si>
    <t>MICRONAC PF DROP 5ML</t>
  </si>
  <si>
    <t>MISOPT EYE DROP 5ML</t>
  </si>
  <si>
    <t>MOISTANE EYE DROP 10ML</t>
  </si>
  <si>
    <t>MOXIGRAM D EYE DROP 10ML</t>
  </si>
  <si>
    <t>MOXIGRAM EYE DROP 5ML</t>
  </si>
  <si>
    <t>MOXIGRAM EYE OINTMENT 5GM</t>
  </si>
  <si>
    <t>MOXIGRAM KT EYE DROP 5ML</t>
  </si>
  <si>
    <t>MOXIGRAM LX EYE DROP 5ML</t>
  </si>
  <si>
    <t>NEXTANE SOLUTION 10ML</t>
  </si>
  <si>
    <t>OFLACIN DX E/E DROP 10ML</t>
  </si>
  <si>
    <t>OFLACIN EYE DROP 5ML</t>
  </si>
  <si>
    <t>RAPIDON OD EYE DROP 5ML</t>
  </si>
  <si>
    <t>TRAVO EYE DROP 3ML</t>
  </si>
  <si>
    <t>TRAVO Z EYE DROP 3ML</t>
  </si>
  <si>
    <t>BETABRIM EYE DROP 5ML</t>
  </si>
  <si>
    <t>MICRO (LUMIRA)</t>
  </si>
  <si>
    <t>BETAFREE EYE DROPS 5ML</t>
  </si>
  <si>
    <t>EPITANE DROP 5ML</t>
  </si>
  <si>
    <t>EXTRAGAT EYE DROPS 3ML</t>
  </si>
  <si>
    <t>EXTRALUBE EYE DROP 10ML</t>
  </si>
  <si>
    <t>FLURISONE EYE DROP 5ML</t>
  </si>
  <si>
    <t>FLURISONE EYE OINT 5GM</t>
  </si>
  <si>
    <t>FLURISONE T EYE DROP 10ML</t>
  </si>
  <si>
    <t>LAPROST EYE DROP 3ML</t>
  </si>
  <si>
    <t>LEVOBACT 0.5% EYE DROP 5ML</t>
  </si>
  <si>
    <t>LORINOL EYE DROP 5ML</t>
  </si>
  <si>
    <t>MICROGAT EYE DROP 5ML</t>
  </si>
  <si>
    <t>MICROGAT EYE OINT 5GM</t>
  </si>
  <si>
    <t>MICRONAC EYE DROP 5ML</t>
  </si>
  <si>
    <t>OPTOCIN EYE DROP 5ML</t>
  </si>
  <si>
    <t>TREHALUBE EYE DROP 10ML</t>
  </si>
  <si>
    <t>VESORET CAP</t>
  </si>
  <si>
    <t>DOTHIP 25MG TAB</t>
  </si>
  <si>
    <t>MIRCO (SYNAPSE)</t>
  </si>
  <si>
    <t>DOTHIP 50MG TAB</t>
  </si>
  <si>
    <t>DOTHIP 75MG TAB</t>
  </si>
  <si>
    <t>LEVACETAM 250MG TAB</t>
  </si>
  <si>
    <t>LEVACETAM 500MG TAB</t>
  </si>
  <si>
    <t>LEVACETAM INJ. 5ML</t>
  </si>
  <si>
    <t>LICOTAR 100MG TAB</t>
  </si>
  <si>
    <t>LICOTAR 50MG TAB</t>
  </si>
  <si>
    <t>MICROLIV FORTE TAB</t>
  </si>
  <si>
    <t>MICROLIV TAB</t>
  </si>
  <si>
    <t>MIRAZEP 15MG TAB</t>
  </si>
  <si>
    <t>NEURICA-BT TAB</t>
  </si>
  <si>
    <t>NEURICA M 75MG CAP</t>
  </si>
  <si>
    <t>NEURICA NT TAB</t>
  </si>
  <si>
    <t>NICERBIUM TAB</t>
  </si>
  <si>
    <t>OLAN 10MG TAB</t>
  </si>
  <si>
    <t>OLAN 5MG TAB</t>
  </si>
  <si>
    <t>PARKIN TAB</t>
  </si>
  <si>
    <t>PETRIL 0.5MG TAB</t>
  </si>
  <si>
    <t>PETRIL 1MG TAB</t>
  </si>
  <si>
    <t>PETRIL 2MG TAB</t>
  </si>
  <si>
    <t>PETRIL BETA 10MG TAB</t>
  </si>
  <si>
    <t>PETRIL BETA 20MG TAB</t>
  </si>
  <si>
    <t>PETRIL MD 0.25MG TAB</t>
  </si>
  <si>
    <t>PETRIL MD 0.5MG TAB</t>
  </si>
  <si>
    <t>PETRIL PLUS LS TAB</t>
  </si>
  <si>
    <t>PETRIL PLUS TAB</t>
  </si>
  <si>
    <t>RISPOND 1MG TAB</t>
  </si>
  <si>
    <t>RISPOND 2MG TAB</t>
  </si>
  <si>
    <t>RISPOND PLUS LS TAB</t>
  </si>
  <si>
    <t>RISPOND PLUS TAB</t>
  </si>
  <si>
    <t>S CELEPRA 10MG TAB</t>
  </si>
  <si>
    <t>S CELEPRA 20MG TAB</t>
  </si>
  <si>
    <t>S CELEPRA 5MG TAB</t>
  </si>
  <si>
    <t>VALPRID CR 200MG TAB</t>
  </si>
  <si>
    <t>VALPRID CR 300MG TAB</t>
  </si>
  <si>
    <t>VALPRID CR 500MG TAB</t>
  </si>
  <si>
    <t>VERSIDEP NF</t>
  </si>
  <si>
    <t>VERSIDEP TAB</t>
  </si>
  <si>
    <t>ZOVANE 20MG TAB</t>
  </si>
  <si>
    <t>ZOVANE 40MG TAB</t>
  </si>
  <si>
    <t>MAXPRIDE 100MG TAB</t>
  </si>
  <si>
    <t>MAXPRIDE 200MG TAB</t>
  </si>
  <si>
    <t>MAXPRIDE 50MG TAB</t>
  </si>
  <si>
    <t>NEUROVIN TAB</t>
  </si>
  <si>
    <t>PANEX CR 12.5MG TAB</t>
  </si>
  <si>
    <t>PANEX CR 25MG TAB</t>
  </si>
  <si>
    <t>RISPOND FORTE TAB</t>
  </si>
  <si>
    <t>SYCLOP 100MG TAB</t>
  </si>
  <si>
    <t>ZOTRAL 50MG TAB</t>
  </si>
  <si>
    <t>BIOVITAL GOLD TAB</t>
  </si>
  <si>
    <t>MICRO HELTHCARE LTD.</t>
  </si>
  <si>
    <t>NUTRI CHAMP</t>
  </si>
  <si>
    <t>MONTRAL KID TAB</t>
  </si>
  <si>
    <t>EROSE PHARMACEUTICALS</t>
  </si>
  <si>
    <t>MONTRAL SYRUP 60ML</t>
  </si>
  <si>
    <t>MONTRAL TAB</t>
  </si>
  <si>
    <t>PANTOCAR 40MG TAB</t>
  </si>
  <si>
    <t>PANTOCAR D TAB</t>
  </si>
  <si>
    <t>RITE O CEF 100MG TAB</t>
  </si>
  <si>
    <t>RITE O CEF 200MG TAB</t>
  </si>
  <si>
    <t>RITE O CEF DRY SYRUP 30ML</t>
  </si>
  <si>
    <t>SALBID LS SYRUP 100ML</t>
  </si>
  <si>
    <t>AZILURA 40MG TAB</t>
  </si>
  <si>
    <t>MSN (CV 1)</t>
  </si>
  <si>
    <t>AZILURA 80MG TAB</t>
  </si>
  <si>
    <t>FIGO MS 0.5MG TAB</t>
  </si>
  <si>
    <t>ILET B 1MG TAB</t>
  </si>
  <si>
    <t>ILET B 2MG TAB</t>
  </si>
  <si>
    <t>ILET BP 1MG TAB</t>
  </si>
  <si>
    <t>ILET BP 2MG TAB</t>
  </si>
  <si>
    <t>ILET TRIO 1MG TAB</t>
  </si>
  <si>
    <t>ILET TRIO 2MG TAB</t>
  </si>
  <si>
    <t>LDNIL 10MG TAB</t>
  </si>
  <si>
    <t>LDNIL F 10MG TAB</t>
  </si>
  <si>
    <t>PAH 20MG TAB</t>
  </si>
  <si>
    <t>PULMONEXT 10MG TAB</t>
  </si>
  <si>
    <t>PULMONEXT 5MG TAB</t>
  </si>
  <si>
    <t>PULMONEXT KIT</t>
  </si>
  <si>
    <t>RAN CV 1000MG TAB</t>
  </si>
  <si>
    <t>RAN CV 500MG TAB</t>
  </si>
  <si>
    <t>RHEOVIT TAB</t>
  </si>
  <si>
    <t>ROFUM TAB</t>
  </si>
  <si>
    <t>ROSUR 10MG TAB</t>
  </si>
  <si>
    <t>ROSUR 20MG TAB</t>
  </si>
  <si>
    <t>ROSUR 40MG TAB</t>
  </si>
  <si>
    <t>ROSUR 5MG TAB</t>
  </si>
  <si>
    <t>ROSUR ASP TAB</t>
  </si>
  <si>
    <t>ROSUR CV TAB</t>
  </si>
  <si>
    <t>ROSUR F 10MG TAB</t>
  </si>
  <si>
    <t>ROSUR GOLD 20MG CAP</t>
  </si>
  <si>
    <t>ROSUR GOLD CAP</t>
  </si>
  <si>
    <t>SAFETELMI 20MG TAB</t>
  </si>
  <si>
    <t>SAFETELMI 40MG TAB</t>
  </si>
  <si>
    <t>SAFETELMI 80MG TAB</t>
  </si>
  <si>
    <t>SAFETELMI AM TAB</t>
  </si>
  <si>
    <t>SAFETELMI CT 40MG TAB</t>
  </si>
  <si>
    <t>SAFETELMI CT 80MG TAB</t>
  </si>
  <si>
    <t>SAFETELMI H TAB</t>
  </si>
  <si>
    <t>TOLVAT 15MG TAB</t>
  </si>
  <si>
    <t>TOLVAT 30MG TAB</t>
  </si>
  <si>
    <t>VILU 50MG TAB</t>
  </si>
  <si>
    <t>VILUMET 1000MG TAB</t>
  </si>
  <si>
    <t>VILUMET 500MG TAB</t>
  </si>
  <si>
    <t>DABIFIB 110MG CAP</t>
  </si>
  <si>
    <t>MSN (CV 2)</t>
  </si>
  <si>
    <t>DABIFIB 150MG CAP</t>
  </si>
  <si>
    <t>DABIFIB 75MG CAP</t>
  </si>
  <si>
    <t>EPNONE 25MG TAB</t>
  </si>
  <si>
    <t>EPNONE 50MG TAB</t>
  </si>
  <si>
    <t>EPNONE T 10MG TAB</t>
  </si>
  <si>
    <t>10+10</t>
  </si>
  <si>
    <t>EPNONE T 20MG TAB</t>
  </si>
  <si>
    <t>MACITENT 10MG TAB</t>
  </si>
  <si>
    <t>METONCE 25MG TAB</t>
  </si>
  <si>
    <t>METONCE 50MG TAB</t>
  </si>
  <si>
    <t>METONCE AM 50MG TAB</t>
  </si>
  <si>
    <t>PULMOFIB 267MG TAB</t>
  </si>
  <si>
    <t>PULMOFIB 801MG TAB</t>
  </si>
  <si>
    <t>PULMOFIB TAB</t>
  </si>
  <si>
    <t>RIOCI 0.5MG TAB</t>
  </si>
  <si>
    <t>RIOCI 1.5MG TAB</t>
  </si>
  <si>
    <t>RIOCI 1MG TAB</t>
  </si>
  <si>
    <t>RIOCI 2.5MG TAB</t>
  </si>
  <si>
    <t>RIOCI 2MG TAB</t>
  </si>
  <si>
    <t>TADOVAS 20MG TAB</t>
  </si>
  <si>
    <t>TIARE 90MG TAB</t>
  </si>
  <si>
    <t>ALMOTAN 12.5MG TAB</t>
  </si>
  <si>
    <t>MSN (CNS)</t>
  </si>
  <si>
    <t>ALMOTAN 6.25MG TAB</t>
  </si>
  <si>
    <t>AMIMIND 100MG TAB</t>
  </si>
  <si>
    <t>AMIMIND 200MG TAB</t>
  </si>
  <si>
    <t>AMIMIND 400MG TAB</t>
  </si>
  <si>
    <t>ATONEXT 10 TAB</t>
  </si>
  <si>
    <t>ATONEXT 18MG TAB</t>
  </si>
  <si>
    <t>ATONEXT 25MG TAB</t>
  </si>
  <si>
    <t>ATONEXT 40MG TAB</t>
  </si>
  <si>
    <t>BYPOL 250MG TAB</t>
  </si>
  <si>
    <t>BYPOL 500MG TAB</t>
  </si>
  <si>
    <t>BYPOL OD 250MG TAB</t>
  </si>
  <si>
    <t>BYPOL OD 500MG TAB</t>
  </si>
  <si>
    <t>DESILAM 10MG TAB</t>
  </si>
  <si>
    <t>DESILAM 5MG TAB</t>
  </si>
  <si>
    <t>DESILAM PLUS TAB</t>
  </si>
  <si>
    <t>GABANYT SEMI</t>
  </si>
  <si>
    <t>GABANYT TAB</t>
  </si>
  <si>
    <t>LEVILEX 250MG TAB</t>
  </si>
  <si>
    <t>LEVILEX 500MG TAB</t>
  </si>
  <si>
    <t>LEVILEX SYRUP 100ML</t>
  </si>
  <si>
    <t>LURATA 40MG TAB</t>
  </si>
  <si>
    <t>LURATA 80MG TAB</t>
  </si>
  <si>
    <t>MS 120MG TAB</t>
  </si>
  <si>
    <t>MS 240MG TAB</t>
  </si>
  <si>
    <t>NAPROXIDIM 250MG TAB</t>
  </si>
  <si>
    <t>NAPROXIDIM 500MG TAB</t>
  </si>
  <si>
    <t>OTZUP 10MG TAB</t>
  </si>
  <si>
    <t>OTZUP 15MG TAB</t>
  </si>
  <si>
    <t>OTZUP 2.5MG TAB</t>
  </si>
  <si>
    <t>OTZUP 5MG TAB</t>
  </si>
  <si>
    <t>OTZUP 7.5MG TAB</t>
  </si>
  <si>
    <t>RINEXT 1MG TAB</t>
  </si>
  <si>
    <t>RINEXT 2MG TAB</t>
  </si>
  <si>
    <t>RINEXT 3MG TAB</t>
  </si>
  <si>
    <t>SERNEXT 100MG TAB</t>
  </si>
  <si>
    <t>SERNEXT 25MG TAB</t>
  </si>
  <si>
    <t>SERNEXT 50MG TAB</t>
  </si>
  <si>
    <t>TAPFREE ER 100MG TAB</t>
  </si>
  <si>
    <t>TAPFREE ER 50MG TAB</t>
  </si>
  <si>
    <t>TAPFREE MONO 100MG TAB</t>
  </si>
  <si>
    <t>TAPFREE MONO 50MG TAB</t>
  </si>
  <si>
    <t>TAPFREE TAB</t>
  </si>
  <si>
    <t>TERU # MS 14 TAB</t>
  </si>
  <si>
    <t>TERU # MS 7 TAB</t>
  </si>
  <si>
    <t>TOLREST SR 450MG TAB</t>
  </si>
  <si>
    <t>TOLSAMA 15MG TAB</t>
  </si>
  <si>
    <t>TOLSAMA 30MG TAB</t>
  </si>
  <si>
    <t>VILODON 20MG TAB</t>
  </si>
  <si>
    <t>VILODON 40MG TAB</t>
  </si>
  <si>
    <t>VITANUM CAP</t>
  </si>
  <si>
    <t>CEFIGHT CV 325MG TAB</t>
  </si>
  <si>
    <t>ARISTO (MF3)</t>
  </si>
  <si>
    <t>DDR 30MG CAP</t>
  </si>
  <si>
    <t>DDR 60MG CAP</t>
  </si>
  <si>
    <t>ENZASE 10000MG CAP</t>
  </si>
  <si>
    <t>ENZASE 20MG TAB</t>
  </si>
  <si>
    <t>ENZASE 25000MG CAP</t>
  </si>
  <si>
    <t>FAVILOW 200MG TAB</t>
  </si>
  <si>
    <t>FEBUDAY 40MG TAB</t>
  </si>
  <si>
    <t>FEBUDAY 80MG TAB</t>
  </si>
  <si>
    <t>FLOXSAFE 400MG TAB</t>
  </si>
  <si>
    <t>GUTWASH SYP 200ML</t>
  </si>
  <si>
    <t>REJUBON CAP</t>
  </si>
  <si>
    <t>REJULOX CAP</t>
  </si>
  <si>
    <t>REJULOX C CAP</t>
  </si>
  <si>
    <t>REJULOX OD CAP</t>
  </si>
  <si>
    <t>RIFEASY 200MG TAB</t>
  </si>
  <si>
    <t>RIFEASY 400MG TAB</t>
  </si>
  <si>
    <t>RIFEASY 550MG TAB</t>
  </si>
  <si>
    <t>RUTO WEL D TAB</t>
  </si>
  <si>
    <t>RUTO-WEL TAB</t>
  </si>
  <si>
    <t>SUBTILIS CAP</t>
  </si>
  <si>
    <t>TAPAL 100MG TAB</t>
  </si>
  <si>
    <t>TAPAL 50MG TAB</t>
  </si>
  <si>
    <t>TAPAL 75MG TAB</t>
  </si>
  <si>
    <t>TAPAL D GEL 30GM</t>
  </si>
  <si>
    <t>TAPAL ER 100MG TAB</t>
  </si>
  <si>
    <t>TAPAL ER 50MG TAB</t>
  </si>
  <si>
    <t>TAPAL P TAB</t>
  </si>
  <si>
    <t>VITASAFE NEW SOFT CAP</t>
  </si>
  <si>
    <t>ABURA 250MG TAB 120TAB</t>
  </si>
  <si>
    <t>MSN (NEPHRO)</t>
  </si>
  <si>
    <t>ABURA 500MG TAB</t>
  </si>
  <si>
    <t>MIRABIG 25MG TAB</t>
  </si>
  <si>
    <t>MIRABIG 50MG TAB</t>
  </si>
  <si>
    <t>MIRABIG S 25MG TAB</t>
  </si>
  <si>
    <t>MIRABIG S 50MG TAB</t>
  </si>
  <si>
    <t>NOCRISTA 40MG TAB</t>
  </si>
  <si>
    <t>NOCRISTA 80MG TAB</t>
  </si>
  <si>
    <t>SILOTRIF 8MG TAB</t>
  </si>
  <si>
    <t>SILOTRIF D 8MG TAB</t>
  </si>
  <si>
    <t>VESILIFE 10MG</t>
  </si>
  <si>
    <t>VESILIFE 5MG TAB</t>
  </si>
  <si>
    <t>CERUKLIN EAR DROP 10ML</t>
  </si>
  <si>
    <t>ORDAIN HEALTHCARE (INTENZ)</t>
  </si>
  <si>
    <t>RENICOL EYE DROP 5ML</t>
  </si>
  <si>
    <t>RENICOL EYE OINTMENT 5GM</t>
  </si>
  <si>
    <t>RENIDEX EYE DROP 5ML</t>
  </si>
  <si>
    <t>SCABANCA C 2% LOTION 100ML</t>
  </si>
  <si>
    <t>COMPLETE TD GOLD CAP</t>
  </si>
  <si>
    <t>ORDAIN HEALTHCARE (ESPERZ)</t>
  </si>
  <si>
    <t>COMPLETE TD TAB</t>
  </si>
  <si>
    <t>DIAPILL D3 PLUS TAB</t>
  </si>
  <si>
    <t>DIAPILL TAB</t>
  </si>
  <si>
    <t>EPALRICA MP TAB</t>
  </si>
  <si>
    <t>EPALRICA M TAB</t>
  </si>
  <si>
    <t>HOMOCYST TAB</t>
  </si>
  <si>
    <t>HOMOCYST TMG TAB</t>
  </si>
  <si>
    <t>L CAR TAB</t>
  </si>
  <si>
    <t>MEGABID NT TAB</t>
  </si>
  <si>
    <t>NEUROMIN CT TAB</t>
  </si>
  <si>
    <t>NEUROMIN EA TAB</t>
  </si>
  <si>
    <t>NEUROMIN FORTE TAB</t>
  </si>
  <si>
    <t>NEUROMIN M CT TAB</t>
  </si>
  <si>
    <t>NEUROMIN OD TAB</t>
  </si>
  <si>
    <t>NEW COMPLETE TD SYRUP 200ML</t>
  </si>
  <si>
    <t>NEW COMPLETE TD TAB</t>
  </si>
  <si>
    <t>NEW DIAPILL TAB</t>
  </si>
  <si>
    <t>PREBID PLUS 75MG TAB</t>
  </si>
  <si>
    <t>PROSTOL D3 TAB</t>
  </si>
  <si>
    <t>PROSTOL TAB</t>
  </si>
  <si>
    <t>THIAMIN INJ. 2ML</t>
  </si>
  <si>
    <t>THIAMIN RH TAB</t>
  </si>
  <si>
    <t>THIAMIN R TAB</t>
  </si>
  <si>
    <t>THIAMIN TAB</t>
  </si>
  <si>
    <t>APRESOL PLUS TAB</t>
  </si>
  <si>
    <t>ORDAIN HEALTHCARE (ESPRITZ)</t>
  </si>
  <si>
    <t>APRESOL TAB</t>
  </si>
  <si>
    <t>ECOTEL 20MG TAB</t>
  </si>
  <si>
    <t>ECOTEL 40MG TAB</t>
  </si>
  <si>
    <t>ECOTEL A TAB</t>
  </si>
  <si>
    <t>ECOTEL CC TAB</t>
  </si>
  <si>
    <t>ECOTEL CH TAB</t>
  </si>
  <si>
    <t>ECOTEL H TAB</t>
  </si>
  <si>
    <t>GLITZ M TAB</t>
  </si>
  <si>
    <t>GLITZ TAB</t>
  </si>
  <si>
    <t>METGLI 1MG TAB</t>
  </si>
  <si>
    <t>METGLI 2 TAB</t>
  </si>
  <si>
    <t>METGLI SR 1MG TAB</t>
  </si>
  <si>
    <t>METGLI SR 2MG TAB</t>
  </si>
  <si>
    <t>METGLI V 1MG TAB</t>
  </si>
  <si>
    <t>METGLI V 2MG TAB</t>
  </si>
  <si>
    <t>ORDILAN TRIO 25MG TAB</t>
  </si>
  <si>
    <t>ORDILAN TRIO 50MG TAB</t>
  </si>
  <si>
    <t>ORDILAN T TAB</t>
  </si>
  <si>
    <t>RESTOPRESS 50MG TAB</t>
  </si>
  <si>
    <t>SHELLOUT TAB</t>
  </si>
  <si>
    <t>THIARX 100MG TAB</t>
  </si>
  <si>
    <t>THIARX 50MG TAB</t>
  </si>
  <si>
    <t>TRIBOSE 0.3MG TAB</t>
  </si>
  <si>
    <t>TRIGLI 1MG TAB</t>
  </si>
  <si>
    <t>TRIGLI 2MG TAB</t>
  </si>
  <si>
    <t>TRIGLI LS 1MG TAB</t>
  </si>
  <si>
    <t>TRIGLI LS 2MG TAB</t>
  </si>
  <si>
    <t>ACOPERIST TAB</t>
  </si>
  <si>
    <t>ORDAIN HEALTHCARE (NUREX)</t>
  </si>
  <si>
    <t>AMNIUP EF TAB</t>
  </si>
  <si>
    <t>ARMIST NASAL SPRAY 9.8ML</t>
  </si>
  <si>
    <t>CINDRATE TAB</t>
  </si>
  <si>
    <t>GALTO FIZ</t>
  </si>
  <si>
    <t>GALTO PLUS TAB</t>
  </si>
  <si>
    <t>GASTROBACT BC CAP</t>
  </si>
  <si>
    <t>GASTROBACT TAB</t>
  </si>
  <si>
    <t>LIVOPILL B TAB</t>
  </si>
  <si>
    <t>LIVOPILL DS TAB</t>
  </si>
  <si>
    <t>LIVOPILL HEPA SYRUP 200ML</t>
  </si>
  <si>
    <t>LIVOPILL TAB</t>
  </si>
  <si>
    <t>LIVOPILL UD TAB</t>
  </si>
  <si>
    <t>LYSICON V DROPS 15ML</t>
  </si>
  <si>
    <t>LYSICON V SYRUP 200ML</t>
  </si>
  <si>
    <t>MD CARE TAB</t>
  </si>
  <si>
    <t>MISONAC SR TAB</t>
  </si>
  <si>
    <t>MUCOCLAV 625MG TAB</t>
  </si>
  <si>
    <t>NEUROMIN M SYP 100ML</t>
  </si>
  <si>
    <t>NEUROPILL 100MG TAB</t>
  </si>
  <si>
    <t>NEUROPILL NT 100MG TAB</t>
  </si>
  <si>
    <t>NEUROPILL NT TAB</t>
  </si>
  <si>
    <t>NEUROPILL TAB</t>
  </si>
  <si>
    <t>ORPRO DM TAB</t>
  </si>
  <si>
    <t>ORPRO TAB</t>
  </si>
  <si>
    <t>OVAFUZE INO TAB</t>
  </si>
  <si>
    <t>OVAFUZE TAB</t>
  </si>
  <si>
    <t>PODOX CV DRY SYP 50ML</t>
  </si>
  <si>
    <t>PODOX DRY SYP 60ML</t>
  </si>
  <si>
    <t>SPERFUZE TAB</t>
  </si>
  <si>
    <t>SRGEST 200MG TAB</t>
  </si>
  <si>
    <t>SRGEST 300MG TAB</t>
  </si>
  <si>
    <t>STABLANZ 8 TAB</t>
  </si>
  <si>
    <t>STABLANZ PV TAB</t>
  </si>
  <si>
    <t>STABLANZ TAB</t>
  </si>
  <si>
    <t>SUCARLCOAT O SYRUP 200ML</t>
  </si>
  <si>
    <t>SUCARLCOAT SYRUP 200ML</t>
  </si>
  <si>
    <t>SUCRALCOAT ANO 20GM</t>
  </si>
  <si>
    <t>SUCRALCOAT O SYP 100ML</t>
  </si>
  <si>
    <t>SUCRALCOAT SYP 100ML</t>
  </si>
  <si>
    <t>TYMPLIN C EAR DROP 5ML</t>
  </si>
  <si>
    <t>VPH CAP 14CAP</t>
  </si>
  <si>
    <t>XIFAPILL 400MG TAB</t>
  </si>
  <si>
    <t>XIFAPILL 550MG TAB</t>
  </si>
  <si>
    <t>XYMEPILL DS TAB</t>
  </si>
  <si>
    <t>XYMEPILL TAB</t>
  </si>
  <si>
    <t>ZYTOLIX P COUGH SYRUP 60ML</t>
  </si>
  <si>
    <t>ALLERBEP DROPS 5ML</t>
  </si>
  <si>
    <t>ORDAIN HEALTHCARE (OPTHAL)</t>
  </si>
  <si>
    <t>CARE TEARS EYE DROPS 10ML</t>
  </si>
  <si>
    <t>CARE TEARS GEL 15ML</t>
  </si>
  <si>
    <t>DECOMIC EYE DROP 10ML</t>
  </si>
  <si>
    <t>DECOMIC PLUS EYE DROPS 10ML</t>
  </si>
  <si>
    <t>EMFODEX EYE DROPS 5ML</t>
  </si>
  <si>
    <t>EMFOZEN EYE DROPS 5ML</t>
  </si>
  <si>
    <t>EMFOZEN LP EYE DROPS 5ML</t>
  </si>
  <si>
    <t>I ZEN FORTE CAP</t>
  </si>
  <si>
    <t>I ZEN TAB</t>
  </si>
  <si>
    <t>KLARNEP EYE DROPS 5ML</t>
  </si>
  <si>
    <t>PATALO DS EYE DROPS 5ML</t>
  </si>
  <si>
    <t>PRIZAL CAP</t>
  </si>
  <si>
    <t>PHARMA NOVA</t>
  </si>
  <si>
    <t>BONEBASE K2 CAP</t>
  </si>
  <si>
    <t>PHARMANOVA (OSTEOID)</t>
  </si>
  <si>
    <t>BONEBASE MILK TAB</t>
  </si>
  <si>
    <t>BONEBASE PLUS CAP</t>
  </si>
  <si>
    <t>BREACT PROTEIN POWDER 200GM</t>
  </si>
  <si>
    <t>CORAILE 1.5GM INJ.</t>
  </si>
  <si>
    <t>CORAILE-250 TAB</t>
  </si>
  <si>
    <t>CORAILE 500MG TAB</t>
  </si>
  <si>
    <t>D3 BASE 60K CAP</t>
  </si>
  <si>
    <t>ETOFINE 120MG CAP</t>
  </si>
  <si>
    <t>ETOFINE CAP</t>
  </si>
  <si>
    <t>ETOFINE MR CAP</t>
  </si>
  <si>
    <t>FIT-NS CAP</t>
  </si>
  <si>
    <t>FIT-NS SUSPENSION 200ML</t>
  </si>
  <si>
    <t>FLEXINOVA CAP</t>
  </si>
  <si>
    <t>FLEXINOVA UC CAP</t>
  </si>
  <si>
    <t>FRACURA CAP</t>
  </si>
  <si>
    <t>MAXTONIN NASAL SPRAY 6ML</t>
  </si>
  <si>
    <t>NEWSYNC TAB</t>
  </si>
  <si>
    <t>NITROTAP CAP</t>
  </si>
  <si>
    <t>NOVAFECT 1.5GM INJ. 1.5GM</t>
  </si>
  <si>
    <t>RABEOZ D CAP</t>
  </si>
  <si>
    <t>SENSEIT CAP</t>
  </si>
  <si>
    <t>SENSEIT GEL 30GM</t>
  </si>
  <si>
    <t>SENSEIT GEL 50GM</t>
  </si>
  <si>
    <t>SENSIET PLUS CAP</t>
  </si>
  <si>
    <t>TOLBY-DS TAB</t>
  </si>
  <si>
    <t>TOLBY-D TAB</t>
  </si>
  <si>
    <t>TOLBY TAB</t>
  </si>
  <si>
    <t>BEXTRIN CAP</t>
  </si>
  <si>
    <t>PHARMANOVA SPECIALITIES</t>
  </si>
  <si>
    <t>BEXTRIN P TAB</t>
  </si>
  <si>
    <t>BEXTRIN TOTAL CAP</t>
  </si>
  <si>
    <t>BONBASE SUSPENSION 200ML</t>
  </si>
  <si>
    <t>BONEBASE CAP</t>
  </si>
  <si>
    <t>BONEBASE D3 CAP</t>
  </si>
  <si>
    <t>BONEBASE F-40 CAP</t>
  </si>
  <si>
    <t>BONEBASE M-40 CAP</t>
  </si>
  <si>
    <t>CYSTARX CAP</t>
  </si>
  <si>
    <t>ENDOSIS CAP</t>
  </si>
  <si>
    <t>FIT-NS GOLD TAB</t>
  </si>
  <si>
    <t>LIFOL CAP</t>
  </si>
  <si>
    <t>LIFOL IQ CAP</t>
  </si>
  <si>
    <t>MARVELLA CAP</t>
  </si>
  <si>
    <t>MARVELLA SUSPENSION 150ML</t>
  </si>
  <si>
    <t>MIFEONE 10MG CAP 14CAP</t>
  </si>
  <si>
    <t>MIFEONE 25MG CAP 14CAP</t>
  </si>
  <si>
    <t>MINOSHINE M CAP</t>
  </si>
  <si>
    <t>MINOSHINE TAB</t>
  </si>
  <si>
    <t>NAEVA 200MG TAB</t>
  </si>
  <si>
    <t>NAEVA 300MG TAB</t>
  </si>
  <si>
    <t>NAEVA 400MG CAP</t>
  </si>
  <si>
    <t>NAEVA SR 200MG CAP</t>
  </si>
  <si>
    <t>NAEVA SR 300MG CAP</t>
  </si>
  <si>
    <t>NAEVA SR 400MG CAP</t>
  </si>
  <si>
    <t>NAUVOM OD TAB</t>
  </si>
  <si>
    <t>NAUVOM TAB</t>
  </si>
  <si>
    <t>ORSERM CAP</t>
  </si>
  <si>
    <t>PROSTIUM E CAP 14CAP</t>
  </si>
  <si>
    <t>PROSTIUM ES CAP 14CAP</t>
  </si>
  <si>
    <t>SMARTOVA 100MG TAB</t>
  </si>
  <si>
    <t>SMARTOVA 50MG TAB</t>
  </si>
  <si>
    <t>SMARTOVA-DN CAP</t>
  </si>
  <si>
    <t>SMARTOVA L CAP</t>
  </si>
  <si>
    <t>SMARTOVA M CAP</t>
  </si>
  <si>
    <t>SMARTOVA PURE 100 TAB</t>
  </si>
  <si>
    <t>SMARTOVA PURE 50 TAB</t>
  </si>
  <si>
    <t>UTIVAX CAP</t>
  </si>
  <si>
    <t>ABZORB DUSTING POWDER 50GM</t>
  </si>
  <si>
    <t>RANBAXY (OTC)</t>
  </si>
  <si>
    <t>DULCOFLEX NATURAL TAB</t>
  </si>
  <si>
    <t>GARLIC PEARLS</t>
  </si>
  <si>
    <t>OLESAN OIL 10ML</t>
  </si>
  <si>
    <t>PEPFIZ LEMON SACHET 4.94GM</t>
  </si>
  <si>
    <t>PEPFIZ ORANGE SACHET 4.94GM</t>
  </si>
  <si>
    <t>PEPFIZ ORANGE TAB</t>
  </si>
  <si>
    <t>PEPMELT LEMON SACHET 2GM</t>
  </si>
  <si>
    <t>PEPMELT ORANGE SACHET 2GM</t>
  </si>
  <si>
    <t>REVITAL H TAB</t>
  </si>
  <si>
    <t>REVITAL H WOMAN TAB</t>
  </si>
  <si>
    <t>REVITAL WOMAN TAB</t>
  </si>
  <si>
    <t>VOLINI ACTIVE GEL 12GM</t>
  </si>
  <si>
    <t>VOLINI ACTIVE GEL 5GM</t>
  </si>
  <si>
    <t>VOLINI BALM 10GM</t>
  </si>
  <si>
    <t>VOLINI GEL 100GM</t>
  </si>
  <si>
    <t>VOLINI GEL 10GM</t>
  </si>
  <si>
    <t>VOLINI GEL 15GM</t>
  </si>
  <si>
    <t>VOLINI GEL 30GM</t>
  </si>
  <si>
    <t>VOLINI GEL 36GM</t>
  </si>
  <si>
    <t>VOLINI GEL 4GM</t>
  </si>
  <si>
    <t>VOLINI GEL 50GM</t>
  </si>
  <si>
    <t>VOLINI GEL 75GM</t>
  </si>
  <si>
    <t>VOLINI MAXX GEL 30GM</t>
  </si>
  <si>
    <t>VOLINI MAXX SPRAY 1*25GM.</t>
  </si>
  <si>
    <t>VOLINI MAXX SPRAY 1*55GM.</t>
  </si>
  <si>
    <t>VOLINI SPRAY 100GM</t>
  </si>
  <si>
    <t>VOLINI SPRAY 15ML</t>
  </si>
  <si>
    <t>VOLINI SPRAY 40GM</t>
  </si>
  <si>
    <t>VOLINI SPRAY 60GM</t>
  </si>
  <si>
    <t>DOLAMIDE TAB</t>
  </si>
  <si>
    <t>Ranbaxy Laboratories Ltd</t>
  </si>
  <si>
    <t>SPORIDEX 250MG DISTAB</t>
  </si>
  <si>
    <t>SPORIDEX 500MG CAP</t>
  </si>
  <si>
    <t>ZANOCIN 200MG TAB</t>
  </si>
  <si>
    <t>ZANOCIN OD 400MG TAB</t>
  </si>
  <si>
    <t>CHERICOF JUNIOR SYRUP 60ML</t>
  </si>
  <si>
    <t>RANBAXY (RESPIRATORY)</t>
  </si>
  <si>
    <t>CHERICOF LS SYP 100ML</t>
  </si>
  <si>
    <t>CHERICOF SF SYRUP 100ML</t>
  </si>
  <si>
    <t>CHERICOF SYP 100ML</t>
  </si>
  <si>
    <t>CHERICOF SYP 50ML</t>
  </si>
  <si>
    <t>GRAMOGYL SYRUP 60ML</t>
  </si>
  <si>
    <t>LOXOF 250MG TAB</t>
  </si>
  <si>
    <t>LOXOF 500MG TAB</t>
  </si>
  <si>
    <t>LOXOF 750MG TAB</t>
  </si>
  <si>
    <t>LOXOF AZ 250MG TAB</t>
  </si>
  <si>
    <t>LOXOF AZ 500MG TAB</t>
  </si>
  <si>
    <t>LOXOF INFUSION 100ML</t>
  </si>
  <si>
    <t>LOXOF OZ TAB</t>
  </si>
  <si>
    <t>MOXCLAV 1000MG TAB</t>
  </si>
  <si>
    <t>MOXCLAV 156.25 ORAL SUSP 30ML</t>
  </si>
  <si>
    <t>MOXCLAV 375MG TAB</t>
  </si>
  <si>
    <t>MOXCLAV 625MG TAB</t>
  </si>
  <si>
    <t>MOXCLAV BD 228.5MG SUSP 30ML</t>
  </si>
  <si>
    <t>MOXCLAV BD 228.5MG TAB</t>
  </si>
  <si>
    <t>MOXCLAV DROP 10ML</t>
  </si>
  <si>
    <t>MOXCLAV DS 457 DISTAB</t>
  </si>
  <si>
    <t>MOXCLAV DS 457MG DISTAB</t>
  </si>
  <si>
    <t>MOXCLAV DS 457MG SUSP. 30ML</t>
  </si>
  <si>
    <t>NUTRIKIT RESPI CAP</t>
  </si>
  <si>
    <t>REFZIL O 125MG SUSP. 30ML</t>
  </si>
  <si>
    <t>REFZIL O 250MG SUSP. 30ML</t>
  </si>
  <si>
    <t>REFZIL O 250MG TAB</t>
  </si>
  <si>
    <t>REFZIL O 500MG TAB</t>
  </si>
  <si>
    <t>REFZIL O 50MG DROP 10ML</t>
  </si>
  <si>
    <t>ROMILAST 10MG TAB</t>
  </si>
  <si>
    <t>ROMILAST 4MG TAB</t>
  </si>
  <si>
    <t>ROMILAST 5MG TAB</t>
  </si>
  <si>
    <t>ROMILAST B 5MG TAB</t>
  </si>
  <si>
    <t>ROMILAST FX TAB</t>
  </si>
  <si>
    <t>ROMILAST L 10MG TAB</t>
  </si>
  <si>
    <t>ROMILAST L 4MG TAB</t>
  </si>
  <si>
    <t>ROMILAST L 5MG TAB</t>
  </si>
  <si>
    <t>SUPRIMOX PLUS 500MG CAP</t>
  </si>
  <si>
    <t>TUFPRO SUSPENSION 10*5ML</t>
  </si>
  <si>
    <t>TUFPRO SUSPENSION 5ML</t>
  </si>
  <si>
    <t>TUFPRO SUSPENSSION 60ML</t>
  </si>
  <si>
    <t>ZOFER 2ML INJ. 2ML</t>
  </si>
  <si>
    <t>ZOFER 4MG TAB</t>
  </si>
  <si>
    <t>ZOFER 4ML INJ. 4ML</t>
  </si>
  <si>
    <t>ZOFER 8MG TAB</t>
  </si>
  <si>
    <t>ZOFER MD 4MG TAB</t>
  </si>
  <si>
    <t>ZOFER MD 8MG TAB</t>
  </si>
  <si>
    <t>ZOFER SYRUP 30ML</t>
  </si>
  <si>
    <t>BILASURE 20MG TAB</t>
  </si>
  <si>
    <t>RANBAXY (MAXXIM)</t>
  </si>
  <si>
    <t>LUCAZOLE CREAM 10GM</t>
  </si>
  <si>
    <t>MOX 125MG KIDTAB</t>
  </si>
  <si>
    <t>MOX 250MG CAP</t>
  </si>
  <si>
    <t>MOX 250MG KIDTAB</t>
  </si>
  <si>
    <t>MOX 500MG CAP</t>
  </si>
  <si>
    <t>MOX CV 228.5MG TAB</t>
  </si>
  <si>
    <t>MOX CV 625MG TAB</t>
  </si>
  <si>
    <t>MOX CV BD 228.5MG SUSPENSION 30ML</t>
  </si>
  <si>
    <t>MOX CV DS 457MG SUSPENSION 30ML</t>
  </si>
  <si>
    <t>MOX P 250MG TAB</t>
  </si>
  <si>
    <t>MOX P 500MG TAB</t>
  </si>
  <si>
    <t>MOX REDIMIX 125MG SUSP. 30ML</t>
  </si>
  <si>
    <t>MOX REDIMIX 125MG SUSP. 60ML</t>
  </si>
  <si>
    <t>MOX REDIMIX 250MG SUSP. 30ML</t>
  </si>
  <si>
    <t>MOX REDIMIX 250MG SUSP. 60ML</t>
  </si>
  <si>
    <t>MOX REDIMIX DROP 10ML</t>
  </si>
  <si>
    <t>NUTRIKIT CAP</t>
  </si>
  <si>
    <t>PROENTRA 250MG SACHET</t>
  </si>
  <si>
    <t>ZOLE F SKIN LOTION 15ML</t>
  </si>
  <si>
    <t>ZOLE F SKIN OINTMENT 15GM</t>
  </si>
  <si>
    <t>ZOLE IT 100MG CAP</t>
  </si>
  <si>
    <t>ZOLE-IT 100MG CAP</t>
  </si>
  <si>
    <t>ZOLE IT 200MG CAP</t>
  </si>
  <si>
    <t>ZOLE-IT 200MG CAP</t>
  </si>
  <si>
    <t>ZOLE SKIN OINTMENT 15GM</t>
  </si>
  <si>
    <t>ALCROS 100MG CAP</t>
  </si>
  <si>
    <t>RANBAXY (CROSLANDS LIFE)</t>
  </si>
  <si>
    <t>ALCROS 200MG CAP</t>
  </si>
  <si>
    <t>ALCROSS 100MG CAP</t>
  </si>
  <si>
    <t>ALCROSS 200MG CAP</t>
  </si>
  <si>
    <t>ALTRADAY CAP</t>
  </si>
  <si>
    <t>CEFDIEL CAP</t>
  </si>
  <si>
    <t>CRIXAN 250MG TAB</t>
  </si>
  <si>
    <t>DOBESIL CAP</t>
  </si>
  <si>
    <t>ETROBAX 120MG TAB</t>
  </si>
  <si>
    <t>ETROBAX 60MG TAB</t>
  </si>
  <si>
    <t>ETROBAX 90MG TAB</t>
  </si>
  <si>
    <t>FARONEM 200MG TAB</t>
  </si>
  <si>
    <t>FARONEM ER TAB</t>
  </si>
  <si>
    <t>IDROFOS 150MG TAB</t>
  </si>
  <si>
    <t>IDROFOS KIT</t>
  </si>
  <si>
    <t>MOBISWIFT D 450MG TAB</t>
  </si>
  <si>
    <t>OSTOSHINE TAB</t>
  </si>
  <si>
    <t>ROLES 20MG TAB</t>
  </si>
  <si>
    <t>ROLES D CAP</t>
  </si>
  <si>
    <t>SPORIT GG SACHET 1GM</t>
  </si>
  <si>
    <t>TYDOL 100MG TAB</t>
  </si>
  <si>
    <t>TYDOL 50MG TAB</t>
  </si>
  <si>
    <t>VOLITRA APS SOLUTION 30ML</t>
  </si>
  <si>
    <t>VOLITRA-ENZO TAB</t>
  </si>
  <si>
    <t>VOLITRA + GEL 30GM</t>
  </si>
  <si>
    <t>VOLITRA + SPRAY 55GM</t>
  </si>
  <si>
    <t>ARCALION TAB</t>
  </si>
  <si>
    <t>Serdia Pharmaceuticals India Pvt Ltd</t>
  </si>
  <si>
    <t>CORALAN 5MG TAB</t>
  </si>
  <si>
    <t>CORALAN 7.5MG TAB</t>
  </si>
  <si>
    <t>COVERSYL 2MG TAB</t>
  </si>
  <si>
    <t>COVERSYL 4MG TAB</t>
  </si>
  <si>
    <t>COVERSYL 8MG TAB</t>
  </si>
  <si>
    <t>COVERSYL AM 4/10MG TAB</t>
  </si>
  <si>
    <t>COVERSYL AM 4/5MG TAB</t>
  </si>
  <si>
    <t>COVERSYL AM 8/10MG TAB</t>
  </si>
  <si>
    <t>COVERSYL AM 8/5MG TAB</t>
  </si>
  <si>
    <t>COVERSYL PLUS HD TAB</t>
  </si>
  <si>
    <t>COVERSYL PLUS TAB</t>
  </si>
  <si>
    <t>DAFLON 1000MG TAB</t>
  </si>
  <si>
    <t>DAFLON 500MG TAB</t>
  </si>
  <si>
    <t>DIAMICRON MR TAB</t>
  </si>
  <si>
    <t>DIAMICRON TAB</t>
  </si>
  <si>
    <t>DIAMICRON XR 60MG TAB</t>
  </si>
  <si>
    <t>DIAMICRON XR MEX 500MG TAB</t>
  </si>
  <si>
    <t>FLAVEDON MR TAB</t>
  </si>
  <si>
    <t>NATRILAM 10MG TAB</t>
  </si>
  <si>
    <t>NATRILAM 2.5MG TAB</t>
  </si>
  <si>
    <t>NATRILAM 5MG TAB</t>
  </si>
  <si>
    <t>NATRILIX SR TAB</t>
  </si>
  <si>
    <t>STABLON TAB</t>
  </si>
  <si>
    <t>TRIPLIXAM TAB</t>
  </si>
  <si>
    <t>TRIVASTAL LA TAB</t>
  </si>
  <si>
    <t>MACGLIM M1 FORTE TAB</t>
  </si>
  <si>
    <t>SHAMAC HEALTHCARE</t>
  </si>
  <si>
    <t>MACGLIM M 1MG TAB</t>
  </si>
  <si>
    <t>MACGLIM M2 FORTE TAB</t>
  </si>
  <si>
    <t>MACGLIM M 2MG TAB</t>
  </si>
  <si>
    <t>MACVOG 0.2 MD TAB</t>
  </si>
  <si>
    <t>MACVOG 0.3 MD TAB</t>
  </si>
  <si>
    <t>MACVOGGM 1MG TAB</t>
  </si>
  <si>
    <t>MACVOGGM 2MG TAB</t>
  </si>
  <si>
    <t>MACVOG M 0.2MG TAB</t>
  </si>
  <si>
    <t>MACVOG M 0.3MG TAB</t>
  </si>
  <si>
    <t>NEUROSTEP OD TAB</t>
  </si>
  <si>
    <t>NEUROSTEP PG CAP</t>
  </si>
  <si>
    <t>ROSUPRIME 10MG TAB</t>
  </si>
  <si>
    <t>ROSUPRIME 20MG TAB</t>
  </si>
  <si>
    <t>ROSUPRIME A TAB</t>
  </si>
  <si>
    <t>ROSUPRIME GOLD TAB</t>
  </si>
  <si>
    <t>TELMIBET 40MG TAB</t>
  </si>
  <si>
    <t>TELMIBET 80MG TAB</t>
  </si>
  <si>
    <t>TELMIBET AM TAB</t>
  </si>
  <si>
    <t>TELMIBET H TAB</t>
  </si>
  <si>
    <t>TELMIBET TRIO TAB</t>
  </si>
  <si>
    <t>MENACTRA 1 DOSE</t>
  </si>
  <si>
    <t>Stiefel India Pvt Ltd</t>
  </si>
  <si>
    <t>DUBIX-K TAB</t>
  </si>
  <si>
    <t>MSN Laboratories</t>
  </si>
  <si>
    <t>NEUGALIN 50MG CAP</t>
  </si>
  <si>
    <t>NEUGALIN AMG CAP</t>
  </si>
  <si>
    <t>NUTRIKIT NS CAP</t>
  </si>
  <si>
    <t>OLANEX 10MG TAB</t>
  </si>
  <si>
    <t>OLANEX 2.5MG TAB</t>
  </si>
  <si>
    <t>OLANEX 5MG TAB</t>
  </si>
  <si>
    <t>OLANEX 7.5MG TAB</t>
  </si>
  <si>
    <t>OLANEX PLUS 10MG TAB</t>
  </si>
  <si>
    <t>OLANEX PLUS 5MG TAB</t>
  </si>
  <si>
    <t>OPIPREX 100MG TAB</t>
  </si>
  <si>
    <t>OPIPREX 50MG TAB</t>
  </si>
  <si>
    <t>OTOGESIC EAR DROPS 10ML</t>
  </si>
  <si>
    <t>PROLINA OG POWDER 200GM</t>
  </si>
  <si>
    <t>RAMITAX 8MG TAB</t>
  </si>
  <si>
    <t>RARICAP 100MG CAP</t>
  </si>
  <si>
    <t>SERLIFT 100MG TAB</t>
  </si>
  <si>
    <t>SERLIFT 25MG TAB</t>
  </si>
  <si>
    <t>SERLIFT 50MG TAB</t>
  </si>
  <si>
    <t>SOBRIUM 10MG TAB</t>
  </si>
  <si>
    <t>SOBRIUM 5MG TAB</t>
  </si>
  <si>
    <t>SOREST 100MG TAB</t>
  </si>
  <si>
    <t>SOREST 50MG TAB</t>
  </si>
  <si>
    <t>SPECTRA 10MG CAP</t>
  </si>
  <si>
    <t>SPECTRA 25MG CAP</t>
  </si>
  <si>
    <t>SPECTRA 75MG CAP</t>
  </si>
  <si>
    <t>VENLA XR 150MG CAP</t>
  </si>
  <si>
    <t>VENLA XR 37.5MG CAP</t>
  </si>
  <si>
    <t>VENLA XR 75MG CAP</t>
  </si>
  <si>
    <t>VIBREX 20MG TAB</t>
  </si>
  <si>
    <t>VIBREX 40MG TAB</t>
  </si>
  <si>
    <t>LEVROXA 1000MG 10 TAB</t>
  </si>
  <si>
    <t>STRIDES SHASUN (NEURA NEUROLOGY)</t>
  </si>
  <si>
    <t>LEVROXA 250MG TAB</t>
  </si>
  <si>
    <t>LEVROXA 500MG TAB</t>
  </si>
  <si>
    <t>LEVROXA ORAL SOLUTION 100ML</t>
  </si>
  <si>
    <t>NEUGALIN 75MG CAP</t>
  </si>
  <si>
    <t>NEUGALIN M CAP</t>
  </si>
  <si>
    <t>OLANEX F TAB</t>
  </si>
  <si>
    <t>OLANEX IT 10MG TAB</t>
  </si>
  <si>
    <t>OLANEX IT 5MG TAB</t>
  </si>
  <si>
    <t>SELZIC 150MG TAB</t>
  </si>
  <si>
    <t>SELZIC 300MG TAB</t>
  </si>
  <si>
    <t>SELZIC 450MG TAB</t>
  </si>
  <si>
    <t>SELZIC 600MG TAB</t>
  </si>
  <si>
    <t>SELZIC OD 150MG TAB</t>
  </si>
  <si>
    <t>SELZIC OD 300MG TAB</t>
  </si>
  <si>
    <t>SELZIC OD 450MG TAB</t>
  </si>
  <si>
    <t>SELZIC OD 600MG TAB</t>
  </si>
  <si>
    <t>SELZIC OD 900MG TAB</t>
  </si>
  <si>
    <t>SOLZAM 10MG TAB</t>
  </si>
  <si>
    <t>SOLZAM 5MG TAB</t>
  </si>
  <si>
    <t>SOLZAM MD 10MG TAB</t>
  </si>
  <si>
    <t>SOLZAM MD 5MG TAB</t>
  </si>
  <si>
    <t>BRINOLAR EYE DROP 5ML</t>
  </si>
  <si>
    <t>SUN PHARMA (AVESTA)</t>
  </si>
  <si>
    <t>BRINZOTIM EYE DROP 5ML</t>
  </si>
  <si>
    <t>CAREPROST EYE DROP 10ML</t>
  </si>
  <si>
    <t>CAREPROST PLUS EYE DROP 10ML</t>
  </si>
  <si>
    <t>COMBIPAT STERILE OPTHAL 5ML</t>
  </si>
  <si>
    <t>CYCLOMUNE 0.1% DROP 10ML</t>
  </si>
  <si>
    <t>CYCLOMUNE EYE DROP 10ML</t>
  </si>
  <si>
    <t>EYEMIST EYE DROP 5ML</t>
  </si>
  <si>
    <t>EYEMIST FORTE EYE DROP 5ML</t>
  </si>
  <si>
    <t>EYEMIST GEL 10GM</t>
  </si>
  <si>
    <t>GATILOX HS EYE DROPS 5ML</t>
  </si>
  <si>
    <t>I-SITE PLUS CAP</t>
  </si>
  <si>
    <t>KETLUR DROP 5ML</t>
  </si>
  <si>
    <t>KETLUR LS DROP 5ML</t>
  </si>
  <si>
    <t>LOTEPRED EYE DROP 5ML</t>
  </si>
  <si>
    <t>LOTEPRED LS 0.2% EYE DROP 5ML</t>
  </si>
  <si>
    <t>LOTEPRED T EYE DROP 5ML</t>
  </si>
  <si>
    <t>NEPALACT EYE DROP 5ML</t>
  </si>
  <si>
    <t>NEW I-SITE CAP</t>
  </si>
  <si>
    <t>TIMOLET 0.5% W/V EYE DROP 5ML</t>
  </si>
  <si>
    <t>TIMOLET OD 0.5% EYE DROP 3ML</t>
  </si>
  <si>
    <t>WINOLAP DS EYE DROP 2.5ML</t>
  </si>
  <si>
    <t>WINOLAP EYE DROP 5ML</t>
  </si>
  <si>
    <t>BRIMOLOL EYE DROP 5ML</t>
  </si>
  <si>
    <t>SUN PHARMA (MILMEL)</t>
  </si>
  <si>
    <t>DIAMOX 250MG TAB</t>
  </si>
  <si>
    <t>FLUPRED EYE DROP 5ML</t>
  </si>
  <si>
    <t>GLOEYE TAB</t>
  </si>
  <si>
    <t>GLYTEARS EYE DROP 10ML</t>
  </si>
  <si>
    <t>LATOCOM CF DROP 10ML</t>
  </si>
  <si>
    <t>LATOCOM EYE DROP 10ML</t>
  </si>
  <si>
    <t>LATOPROST EYE DROP 5ML</t>
  </si>
  <si>
    <t>LATOPROST RT EYE DROP 5ML</t>
  </si>
  <si>
    <t>MEGABROM EYE DROP 5ML</t>
  </si>
  <si>
    <t>MIL EYE DROP 10ML</t>
  </si>
  <si>
    <t>MILFLODEX EYE DROP 10ML</t>
  </si>
  <si>
    <t>MILFLOX DF EYE DROP 5ML</t>
  </si>
  <si>
    <t>MILFLOX DM EYE DROP 10ML</t>
  </si>
  <si>
    <t>MILFLOX EYE DROP 5ML</t>
  </si>
  <si>
    <t>MILFLOX PLUS 0.4% EYE DROP 5ML</t>
  </si>
  <si>
    <t>NATAMET EYE DROPS 5ML</t>
  </si>
  <si>
    <t>NORMO TEARS EYE DROP 10ML</t>
  </si>
  <si>
    <t>OCEPRED EYE DROP 10ML</t>
  </si>
  <si>
    <t>PREDMET EYE DROPS 5ML</t>
  </si>
  <si>
    <t>SYNCA EYE DROPS 5ML</t>
  </si>
  <si>
    <t>TEARDROPS EYE DROP 5ML</t>
  </si>
  <si>
    <t>TOBA DM DROP 10ML</t>
  </si>
  <si>
    <t>TOBA EYE DROP 5ML</t>
  </si>
  <si>
    <t>TOBA F EYE DROP 10ML</t>
  </si>
  <si>
    <t>AQUAZIDE 12.5MG TAB</t>
  </si>
  <si>
    <t>SUN PHARMA (AKUNA)</t>
  </si>
  <si>
    <t>AQUAZIDE 25MG TAB</t>
  </si>
  <si>
    <t>CLOPILET 75MG TAB</t>
  </si>
  <si>
    <t>CLOPILET A 150MG CAP</t>
  </si>
  <si>
    <t>CLOPILET A 75MG CAP</t>
  </si>
  <si>
    <t>D ROZAVEL 10MG TAB</t>
  </si>
  <si>
    <t>D ROZAVEL 20MG TAB</t>
  </si>
  <si>
    <t>EFIPLAT 10MG TAB</t>
  </si>
  <si>
    <t>EPLEHEF 25MG TAB</t>
  </si>
  <si>
    <t>EPLEHEF 50MG TAB</t>
  </si>
  <si>
    <t>FEBUGET 40MG TAB</t>
  </si>
  <si>
    <t>FEBUGET 80MG TAB</t>
  </si>
  <si>
    <t>GLYPRIDE 1MG TAB</t>
  </si>
  <si>
    <t>GLYPRIDE 2MG TAB</t>
  </si>
  <si>
    <t>MONOSPRIN 30MG CAP</t>
  </si>
  <si>
    <t>MONOSPRIN 60MG CAP</t>
  </si>
  <si>
    <t>MONOTRATE 10MG TAB</t>
  </si>
  <si>
    <t>MONOTRATE 20MG TAB</t>
  </si>
  <si>
    <t>MONOTRATE OD 25MG TAB</t>
  </si>
  <si>
    <t>MONOTRATE OD 50MG TAB</t>
  </si>
  <si>
    <t>MONOTRATE SR 30MG TAB</t>
  </si>
  <si>
    <t>MONOTRATE SR 60MG TAB</t>
  </si>
  <si>
    <t>PRAZOPRESS 1MG TAB</t>
  </si>
  <si>
    <t>ROZAGOLD 10MG CAP</t>
  </si>
  <si>
    <t>ROZAGOLD 20MG CAP</t>
  </si>
  <si>
    <t>ROZALET 10MG CAP</t>
  </si>
  <si>
    <t>ROZALET 20MG CAP</t>
  </si>
  <si>
    <t>ROZAVEL 10MG TAB</t>
  </si>
  <si>
    <t>ROZAVEL 20MG TAB</t>
  </si>
  <si>
    <t>ROZAVEL 40MG TAB</t>
  </si>
  <si>
    <t>ROZAVEL 5MG TAB</t>
  </si>
  <si>
    <t>ROZAVEL A 150MG CAP</t>
  </si>
  <si>
    <t>ROZAVEL A CAP</t>
  </si>
  <si>
    <t>ROZAVEL EZ TAB</t>
  </si>
  <si>
    <t>ROZAVEL F 20MG TAB</t>
  </si>
  <si>
    <t>ROZAVEL F 5MG TAB</t>
  </si>
  <si>
    <t>ROZAVEL F LS TAB</t>
  </si>
  <si>
    <t>ROZAVEL F TAB</t>
  </si>
  <si>
    <t>ALFENCE 10MG TAB</t>
  </si>
  <si>
    <t>SUN PHARMA (ARIAN)</t>
  </si>
  <si>
    <t>GLUCORED FORTE TAB</t>
  </si>
  <si>
    <t>GLUCORED TAB</t>
  </si>
  <si>
    <t>ISTAMET 50/1000MG TAB</t>
  </si>
  <si>
    <t>ISTAMET 50/500MG TAB</t>
  </si>
  <si>
    <t>ISTAMET XR CP TAB</t>
  </si>
  <si>
    <t>ISTAVEL 100MG TAB</t>
  </si>
  <si>
    <t>ISTAVEL 50MG TAB</t>
  </si>
  <si>
    <t>KETOADD TAB</t>
  </si>
  <si>
    <t>LOTENSYL 10MG TAB</t>
  </si>
  <si>
    <t>LOTENSYL 20MG TAB</t>
  </si>
  <si>
    <t>LOTENSYL AT TAB</t>
  </si>
  <si>
    <t>METHIMEZ 10MG TAB</t>
  </si>
  <si>
    <t>METHIMEZ 5MG TAB</t>
  </si>
  <si>
    <t>NEW TRIGLUCORED FORTE TAB</t>
  </si>
  <si>
    <t>PIOGLUCORED FORTE TAB</t>
  </si>
  <si>
    <t>PROLOMET AM 25MG TAB</t>
  </si>
  <si>
    <t>PROLOMET AM 50MG TAB</t>
  </si>
  <si>
    <t>PROLOMET R 25MG TAB</t>
  </si>
  <si>
    <t>PROLOMET R 50MG TAB</t>
  </si>
  <si>
    <t>PROLOMET XL 100MG TAB</t>
  </si>
  <si>
    <t>PROLOMET XL 12.5MG TAB</t>
  </si>
  <si>
    <t>PROLOMET XL 25MG TAB</t>
  </si>
  <si>
    <t>PROLOMET XL 50MG TAB</t>
  </si>
  <si>
    <t>REPACE 25MG TAB</t>
  </si>
  <si>
    <t>REPACE 50MG TAB</t>
  </si>
  <si>
    <t>REPACE AF TAB</t>
  </si>
  <si>
    <t>REPACE A TAB</t>
  </si>
  <si>
    <t>REPACE H TAB</t>
  </si>
  <si>
    <t>REPALOL H TAB</t>
  </si>
  <si>
    <t>REPALOL TAB</t>
  </si>
  <si>
    <t>TIGATEL 20MG TAB</t>
  </si>
  <si>
    <t>TIGATEL 40MG TAB</t>
  </si>
  <si>
    <t>TIGATEL 40 TAB</t>
  </si>
  <si>
    <t>TIGATEL 80MG TAB</t>
  </si>
  <si>
    <t>TIGATEL AM 40MG TAB</t>
  </si>
  <si>
    <t>TIGATEL H 40MG TAB</t>
  </si>
  <si>
    <t>TRIGLUCORED FORTE 7.5MG TAB</t>
  </si>
  <si>
    <t>TRILOPACE TAB</t>
  </si>
  <si>
    <t>AMLOBET TAB</t>
  </si>
  <si>
    <t>SUN PHARMA (AVIOR)</t>
  </si>
  <si>
    <t>ANGIZEM 30MG TAB</t>
  </si>
  <si>
    <t>ANGIZEM 60MG TAB</t>
  </si>
  <si>
    <t>ANGIZEM CD 120MG CAP</t>
  </si>
  <si>
    <t>ANGIZEM CD 180MG CAP</t>
  </si>
  <si>
    <t>ANGIZEM CD 90MG CAP</t>
  </si>
  <si>
    <t>ANGIZEM DP 120MG CAP</t>
  </si>
  <si>
    <t>ANGIZEM DP 90MG CAP</t>
  </si>
  <si>
    <t>AZTOR EZ TAB</t>
  </si>
  <si>
    <t>EZENTIA 10MG TAB</t>
  </si>
  <si>
    <t>IROVEL 150MG TAB</t>
  </si>
  <si>
    <t>IROVEL 300MG TAB</t>
  </si>
  <si>
    <t>IROVEL H TAB</t>
  </si>
  <si>
    <t>METOSARTAN 25MG TAB</t>
  </si>
  <si>
    <t>METOSARTAN 50MG TAB</t>
  </si>
  <si>
    <t>NATRISE TAB</t>
  </si>
  <si>
    <t>NEW TRICLAZONE 40MG TAB</t>
  </si>
  <si>
    <t>NEW TRICLAZONE 80MG TAB</t>
  </si>
  <si>
    <t>OXRA 10MG TAB</t>
  </si>
  <si>
    <t>OXRA 5MG TAB</t>
  </si>
  <si>
    <t>OXRAMET 5/1000MG TAB</t>
  </si>
  <si>
    <t>OXRAMET XR 10/1000MG TAB</t>
  </si>
  <si>
    <t>OXRAMET XR 10/500MG TAB</t>
  </si>
  <si>
    <t>PIOGLIT 15MG TAB</t>
  </si>
  <si>
    <t>PIOGLIT 30MG TAB</t>
  </si>
  <si>
    <t>PIOGLIT 7.5MG TAB</t>
  </si>
  <si>
    <t>PIOGLIT MF 15MG TAB</t>
  </si>
  <si>
    <t>PIOGLIT MF 30MG TAB</t>
  </si>
  <si>
    <t>PRAZOPRESS XL 2.5MG TAB</t>
  </si>
  <si>
    <t>PRAZOPRESS XL 5MG TAB</t>
  </si>
  <si>
    <t>THALITEL 40MG TAB</t>
  </si>
  <si>
    <t>THALITEL 80MG TAB</t>
  </si>
  <si>
    <t>TRIVOLIB 1MG TAB</t>
  </si>
  <si>
    <t>TRIVOLIB 2MG TAB</t>
  </si>
  <si>
    <t>TRIVOLIB FORTE 1MG TAB</t>
  </si>
  <si>
    <t>TRIVOLIB FORTE 2MG TAB</t>
  </si>
  <si>
    <t>AXCER 60MG TAB</t>
  </si>
  <si>
    <t>STRIDES SHASUN (NEURO PSYCHIATRY)</t>
  </si>
  <si>
    <t>AXCER 90MG TAB</t>
  </si>
  <si>
    <t>BOTTLE</t>
  </si>
  <si>
    <t>AXCER TAB</t>
  </si>
  <si>
    <t>BETATROP TAB</t>
  </si>
  <si>
    <t>FIBATOR 5MG TAB</t>
  </si>
  <si>
    <t>FIBATOR EZ TAB</t>
  </si>
  <si>
    <t>FIBATOR LS TAB</t>
  </si>
  <si>
    <t>FIBATOR TAB</t>
  </si>
  <si>
    <t>GEMER 0.5MG TAB</t>
  </si>
  <si>
    <t>GEMER 1MG TAB</t>
  </si>
  <si>
    <t>GEMER 2MG TAB</t>
  </si>
  <si>
    <t>GEMER 3MG TAB</t>
  </si>
  <si>
    <t>GEMER 4MG TAB</t>
  </si>
  <si>
    <t>GEMER DS 1MG TAB</t>
  </si>
  <si>
    <t>GEMER DS 2MG TAB</t>
  </si>
  <si>
    <t>GEMER DS 3MG TAB</t>
  </si>
  <si>
    <t>GEMER DS 4MG TAB</t>
  </si>
  <si>
    <t>GEMER FORTE 1MG TAB</t>
  </si>
  <si>
    <t>GEMER FORTE 2MG TAB</t>
  </si>
  <si>
    <t>GEMER P1 TAB</t>
  </si>
  <si>
    <t>GEMER P2 TAB</t>
  </si>
  <si>
    <t>METGEM 1GM TAB</t>
  </si>
  <si>
    <t>METGEM 500MG TAB</t>
  </si>
  <si>
    <t>RANOZEX 1GM TAB</t>
  </si>
  <si>
    <t>RANOZEX TAB</t>
  </si>
  <si>
    <t>REVLAMER 400MG TAB</t>
  </si>
  <si>
    <t>REVLAMER 800MG TAB</t>
  </si>
  <si>
    <t>VOLIBO 0.2MG TAB</t>
  </si>
  <si>
    <t>VOLIBO 0.3MG TAB</t>
  </si>
  <si>
    <t>VOLIBO M 0.2MG TAB</t>
  </si>
  <si>
    <t>VOLIBO M 0.3MG TAB</t>
  </si>
  <si>
    <t>CARDIVAS 12.5MG TAB</t>
  </si>
  <si>
    <t>SUN PHARMA (CORONUS)</t>
  </si>
  <si>
    <t>CARDIVAS 25MG TAB</t>
  </si>
  <si>
    <t>CARDIVAS 3.125MG TAB</t>
  </si>
  <si>
    <t>CARDIVAS 6.25MG TAB</t>
  </si>
  <si>
    <t>CARDIVAS CR 10MG CAP</t>
  </si>
  <si>
    <t>CARDIVAS CR 20MG CAP</t>
  </si>
  <si>
    <t>INAPURE 5MG TAB</t>
  </si>
  <si>
    <t>DARILONG 7.5MG TAB</t>
  </si>
  <si>
    <t>SUN PHARMA (UROLOGY)</t>
  </si>
  <si>
    <t>MODULA TAB</t>
  </si>
  <si>
    <t>NAFTOMAX 50MG TAB</t>
  </si>
  <si>
    <t>NAFTOMAX 75MG TAB</t>
  </si>
  <si>
    <t>SILDURA 4MG TAB</t>
  </si>
  <si>
    <t>SILDURA 8MG CAP</t>
  </si>
  <si>
    <t>SILODAL 4MG CAP</t>
  </si>
  <si>
    <t>SILODAL 8MG CAP</t>
  </si>
  <si>
    <t>SILODAL D 4MG CAP</t>
  </si>
  <si>
    <t>SILODAL D 8MG CAP</t>
  </si>
  <si>
    <t>SOLITEN 5MG TAB</t>
  </si>
  <si>
    <t>SOLITRAL 50MG CAP</t>
  </si>
  <si>
    <t>TAMDURA CAP</t>
  </si>
  <si>
    <t>TROFAME XR CAP</t>
  </si>
  <si>
    <t>TROPAN 2.5MG TAB</t>
  </si>
  <si>
    <t>TROPAN 5MG TAB</t>
  </si>
  <si>
    <t>UROTEL XL 2MG CAP</t>
  </si>
  <si>
    <t>UROTEL XL 4MG CAP</t>
  </si>
  <si>
    <t>CABERLIN 0.25MG TAB</t>
  </si>
  <si>
    <t>SUN PHARMA (INCA)</t>
  </si>
  <si>
    <t>CABERLIN 0.5MG TAB</t>
  </si>
  <si>
    <t>CONSEVEL CAP</t>
  </si>
  <si>
    <t>FREEDASE 30MG TAB</t>
  </si>
  <si>
    <t>LETROZ 2.5MG TAB</t>
  </si>
  <si>
    <t>MAXOZA L SACHETS 5GM</t>
  </si>
  <si>
    <t>MAXOZA SACHETS 5GM</t>
  </si>
  <si>
    <t>NORMOZ DS TAB</t>
  </si>
  <si>
    <t>NORMOZ TAB</t>
  </si>
  <si>
    <t>OVARES CAP</t>
  </si>
  <si>
    <t>OVARES PLUS TAB</t>
  </si>
  <si>
    <t>OVARES SR TAB</t>
  </si>
  <si>
    <t>PILOMAX 5MG TAB</t>
  </si>
  <si>
    <t>PROHANCE MOM CHOC.POWDER 200GM</t>
  </si>
  <si>
    <t>PROHANCE MOM CHO.POWDER 400GM</t>
  </si>
  <si>
    <t>TRINORM CAP</t>
  </si>
  <si>
    <t>BIO EXIDIL SERUM 60ML</t>
  </si>
  <si>
    <t>SUN PHARMA (ORTUS)</t>
  </si>
  <si>
    <t>BRISTAA ADVANCED CREAM 20GM</t>
  </si>
  <si>
    <t>BRISTAA CREAM</t>
  </si>
  <si>
    <t>BRISTAA INTENSE CREAM 20GM</t>
  </si>
  <si>
    <t>CWIN CREAM 30GM</t>
  </si>
  <si>
    <t>C WIN LOTION 30ML</t>
  </si>
  <si>
    <t>C WIN SHAMPOO 100ML</t>
  </si>
  <si>
    <t>DAZIT 10MG TAB</t>
  </si>
  <si>
    <t>DAZIT 5MG TAB</t>
  </si>
  <si>
    <t>DAZIT M TAB</t>
  </si>
  <si>
    <t>DEXOMET 0.25% CREAM 20GM</t>
  </si>
  <si>
    <t>EXEL CREAM 30GM</t>
  </si>
  <si>
    <t>EXEL GN CREAM 15GM</t>
  </si>
  <si>
    <t>EXEL M CREAM 16GM</t>
  </si>
  <si>
    <t>EXIZOL SHAMPOO 50ML</t>
  </si>
  <si>
    <t>I-WIN 100MG CAP</t>
  </si>
  <si>
    <t>I WIN 200MG CAP</t>
  </si>
  <si>
    <t>I-WIN 200MG CAP</t>
  </si>
  <si>
    <t>NEURONOX VIAL 100UNI</t>
  </si>
  <si>
    <t>PASITREX C OINTMENT 20GM</t>
  </si>
  <si>
    <t>PASITREX OINTMENT 20GM</t>
  </si>
  <si>
    <t>PHOTOSTABLE GEL 75GM</t>
  </si>
  <si>
    <t>PHOTOSTABLE GOLD 50 LOTION 50GM</t>
  </si>
  <si>
    <t>PHOTOSTABLE INSTA GEL 50GM</t>
  </si>
  <si>
    <t>RESTOFOS 70MG TAB</t>
  </si>
  <si>
    <t>SEBIFIN 250MG TAB</t>
  </si>
  <si>
    <t>SEBIFIN DUSTING POWDER 30GM</t>
  </si>
  <si>
    <t>SOTRET 10MG CAP</t>
  </si>
  <si>
    <t>SOTRET 20MG CAP</t>
  </si>
  <si>
    <t>SOTRET 30MG CAP</t>
  </si>
  <si>
    <t>VALTOVAL 1GM TAB</t>
  </si>
  <si>
    <t>VALTOVAL 500MG TAB</t>
  </si>
  <si>
    <t>ZEMPRED 16MG TAB</t>
  </si>
  <si>
    <t>ZEMPRED 4MG TAB</t>
  </si>
  <si>
    <t>ZEMPRED 8MG TAB</t>
  </si>
  <si>
    <t>AB PHYLLINE CAP</t>
  </si>
  <si>
    <t>SUN PHARMA (RADIANT)</t>
  </si>
  <si>
    <t>AB PHYLLINE N TAB</t>
  </si>
  <si>
    <t>AB PHYLLINE SR 200MG TAB</t>
  </si>
  <si>
    <t>AVESSA 250MG INHALER</t>
  </si>
  <si>
    <t>AVESSA 250 OCTACAPS</t>
  </si>
  <si>
    <t>COMBITIDE 125MG INHALER 120MD</t>
  </si>
  <si>
    <t>COMBITIDE 250MG INHALER 120MD</t>
  </si>
  <si>
    <t>COMBITIDE 250MG OCTACAPS</t>
  </si>
  <si>
    <t>FOMTIDE 100MG INHALER 120MD</t>
  </si>
  <si>
    <t>FOMTIDE 200MG INHALER 120MD</t>
  </si>
  <si>
    <t>FOMTIDE 200MG OCTACAPS</t>
  </si>
  <si>
    <t>FOMTIDE 400MG INHALER</t>
  </si>
  <si>
    <t>FOMTIDE 400MG OCTACAPS</t>
  </si>
  <si>
    <t>MONTEK 10MG TAB</t>
  </si>
  <si>
    <t>MONTEK 5MG TAB</t>
  </si>
  <si>
    <t>MONTEK AB TAB</t>
  </si>
  <si>
    <t>MONTEK BL TAB</t>
  </si>
  <si>
    <t>MONTEK LC KID SYRUP 60ML</t>
  </si>
  <si>
    <t>MONTEK LC KID TAB</t>
  </si>
  <si>
    <t>MONTEK LC TAB</t>
  </si>
  <si>
    <t>NEZACT POWDER NASAL SPRAY 8GM</t>
  </si>
  <si>
    <t>NEZAFLO NASAL SPRAY</t>
  </si>
  <si>
    <t>NEZALAST NASAL SPRAY</t>
  </si>
  <si>
    <t>OCTAHALER DEVICE</t>
  </si>
  <si>
    <t>PICNOVIT TAB</t>
  </si>
  <si>
    <t>PULMOZA TAB</t>
  </si>
  <si>
    <t>SYMBIVA 200 INHALER</t>
  </si>
  <si>
    <t>WINOLAP 5MG TAB</t>
  </si>
  <si>
    <t>WINOLAP NASAL SPRAY 120MD</t>
  </si>
  <si>
    <t>ZOVAIR 160MG OCTACAPS</t>
  </si>
  <si>
    <t>AGOPREX TAB</t>
  </si>
  <si>
    <t>SUN PHARMA (SIRIUS)</t>
  </si>
  <si>
    <t>CITOPAM 20MG TAB</t>
  </si>
  <si>
    <t>GRAVITOR SR TAB</t>
  </si>
  <si>
    <t>GRAVITOR TAB</t>
  </si>
  <si>
    <t>LACOSET 100MG TAB</t>
  </si>
  <si>
    <t>LACOSET 50MG TAB</t>
  </si>
  <si>
    <t>MAXGALIN 150MG CAP</t>
  </si>
  <si>
    <t>MAXGALIN 50MG CAP</t>
  </si>
  <si>
    <t>MAXGALIN 75MG CAP</t>
  </si>
  <si>
    <t>MAXGALIN ER 150MG TAB</t>
  </si>
  <si>
    <t>MAXGALIN ER 75MG TAB</t>
  </si>
  <si>
    <t>MAXGALIN M 150MG CAP</t>
  </si>
  <si>
    <t>MAXGALIN M 50MG CAP</t>
  </si>
  <si>
    <t>MAXGALIN M 75MG CAP</t>
  </si>
  <si>
    <t>MAXGALIN M ER 150MG TAB</t>
  </si>
  <si>
    <t>MAXGALIN M ER 75MG TAB</t>
  </si>
  <si>
    <t>MAXGALIP AT TAB</t>
  </si>
  <si>
    <t>OLEANZ 10MG TAB</t>
  </si>
  <si>
    <t>OLEANZ 2.5MG TAB</t>
  </si>
  <si>
    <t>OLEANZ 5MG TAB</t>
  </si>
  <si>
    <t>OLEANZ 7.5MG TAB</t>
  </si>
  <si>
    <t>OLEANZ FORTE TAB</t>
  </si>
  <si>
    <t>OLEANZ INJECTION 5ML</t>
  </si>
  <si>
    <t>OLEANZ PLUS TAB</t>
  </si>
  <si>
    <t>OLEANZ RT 10MG TAB</t>
  </si>
  <si>
    <t>OLEANZ RT 15MG TAB</t>
  </si>
  <si>
    <t>OLEANZ RT 20MG TAB</t>
  </si>
  <si>
    <t>OLEANZ RT 5MG TAB</t>
  </si>
  <si>
    <t>ROPARK 0.25MG TAB</t>
  </si>
  <si>
    <t>ROPARK 0.5MG TAB</t>
  </si>
  <si>
    <t>ROPARK 1MG TAB</t>
  </si>
  <si>
    <t>ROPARK 2MG TAB</t>
  </si>
  <si>
    <t>ROPARK XL 1MG TAB</t>
  </si>
  <si>
    <t>ROPARK XL 2MG TAB</t>
  </si>
  <si>
    <t>STROCIT 2ML INJ.</t>
  </si>
  <si>
    <t>STROCIT 500MG TAB</t>
  </si>
  <si>
    <t>STROCIT ORAL DROP 30ML</t>
  </si>
  <si>
    <t>STROCIT PLUS TAB</t>
  </si>
  <si>
    <t>SUMINAT 25MG TAB</t>
  </si>
  <si>
    <t>SUMINAT 50MG TAB</t>
  </si>
  <si>
    <t>TETRAFOL 1MG TAB</t>
  </si>
  <si>
    <t>TETRAFOL 7.5MG TAB</t>
  </si>
  <si>
    <t>TETRAFOL NAC TAB</t>
  </si>
  <si>
    <t>TETRAFOL PLUS TAB</t>
  </si>
  <si>
    <t>THEALIFE TAB</t>
  </si>
  <si>
    <t>ZEPTOL 100MG TAB</t>
  </si>
  <si>
    <t>ZEPTOL 200MG TAB</t>
  </si>
  <si>
    <t>ZEPTOL CR 200MG TAB</t>
  </si>
  <si>
    <t>ZEPTOL CR 300MG TAB</t>
  </si>
  <si>
    <t>ZEPTOL CR 400MG TAB</t>
  </si>
  <si>
    <t>ZIPSYDON 20MG CAP</t>
  </si>
  <si>
    <t>ZIPSYDON 40MG CAP</t>
  </si>
  <si>
    <t>ZOSERT 100MG TAB</t>
  </si>
  <si>
    <t>ZOSERT 25MG TAB</t>
  </si>
  <si>
    <t>ZOSERT 50MG TAB</t>
  </si>
  <si>
    <t>ANOFER SP TAB</t>
  </si>
  <si>
    <t>SUN PHARMA (SENORA)</t>
  </si>
  <si>
    <t>CABGOLIN 0.25MG TAB</t>
  </si>
  <si>
    <t>CABGOLIN 0.5MG TAB</t>
  </si>
  <si>
    <t>CANSOFT CL SUPP</t>
  </si>
  <si>
    <t>DICALIS TAB</t>
  </si>
  <si>
    <t>DOLIMA D3 CAP</t>
  </si>
  <si>
    <t>FENTIN CAP</t>
  </si>
  <si>
    <t>KRIMSON 35MG TAB</t>
  </si>
  <si>
    <t>NEXT ANOFER TAB</t>
  </si>
  <si>
    <t>NOVEFOS SACHET</t>
  </si>
  <si>
    <t>SUSTEN 100MG INJ. 1ML</t>
  </si>
  <si>
    <t>SUSTEN 200MG INJ. 2ML</t>
  </si>
  <si>
    <t>SUSTEN GEL 8.0%</t>
  </si>
  <si>
    <t>SUSTEN SR 200MG TAB</t>
  </si>
  <si>
    <t>SUSTEN SR 300MG TAB</t>
  </si>
  <si>
    <t>SUSTEN SR 400MG TAB</t>
  </si>
  <si>
    <t>TRAPIC 500MG TAB</t>
  </si>
  <si>
    <t>TRAPIC 650MG TAB</t>
  </si>
  <si>
    <t>TRAPIC E TAB</t>
  </si>
  <si>
    <t>TRAPIC MF TAB</t>
  </si>
  <si>
    <t>ACUCAL TAB</t>
  </si>
  <si>
    <t>SUN PHARMA (SPECTRA)</t>
  </si>
  <si>
    <t>AQSUSTEN 25MG INJ.</t>
  </si>
  <si>
    <t>DAZOLIC TAB</t>
  </si>
  <si>
    <t>DRONIS 20MG TAB</t>
  </si>
  <si>
    <t>DRONIS 30MG TAB</t>
  </si>
  <si>
    <t>EPIVAL TAB</t>
  </si>
  <si>
    <t>FERTISURE F TAB</t>
  </si>
  <si>
    <t>FERTISURE M TAB</t>
  </si>
  <si>
    <t>LABEBET 100MG TAB</t>
  </si>
  <si>
    <t>LETOVAL 2.5MG TAB</t>
  </si>
  <si>
    <t>SPEEEDRAL HEALTH SUPP.CAP</t>
  </si>
  <si>
    <t>SUSTEN 100MG CAP</t>
  </si>
  <si>
    <t>SUSTEN 200MG CAP</t>
  </si>
  <si>
    <t>SUSTEN 300MG CAP</t>
  </si>
  <si>
    <t>SUSTEN 400MG CAP</t>
  </si>
  <si>
    <t>SUSTEN VT 100MG INS.</t>
  </si>
  <si>
    <t>SUSTEN VT 200MG INS. 10INS</t>
  </si>
  <si>
    <t>ZITOTEC 200MG TAB</t>
  </si>
  <si>
    <t>ALCOLIV 500MG TAB</t>
  </si>
  <si>
    <t>SUN PHARMA (MAIN)</t>
  </si>
  <si>
    <t>ETOSHINE 120MG TAB</t>
  </si>
  <si>
    <t>ETOSHINE 60MG TAB</t>
  </si>
  <si>
    <t>ETOSHINE 90MG TAB</t>
  </si>
  <si>
    <t>ETOSHINE MR TAB</t>
  </si>
  <si>
    <t>ETOSHINE NP TAB</t>
  </si>
  <si>
    <t>FAMOCID 20MG TAB</t>
  </si>
  <si>
    <t>FAMOCID 40MG TAB</t>
  </si>
  <si>
    <t>LOFECAM 8MG TAB</t>
  </si>
  <si>
    <t>LUMIA 2K CAP</t>
  </si>
  <si>
    <t>LUMIA 60 K CAP</t>
  </si>
  <si>
    <t>LUMIA 60 K TAB</t>
  </si>
  <si>
    <t>MEBIZ SR CAP</t>
  </si>
  <si>
    <t>NEW HEPTAGON TAB</t>
  </si>
  <si>
    <t>PANTOCID 20MG TAB</t>
  </si>
  <si>
    <t>PANTOCID 40MG TAB</t>
  </si>
  <si>
    <t>PANTOCID 80MG TAB</t>
  </si>
  <si>
    <t>PANTOCID D CAP</t>
  </si>
  <si>
    <t>PANTOCID DSR CAP</t>
  </si>
  <si>
    <t>PANTOCID IV 40MG</t>
  </si>
  <si>
    <t>PANTOCID L CAP</t>
  </si>
  <si>
    <t>PYRODEX TAB</t>
  </si>
  <si>
    <t>TIZAN 2MG TAB</t>
  </si>
  <si>
    <t>ACTAPRO 100MG TAB</t>
  </si>
  <si>
    <t>SUN PHARMA (SYGUNS)</t>
  </si>
  <si>
    <t>BUDEZ CR CAP</t>
  </si>
  <si>
    <t>FELDEX TAB</t>
  </si>
  <si>
    <t>FLAVOJOINT 250MG TAB</t>
  </si>
  <si>
    <t>FLAVOJOINT 500MG TAB</t>
  </si>
  <si>
    <t>FLEXURA D TAB</t>
  </si>
  <si>
    <t>HP KIT</t>
  </si>
  <si>
    <t>KIT</t>
  </si>
  <si>
    <t>LACTIFIBER GRANEULES 180GM 180GM</t>
  </si>
  <si>
    <t>LACTIFIBER GRANULES 90GM 90GM</t>
  </si>
  <si>
    <t>LACTIFIBER SACHETS</t>
  </si>
  <si>
    <t>LUBOWEL 24MG CAP</t>
  </si>
  <si>
    <t>LUBOWEL 8MG CAP</t>
  </si>
  <si>
    <t>MESACOL 800MG TAB</t>
  </si>
  <si>
    <t>MESACOL CR 1GM SACHETS</t>
  </si>
  <si>
    <t>MESACOL CR 2GM SACHETS</t>
  </si>
  <si>
    <t>MESACOL CR 500MG TAB</t>
  </si>
  <si>
    <t>MESACOL OD TAB</t>
  </si>
  <si>
    <t>MESACOL SUPPOSITORY</t>
  </si>
  <si>
    <t>MESACOL TAB</t>
  </si>
  <si>
    <t>NEUGABA 75MG CAP</t>
  </si>
  <si>
    <t>NEUGABA ER 75MG TAB</t>
  </si>
  <si>
    <t>NEUGABA M 75MG CAP</t>
  </si>
  <si>
    <t>OCTRIDE 100MG AMP.</t>
  </si>
  <si>
    <t>AMPOULE</t>
  </si>
  <si>
    <t>OCTRIDE 50MG INJ. 1ML</t>
  </si>
  <si>
    <t>OSTOSPRAY FOR INTERANASAL</t>
  </si>
  <si>
    <t>SUPERIA DSR CAP</t>
  </si>
  <si>
    <t>SUPERIA L CAP</t>
  </si>
  <si>
    <t>SUPERIA TAB</t>
  </si>
  <si>
    <t>URSOCOL 150MG TAB</t>
  </si>
  <si>
    <t>URSOCOL 300MG TAB</t>
  </si>
  <si>
    <t>URSOCOL SR 450MG CAP</t>
  </si>
  <si>
    <t>URSOCOL SR 450MG TAB</t>
  </si>
  <si>
    <t>VSL#3 CAP</t>
  </si>
  <si>
    <t>VSL#3 LITE CAP</t>
  </si>
  <si>
    <t>ADMENTA 10MG TAB</t>
  </si>
  <si>
    <t>SUN PHARMA (SYMBIOSIS)</t>
  </si>
  <si>
    <t>ADMENTA 5MG TAB</t>
  </si>
  <si>
    <t>BENFOMET CAP</t>
  </si>
  <si>
    <t>BENFOMET FORTE TAB</t>
  </si>
  <si>
    <t>BENFOMET PLUS TAB</t>
  </si>
  <si>
    <t>CHLORPROMAZINE 50MG TAB</t>
  </si>
  <si>
    <t>DALSTEP TAB</t>
  </si>
  <si>
    <t>DICAL D TAB</t>
  </si>
  <si>
    <t>DONAMEM 10MG TAB</t>
  </si>
  <si>
    <t>DONAMEM 5MG TAB</t>
  </si>
  <si>
    <t>DONAMEM FORTE TAB</t>
  </si>
  <si>
    <t>ELIWEL 10MG TAB</t>
  </si>
  <si>
    <t>ELIWEL 25MG TAB</t>
  </si>
  <si>
    <t>FLURILEPT TAB</t>
  </si>
  <si>
    <t>FLUVOXIN 100MG TAB</t>
  </si>
  <si>
    <t>FLUVOXIN 50MG TAB</t>
  </si>
  <si>
    <t>FLUVOXIN CR 100MG TAB</t>
  </si>
  <si>
    <t>FLUVOXIN CR 50MG TAB</t>
  </si>
  <si>
    <t>ILOSURE 4MG TAB</t>
  </si>
  <si>
    <t>ILOSURE 6MG TAB</t>
  </si>
  <si>
    <t>LEVIPIL 1GM TAB</t>
  </si>
  <si>
    <t>LEVIPIL 250MG TAB</t>
  </si>
  <si>
    <t>LEVIPIL 500MG TAB</t>
  </si>
  <si>
    <t>LEVIPIL 750MG TAB</t>
  </si>
  <si>
    <t>LEVIPIL INJ</t>
  </si>
  <si>
    <t>LEVIPIL SYRUP 100ML</t>
  </si>
  <si>
    <t>LEVIPIL XR 500MG TAB</t>
  </si>
  <si>
    <t>MIRTAZ 15MG TAB</t>
  </si>
  <si>
    <t>MIRTAZ 30MG TAB</t>
  </si>
  <si>
    <t>MIRTAZ 7.5MG TAB</t>
  </si>
  <si>
    <t>NEXIPRIDE 100MG TAB</t>
  </si>
  <si>
    <t>NEXIPRIDE 25MG TAB</t>
  </si>
  <si>
    <t>NEXIPRIDE 50MG TAB</t>
  </si>
  <si>
    <t>PRAMIPEX 0.125MG TAB</t>
  </si>
  <si>
    <t>PRAMIPEX 0.25MG TAB</t>
  </si>
  <si>
    <t>PRAMIPEX 0.5MG TAB</t>
  </si>
  <si>
    <t>PRAMIPEX 1MG TAB</t>
  </si>
  <si>
    <t>PRAMIPEX ER 0.375MG TAB</t>
  </si>
  <si>
    <t>PRAMIPEX ER 0.75MG TAB</t>
  </si>
  <si>
    <t>PRAMIPEX ER 1.5MG TAB</t>
  </si>
  <si>
    <t>PRIMOX TAB</t>
  </si>
  <si>
    <t>PROLINATE 25MG INJ. 1ML</t>
  </si>
  <si>
    <t>QUTIPIN 100MG TAB</t>
  </si>
  <si>
    <t>QUTIPIN 200MG TAB</t>
  </si>
  <si>
    <t>QUTIPIN 25MG TAB</t>
  </si>
  <si>
    <t>QUTIPIN 300MG TAB</t>
  </si>
  <si>
    <t>QUTIPIN 50MG TAB</t>
  </si>
  <si>
    <t>QUTIPIN SR 100MG TAB</t>
  </si>
  <si>
    <t>QUTIPIN SR 200MG TAB</t>
  </si>
  <si>
    <t>QUTIPIN SR 300MG TAB</t>
  </si>
  <si>
    <t>QUTIPIN SR 400MG TAB</t>
  </si>
  <si>
    <t>QUTIPIN SR 50MG TAB</t>
  </si>
  <si>
    <t>RIDAZIN 50MG TAB</t>
  </si>
  <si>
    <t>SENORM LA 50MG INJ.</t>
  </si>
  <si>
    <t>SKELEBENZ 15MG TAB</t>
  </si>
  <si>
    <t>SKELEBENZ 30MG TAB</t>
  </si>
  <si>
    <t>TOFICALM 100MG TAB</t>
  </si>
  <si>
    <t>TOFICALM 50MG TAB</t>
  </si>
  <si>
    <t>TRAZALON 25MG TAB</t>
  </si>
  <si>
    <t>TRAZALON 50MG TAB</t>
  </si>
  <si>
    <t>TRAZINE H TAB</t>
  </si>
  <si>
    <t>ASENAPT 10MG TAB</t>
  </si>
  <si>
    <t>SUN PHARMA (SYNERGY)</t>
  </si>
  <si>
    <t>ASENAPT 5MG TAB</t>
  </si>
  <si>
    <t>DUZELA 20MG CAP</t>
  </si>
  <si>
    <t>DUZELA 30MG CAP</t>
  </si>
  <si>
    <t>DUZELA 40MG CAP</t>
  </si>
  <si>
    <t>DUZELA 60MG CAP</t>
  </si>
  <si>
    <t>DUZELA M 20MG CAP</t>
  </si>
  <si>
    <t>DUZELA M 30MG CAP</t>
  </si>
  <si>
    <t>ENCORATE 100MG INJ. 5ML</t>
  </si>
  <si>
    <t>ENCORATE 200MG TAB</t>
  </si>
  <si>
    <t>ENCORATE 300MG TAB</t>
  </si>
  <si>
    <t>ENCORATE 500MG TAB</t>
  </si>
  <si>
    <t>ENCORATE CHRONO 200MG TA</t>
  </si>
  <si>
    <t>ENCORATE CHRONO 300MG TA</t>
  </si>
  <si>
    <t>ENCORATE CHRONO 400MG TAB</t>
  </si>
  <si>
    <t>ENCORATE CHRONO 500MG TA</t>
  </si>
  <si>
    <t>ENCORATE CHRONO 600MG TAB</t>
  </si>
  <si>
    <t>ENCORATE SYRUP 200ML</t>
  </si>
  <si>
    <t>GABANTIN 100MG CAP</t>
  </si>
  <si>
    <t>GABANTIN 300MG CAP</t>
  </si>
  <si>
    <t>GABANTIN FORTE TAB</t>
  </si>
  <si>
    <t>GABANTIN NT TAB</t>
  </si>
  <si>
    <t>GABANTIN PLUS TAB</t>
  </si>
  <si>
    <t>LOBAZEM MD 10MG TAB</t>
  </si>
  <si>
    <t>LONAZEP 0.25MG TAB</t>
  </si>
  <si>
    <t>LONAZEP 0.5MG TAB</t>
  </si>
  <si>
    <t>LONAZEP 1MG TAB</t>
  </si>
  <si>
    <t>LONAZEP 2MG TAB</t>
  </si>
  <si>
    <t>LONAZEP MD 0.25MG TAB</t>
  </si>
  <si>
    <t>LONAZEP MD 0.5MG TAB</t>
  </si>
  <si>
    <t>MACORATE CR 200MG TAB</t>
  </si>
  <si>
    <t>MACORATE CR 300MG TAB</t>
  </si>
  <si>
    <t>MACORATE CR 400MG TAB</t>
  </si>
  <si>
    <t>NEXITO 10MG TAB</t>
  </si>
  <si>
    <t>NEXITO 20MG TAB</t>
  </si>
  <si>
    <t>NEXITO 5MG TAB</t>
  </si>
  <si>
    <t>NEXITO FORTE TAB</t>
  </si>
  <si>
    <t>NEXITO LS TAB</t>
  </si>
  <si>
    <t>NEXITO PLUS TAB</t>
  </si>
  <si>
    <t>OPIPROL 100MG TAB</t>
  </si>
  <si>
    <t>OPIPROL 50MG TAB</t>
  </si>
  <si>
    <t>RETENSE CAP</t>
  </si>
  <si>
    <t>RETENSE OD TAB</t>
  </si>
  <si>
    <t>RIZANET 10MG TAB</t>
  </si>
  <si>
    <t>RIZANET 5MG TAB</t>
  </si>
  <si>
    <t>SULPITAC 100MG TAB</t>
  </si>
  <si>
    <t>SULPITAC 200MG TAB</t>
  </si>
  <si>
    <t>SULPITAC 300MG TAB</t>
  </si>
  <si>
    <t>SULPITAC 50MG TAB</t>
  </si>
  <si>
    <t>SULPITAC OD 200MG TAB</t>
  </si>
  <si>
    <t>SULPITEC 400MG TAB</t>
  </si>
  <si>
    <t>SYNDOPA 110MG TAB</t>
  </si>
  <si>
    <t>SYNDOPA 275MG TAB</t>
  </si>
  <si>
    <t>SYNDOPA CR TAB</t>
  </si>
  <si>
    <t>SYNDOPA PLUS TAB</t>
  </si>
  <si>
    <t>TRIGABANTIN 100MG TAB</t>
  </si>
  <si>
    <t>TRIGABANTIN 300MG TAB</t>
  </si>
  <si>
    <t>VERNACE TAB</t>
  </si>
  <si>
    <t>VILANO 20MG TAB</t>
  </si>
  <si>
    <t>VILANO 40MG TAB</t>
  </si>
  <si>
    <t>ZONISEP 100MG CAP</t>
  </si>
  <si>
    <t>ZONISEP 25MG TAB</t>
  </si>
  <si>
    <t>ZONISEP 50MG CAP</t>
  </si>
  <si>
    <t>AMIXIDE H TAB</t>
  </si>
  <si>
    <t>SUN PHARMA (SYMENTA)</t>
  </si>
  <si>
    <t>AMIXIDE TAB</t>
  </si>
  <si>
    <t>ANXOZAP 10MG TAB</t>
  </si>
  <si>
    <t>ANXOZAP 15MG TAB</t>
  </si>
  <si>
    <t>ANXOZAP 30MG TAB</t>
  </si>
  <si>
    <t>ARPIZOL 10MG TAB</t>
  </si>
  <si>
    <t>ARPIZOL 15MG TAB</t>
  </si>
  <si>
    <t>ARPIZOL 5MG TAB</t>
  </si>
  <si>
    <t>ATTENTROL 18MG CAP</t>
  </si>
  <si>
    <t>BUPRON SR 150MG TAB</t>
  </si>
  <si>
    <t>BUPRON XL 150MG TAB</t>
  </si>
  <si>
    <t>BUPRON XL 300MG TAB</t>
  </si>
  <si>
    <t>CEREBROLYSIN SOLU.FOR INJ. 10ML</t>
  </si>
  <si>
    <t>CLOFRANIL 10MG TAB</t>
  </si>
  <si>
    <t>CLOFRANIL 25MG TAB</t>
  </si>
  <si>
    <t>CLOFRANIL 50MG TAB</t>
  </si>
  <si>
    <t>CLOFRANIL SR TAB</t>
  </si>
  <si>
    <t>DICORATE ER 125MG TAB</t>
  </si>
  <si>
    <t>DICORATE ER 1GM TAB</t>
  </si>
  <si>
    <t>DICORATE ER 250MG TAB</t>
  </si>
  <si>
    <t>DICORATE ER 500MG TAB</t>
  </si>
  <si>
    <t>DICORATE ER 750MG TAB</t>
  </si>
  <si>
    <t>DIZITAC TAB</t>
  </si>
  <si>
    <t>DONETAZ ODS 10MG SACH.</t>
  </si>
  <si>
    <t>DONETAZ ODS 5MG SACH.</t>
  </si>
  <si>
    <t>DONETAZ SR 11.5MG TAB</t>
  </si>
  <si>
    <t>DONETAZ SR 23MG TAB</t>
  </si>
  <si>
    <t>D VENIZ 100MG TAB</t>
  </si>
  <si>
    <t>D VENIZ 50MG TAB</t>
  </si>
  <si>
    <t>D-VENIZEP 100MG TAB</t>
  </si>
  <si>
    <t>D-VENIZEP 50MG TAB</t>
  </si>
  <si>
    <t>LITHOSUN 300MG TAB</t>
  </si>
  <si>
    <t>LITHOSUN SR TAB</t>
  </si>
  <si>
    <t>LOBAZAM 10MG TAB</t>
  </si>
  <si>
    <t>LOBAZAM 2.5MG TAB</t>
  </si>
  <si>
    <t>LOBAZAM 5MG TAB</t>
  </si>
  <si>
    <t>LOBAZAM 7.5MG TAB</t>
  </si>
  <si>
    <t>MAXMALA 50MG CAP</t>
  </si>
  <si>
    <t>MAXMALA FORTE TAB</t>
  </si>
  <si>
    <t>MAXMALA TAB</t>
  </si>
  <si>
    <t>MODALERT 100MG TAB</t>
  </si>
  <si>
    <t>MODALERT 200MG TAB</t>
  </si>
  <si>
    <t>NAXDOM 250MG TAB</t>
  </si>
  <si>
    <t>NAXDOM 500MG CAP</t>
  </si>
  <si>
    <t>PRODEP 10MG CAP</t>
  </si>
  <si>
    <t>PRODEP 20MG CAP</t>
  </si>
  <si>
    <t>PRODEP 60MG CAP</t>
  </si>
  <si>
    <t>REVOCON TAB</t>
  </si>
  <si>
    <t>RIVAMER 1.5MG CAP</t>
  </si>
  <si>
    <t>RIVAMER 3MG CAP</t>
  </si>
  <si>
    <t>SIZODON 1MG TAB</t>
  </si>
  <si>
    <t>SIZODON 2MG TAB</t>
  </si>
  <si>
    <t>SIZODON 3MG TAB</t>
  </si>
  <si>
    <t>SIZODON 4MG TAB</t>
  </si>
  <si>
    <t>SIZODON FORTE TAB</t>
  </si>
  <si>
    <t>SIZODON LS TAB</t>
  </si>
  <si>
    <t>SIZODON MD 0.5MG TAB</t>
  </si>
  <si>
    <t>SIZODON ORAL SOLUTION 60ML</t>
  </si>
  <si>
    <t>SIZODON PLUS TAB</t>
  </si>
  <si>
    <t>SYNCAPONE 100MG TAB</t>
  </si>
  <si>
    <t>SYNCAPONE 150MG TAB</t>
  </si>
  <si>
    <t>SYNCAPONE 50MG TAB</t>
  </si>
  <si>
    <t>TIGATEL H 80MG TAB</t>
  </si>
  <si>
    <t>BETAVERT 16MG TAB</t>
  </si>
  <si>
    <t>SUN PHARMA (SOLARES)</t>
  </si>
  <si>
    <t>BETAVERT 24MG TAB</t>
  </si>
  <si>
    <t>BETAVERT OD 24MG TAB</t>
  </si>
  <si>
    <t>BETAVERT OD 48MG TAB</t>
  </si>
  <si>
    <t>BETAVERT TAB</t>
  </si>
  <si>
    <t>DEPOPRED INJ. 2ML</t>
  </si>
  <si>
    <t>DESLOR 5MG TAB</t>
  </si>
  <si>
    <t>DULANE 20MG CAP</t>
  </si>
  <si>
    <t>DULANE 30MG CAP</t>
  </si>
  <si>
    <t>DULANE M 20MG CAP</t>
  </si>
  <si>
    <t>EZACT 120MG TAB</t>
  </si>
  <si>
    <t>EZACT 60MG TAB</t>
  </si>
  <si>
    <t>EZACT 90MG TAB</t>
  </si>
  <si>
    <t>EZACT MR TAB</t>
  </si>
  <si>
    <t>FEBUTAZ 40MG TAB</t>
  </si>
  <si>
    <t>FEBUTAZ 80MG TAB</t>
  </si>
  <si>
    <t>GRANISET 1MG TAB</t>
  </si>
  <si>
    <t>KETASMA TAB</t>
  </si>
  <si>
    <t>LESURIDE INJ. 2ML</t>
  </si>
  <si>
    <t>LESURIDE MPS TAB</t>
  </si>
  <si>
    <t>LESURIDE OD 75MG TAB</t>
  </si>
  <si>
    <t>LESURIDE TAB</t>
  </si>
  <si>
    <t>MON DESLOR TAB</t>
  </si>
  <si>
    <t>PANLIPASE 25000MG CAP</t>
  </si>
  <si>
    <t>PANLIPASE CAP</t>
  </si>
  <si>
    <t>PEGFIBER GRANULES</t>
  </si>
  <si>
    <t>PEGMOVE POWDER 119GM</t>
  </si>
  <si>
    <t>PEGMOVE PREP</t>
  </si>
  <si>
    <t>BOX</t>
  </si>
  <si>
    <t>PREDMET 16MG TAB</t>
  </si>
  <si>
    <t>PREDMET 4MG TAB</t>
  </si>
  <si>
    <t>PREDMET 8MG TAB</t>
  </si>
  <si>
    <t>SILBOSTIN CAP</t>
  </si>
  <si>
    <t>SNEPDOL CAP</t>
  </si>
  <si>
    <t>SNEPDOL OD TAB</t>
  </si>
  <si>
    <t>SOMPRAZ 20MG TAB</t>
  </si>
  <si>
    <t>SOMPRAZ 40MG TAB</t>
  </si>
  <si>
    <t>SOMPRAZ D 20MG CAP</t>
  </si>
  <si>
    <t>SOMPRAZ D 40MG CAP</t>
  </si>
  <si>
    <t>SOMPRAZ HP KIT</t>
  </si>
  <si>
    <t>SOMPRAZ IT TAB</t>
  </si>
  <si>
    <t>SOMPRAZ L CAP</t>
  </si>
  <si>
    <t>THIOACT 4MG CAP</t>
  </si>
  <si>
    <t>THIOACT 8MG CAP</t>
  </si>
  <si>
    <t>THIOACT D 4MG CAP</t>
  </si>
  <si>
    <t>THIOACT D 8MG CAP</t>
  </si>
  <si>
    <t>ABZORB BAR 100GM</t>
  </si>
  <si>
    <t>RANBAXY (CROSSLAND)</t>
  </si>
  <si>
    <t>ABZORB DUSTING POWDER 100GM</t>
  </si>
  <si>
    <t>ACROTAC 10MG CAP</t>
  </si>
  <si>
    <t>ACROTAC 25MG CAP</t>
  </si>
  <si>
    <t>ANABOOM AD LOTION 50ML</t>
  </si>
  <si>
    <t>ANABOOM AD SHAMPOO 100ML</t>
  </si>
  <si>
    <t>ANABOOM ANTI HAIR FALL SERUM 60ML</t>
  </si>
  <si>
    <t>ANABOOM SHAMPOO 100ML</t>
  </si>
  <si>
    <t>ANASURE 5% SOLUTION 60ML</t>
  </si>
  <si>
    <t>DIPROBATE G PLUS CREAM 30GM</t>
  </si>
  <si>
    <t>DIPROBATE PLUS CREAM 30GM</t>
  </si>
  <si>
    <t>DIPROBATE PLUS LOTION 50ML</t>
  </si>
  <si>
    <t>DIPROBATE RD CREAM 30GM</t>
  </si>
  <si>
    <t>DIPROBATE S LOTION 30ML</t>
  </si>
  <si>
    <t>EFLORA CREAM 15GM</t>
  </si>
  <si>
    <t>FUCIBET CREAM 15GM</t>
  </si>
  <si>
    <t>FUCIDIN CREAM 15GM</t>
  </si>
  <si>
    <t>FUCIDIN CREAM 5GM</t>
  </si>
  <si>
    <t>FUCIDIN H CREAM 15GM</t>
  </si>
  <si>
    <t>FUCIDIN OINTMENT 15GM</t>
  </si>
  <si>
    <t>FUCIDIN OINTMENT 5GM</t>
  </si>
  <si>
    <t>FUNGICROS CREAM 10GM</t>
  </si>
  <si>
    <t>FUNGICROS CREAM 30GM</t>
  </si>
  <si>
    <t>IVERMECTOL 12MG TAB</t>
  </si>
  <si>
    <t>MICROBENZ 3.5% AQEUOS GEL 15GM</t>
  </si>
  <si>
    <t>MICROBENZ 5.5% AQUEOUS GEL 15GM</t>
  </si>
  <si>
    <t>MOISTUREX CLENZ 100ML</t>
  </si>
  <si>
    <t>MOISTUREX CREAM 100GM</t>
  </si>
  <si>
    <t>MOISTUREX SOFT CREAM 100GM</t>
  </si>
  <si>
    <t>MOISTUREX SOFT CREAM 300GM.</t>
  </si>
  <si>
    <t>MOISTUREX SOFT LOTION 100ML</t>
  </si>
  <si>
    <t>MOISTUREX SYNDET BAR 100GM</t>
  </si>
  <si>
    <t>MOITUREX WASH 200ML</t>
  </si>
  <si>
    <t>NEUGATRIP TAB</t>
  </si>
  <si>
    <t>NEW XTRAGLO TAB</t>
  </si>
  <si>
    <t>ONCOTREX 10MG TAB</t>
  </si>
  <si>
    <t>ONCOTREX 2.5MG TAB</t>
  </si>
  <si>
    <t>ONCOTREX 5MG TAB</t>
  </si>
  <si>
    <t>ONCOTREX 7.5MG TAB</t>
  </si>
  <si>
    <t>SUPATRAT C GEL 15GM</t>
  </si>
  <si>
    <t>SUPATRET 0.04% GEL 20GM</t>
  </si>
  <si>
    <t>SUPATRET 0.1% GEL 20GM</t>
  </si>
  <si>
    <t>TECZINE 10MG TAB</t>
  </si>
  <si>
    <t>TECZINE 5MG TAB</t>
  </si>
  <si>
    <t>TECZINE M SYRUP 60ML</t>
  </si>
  <si>
    <t>TECZINE M TAB</t>
  </si>
  <si>
    <t>TECZINE SYRUP 30ML</t>
  </si>
  <si>
    <t>TECZINE SYRUP 60ML</t>
  </si>
  <si>
    <t>BILASHINE 20MG TAB</t>
  </si>
  <si>
    <t>RANBAXY (RIGEL)</t>
  </si>
  <si>
    <t>BILASHINE DT TAB</t>
  </si>
  <si>
    <t>MINOZ 100MG TAB</t>
  </si>
  <si>
    <t>MINOZ 50MG TAB</t>
  </si>
  <si>
    <t>MINOZ BPO GEL 15GM</t>
  </si>
  <si>
    <t>MINOZ ER 45MG TAB</t>
  </si>
  <si>
    <t>MINOZ ER 65MG TAB</t>
  </si>
  <si>
    <t>MINOZ OD 100MG CAP</t>
  </si>
  <si>
    <t>PDLAST 30MG CAP</t>
  </si>
  <si>
    <t>SODOX CAP</t>
  </si>
  <si>
    <t>SUNCROS 26 SPF AQUAGEL 100GM</t>
  </si>
  <si>
    <t>SUNCROS 26 SPF GEL 100GM</t>
  </si>
  <si>
    <t>SUNCROS 26 SPF LOTION 100ML</t>
  </si>
  <si>
    <t>SUNCROS 50 AQUALOTION 60ML</t>
  </si>
  <si>
    <t>SUNCROS SOFT 50 SPF GEL 50GM</t>
  </si>
  <si>
    <t>SUNCROS SOFT GEL 20GM</t>
  </si>
  <si>
    <t>SUNCROS SOFT LOTION 60ML</t>
  </si>
  <si>
    <t>SUNCROS TINT GEL 50GM</t>
  </si>
  <si>
    <t>SUNCROS TINT LOTION 48ML</t>
  </si>
  <si>
    <t>XERINA CREAM 50GM</t>
  </si>
  <si>
    <t>XERINA LOTION 100ML</t>
  </si>
  <si>
    <t>XERINA SOFT CREAM 50GM</t>
  </si>
  <si>
    <t>XERINA SOFT LOTION 100GM</t>
  </si>
  <si>
    <t>YUGARD CREAM 30GM</t>
  </si>
  <si>
    <t>YUGARD EYE CREAM 15GM</t>
  </si>
  <si>
    <t>BIFOSA 35MG TAB</t>
  </si>
  <si>
    <t>TROIKAA (ALTIUS)</t>
  </si>
  <si>
    <t>BIFOSA 70MG TAB</t>
  </si>
  <si>
    <t>DICLOTROY AQ INJ. 1ML</t>
  </si>
  <si>
    <t>DICLOTROY QPS PLUS SPRAY 30ML</t>
  </si>
  <si>
    <t>DILTIGESIC ORGANOGEL 30GM</t>
  </si>
  <si>
    <t>DYNAPAR LD CAP</t>
  </si>
  <si>
    <t>DYNAPAR S TAB</t>
  </si>
  <si>
    <t>NIFECAINE ORGANOGEL 30GM</t>
  </si>
  <si>
    <t>NITROGESIC OINTMENT 30GM</t>
  </si>
  <si>
    <t>NUROTROY SR TAB</t>
  </si>
  <si>
    <t>PHLEBOSOL QPS GLASS BOTT.</t>
  </si>
  <si>
    <t>PODOBACT 200MG TAB</t>
  </si>
  <si>
    <t>REDHAEM TAB</t>
  </si>
  <si>
    <t>RHINOCOBAL NASAL SPRAY 2.3ML</t>
  </si>
  <si>
    <t>TESS TUBE 5GM</t>
  </si>
  <si>
    <t>XYKAA BD TAB</t>
  </si>
  <si>
    <t>XYKAA EXTEND 1000MG TAB</t>
  </si>
  <si>
    <t>XYKAA EXTEND TAB</t>
  </si>
  <si>
    <t>XYKAA MR 4MG TAB</t>
  </si>
  <si>
    <t>XYKAA MR 8MG TAB</t>
  </si>
  <si>
    <t>XYKAA PLUS TAB</t>
  </si>
  <si>
    <t>XYKAA RAPID 500MG TAB</t>
  </si>
  <si>
    <t>XYKAA RAPID 650MG TAB</t>
  </si>
  <si>
    <t>XYKAA TD TAB</t>
  </si>
  <si>
    <t>ZYROTRAM P RAPID TAB</t>
  </si>
  <si>
    <t>EURYTHMIC 100MG TAB</t>
  </si>
  <si>
    <t>TROIKAA (AURA)</t>
  </si>
  <si>
    <t>EURYTHMIC 200MG TAB</t>
  </si>
  <si>
    <t>FENO TG PLUS TAB</t>
  </si>
  <si>
    <t>FENO TG TAB</t>
  </si>
  <si>
    <t>LESSKAA 10MG TAB</t>
  </si>
  <si>
    <t>LIQUI D3 CAP</t>
  </si>
  <si>
    <t>MYONIT INSTA TAB</t>
  </si>
  <si>
    <t>MYONIT SR 2.6MG TAB</t>
  </si>
  <si>
    <t>MYONIT SR 6.4MG TAB</t>
  </si>
  <si>
    <t>ORLITROY 120MG CAP</t>
  </si>
  <si>
    <t>ORLITROY 60MG CAP</t>
  </si>
  <si>
    <t>ROSUKAA 10MG TAB</t>
  </si>
  <si>
    <t>ROSUKAA 20MG TAB</t>
  </si>
  <si>
    <t>ROSUKAA 40MG TAB</t>
  </si>
  <si>
    <t>ROSUKAA 5MG TAB</t>
  </si>
  <si>
    <t>ROSUKAA A 10/75MG CAP</t>
  </si>
  <si>
    <t>ROSUKAA A 20/150MG CAP</t>
  </si>
  <si>
    <t>ROSUKAA F TAB</t>
  </si>
  <si>
    <t>ROSUKAA GOLD CAP</t>
  </si>
  <si>
    <t>TELMIKAA 20MG TAB</t>
  </si>
  <si>
    <t>TELMIKAA 40MG TAB</t>
  </si>
  <si>
    <t>TELMIKAA 80MG TAB</t>
  </si>
  <si>
    <t>TELMIKAA AMH TAB</t>
  </si>
  <si>
    <t>TELMIKAA AM TAB</t>
  </si>
  <si>
    <t>TELMIKAA CT TAB</t>
  </si>
  <si>
    <t>TELMIKAA H 80MG TAB</t>
  </si>
  <si>
    <t>TELMIKAA H TAB</t>
  </si>
  <si>
    <t>TELMIKAA MT 25MG TAB</t>
  </si>
  <si>
    <t>TELMIKAA MT 50MG TAB</t>
  </si>
  <si>
    <t>TROYACE-SP TAB</t>
  </si>
  <si>
    <t>TROYACE TAB</t>
  </si>
  <si>
    <t>TROYNURON AL CAP</t>
  </si>
  <si>
    <t>TROYNURON SR TAB</t>
  </si>
  <si>
    <t>ZYLTAN 25MG TAB</t>
  </si>
  <si>
    <t>ZYLTAN 50MG TAB</t>
  </si>
  <si>
    <t>ZYLTAN H TAB</t>
  </si>
  <si>
    <t>DYNAPAR EC TAB</t>
  </si>
  <si>
    <t>Troikaa Pharmaceuticals Ltd</t>
  </si>
  <si>
    <t>DYNAPAR GEL 30GM</t>
  </si>
  <si>
    <t>DYNAPAR INJ. 1ML</t>
  </si>
  <si>
    <t>DYNAPAR MR 8MG TAB</t>
  </si>
  <si>
    <t>DYNAPAR MR TAB</t>
  </si>
  <si>
    <t>DYNAPAR QPS PLUS SOLUTION 15ML</t>
  </si>
  <si>
    <t>DYNAPAR QPS PLUS SOLUTION 30ML</t>
  </si>
  <si>
    <t>DYNAPAR QPS SOLUTION 30ML</t>
  </si>
  <si>
    <t>DYNAPAR SR 100MG TAB</t>
  </si>
  <si>
    <t>DYNAPAR SR 75MG TAB</t>
  </si>
  <si>
    <t>DYNAPAR TAB</t>
  </si>
  <si>
    <t>NASO B12 NASAL SPRAY 2.3ML</t>
  </si>
  <si>
    <t>OPTOGEST SR 200MG TAB</t>
  </si>
  <si>
    <t>PPTROY D CAP</t>
  </si>
  <si>
    <t>QULANTA TAB</t>
  </si>
  <si>
    <t>RECHARJE FORTE CAP</t>
  </si>
  <si>
    <t>RECHARJE PLUS CAP</t>
  </si>
  <si>
    <t>TROYCAL 500MG TAB</t>
  </si>
  <si>
    <t>TROYCAL CT CAP</t>
  </si>
  <si>
    <t>TROYSLIM 120MG CAP</t>
  </si>
  <si>
    <t>TROYSLIM 60MG CAP</t>
  </si>
  <si>
    <t>TROYSONE 100MG INJ.</t>
  </si>
  <si>
    <t>TROYVIT D3 CAP</t>
  </si>
  <si>
    <t>JALRA M 50/850MG TAB</t>
  </si>
  <si>
    <t>MICRO (NUTRICA)</t>
  </si>
  <si>
    <t>TRIPLE A CAL FD TAB</t>
  </si>
  <si>
    <t>NIMODIP TAB</t>
  </si>
  <si>
    <t>USV (CENTRA)</t>
  </si>
  <si>
    <t>AMLACE TAB</t>
  </si>
  <si>
    <t>USV (CHANNEL)</t>
  </si>
  <si>
    <t>ANOVATE CREAM 20GM</t>
  </si>
  <si>
    <t>CATASPA TAB</t>
  </si>
  <si>
    <t>CVP CAP</t>
  </si>
  <si>
    <t>DEROBIN OINTMENT 30GM</t>
  </si>
  <si>
    <t>DOXY 1 L DR FORTE CAP</t>
  </si>
  <si>
    <t>GYNAE CVP CAP</t>
  </si>
  <si>
    <t>MVI INJ. 10ML</t>
  </si>
  <si>
    <t>NIZER P TAB</t>
  </si>
  <si>
    <t>NIZER TAB</t>
  </si>
  <si>
    <t>NURIL 10MG TAB</t>
  </si>
  <si>
    <t>NURIL 2.5MG TAB</t>
  </si>
  <si>
    <t>NURIL 5MG TAB</t>
  </si>
  <si>
    <t>VITAMIN A CAP</t>
  </si>
  <si>
    <t>ZOSTA 10MG TAB</t>
  </si>
  <si>
    <t>ZOSTA 20MG TAB</t>
  </si>
  <si>
    <t>ZOSTA 5MG TAB</t>
  </si>
  <si>
    <t>AMLOPIN 10MG TAB</t>
  </si>
  <si>
    <t>USV (CONDOR)</t>
  </si>
  <si>
    <t>AMLOPIN 2.5MG TAB</t>
  </si>
  <si>
    <t>AMLOPIN 5MG TAB</t>
  </si>
  <si>
    <t>AMLOPIN AT</t>
  </si>
  <si>
    <t>AMLOPIN M 25MG TAB</t>
  </si>
  <si>
    <t>AMLOPIN M TAB</t>
  </si>
  <si>
    <t>DIATAAL CAP $</t>
  </si>
  <si>
    <t>DIATAAL D CAP</t>
  </si>
  <si>
    <t>GLYCOMET 1GM TAB</t>
  </si>
  <si>
    <t>GLYCOMET 250MG TAB</t>
  </si>
  <si>
    <t>GLYCOMET SR 500MG TAB</t>
  </si>
  <si>
    <t>GLYCOMET SR 850MG TAB</t>
  </si>
  <si>
    <t>GLYCOMET TAB</t>
  </si>
  <si>
    <t>JALRA 50MG TAB</t>
  </si>
  <si>
    <t>JALRA M 50/1000MG TAB</t>
  </si>
  <si>
    <t>JALRA M 50/500MG TAB</t>
  </si>
  <si>
    <t>PEVESCA 75MG CAP</t>
  </si>
  <si>
    <t>PEVESCA PLUS CAP</t>
  </si>
  <si>
    <t>ROSEDAY GOLD 20MG CAP</t>
  </si>
  <si>
    <t>ROSEDAY GOLD CAP</t>
  </si>
  <si>
    <t>SR PEVESCA PLUS 150MG TAB</t>
  </si>
  <si>
    <t>SR PEVESCA PLUS 75MG TAB</t>
  </si>
  <si>
    <t>TRIGLYNSE V1MG TAB</t>
  </si>
  <si>
    <t>TRIGLYNSE V2MG TAB</t>
  </si>
  <si>
    <t>ANGISPAN TR 2.5MG CAP *</t>
  </si>
  <si>
    <t>USV (CONQUER)</t>
  </si>
  <si>
    <t>ANGISPAN TR 6.5MG CAP *</t>
  </si>
  <si>
    <t>ECOSPRIN GOLD 10MG CAP</t>
  </si>
  <si>
    <t>ECOSPRIN GOLD 10MG FORTE CAP</t>
  </si>
  <si>
    <t>ECOSPRIN GOLD 20MG CAP</t>
  </si>
  <si>
    <t>LIPICARD 160MG TAB</t>
  </si>
  <si>
    <t>LIPICARD AV TAB</t>
  </si>
  <si>
    <t>LIPICARD CAP</t>
  </si>
  <si>
    <t>METZOK 100MG TAB</t>
  </si>
  <si>
    <t>METZOK 12.5MG TAB</t>
  </si>
  <si>
    <t>METZOK 25MG TAB</t>
  </si>
  <si>
    <t>METZOK 50MG TAB</t>
  </si>
  <si>
    <t>PIOZ 15MG TAB</t>
  </si>
  <si>
    <t>PIOZ 30MG TAB</t>
  </si>
  <si>
    <t>PIOZ 7.5MG TAB</t>
  </si>
  <si>
    <t>PIOZ MF 15MG TAB</t>
  </si>
  <si>
    <t>PIOZ MF 30MG TAB</t>
  </si>
  <si>
    <t>PIOZ MF 7.5MG TAB</t>
  </si>
  <si>
    <t>PIOZ MF G 1MG TAB</t>
  </si>
  <si>
    <t>PIOZ MF G 2 FORTE TAB</t>
  </si>
  <si>
    <t>PIOZ MF G 2MG TAB</t>
  </si>
  <si>
    <t>ROSEDAY 10MG TAB</t>
  </si>
  <si>
    <t>ROSEDAY 20MG TAB</t>
  </si>
  <si>
    <t>ROSEDAY 40MG TAB</t>
  </si>
  <si>
    <t>ROSEDAY 5MG TAB</t>
  </si>
  <si>
    <t>ROSEDAY A 10 FORTE TAB</t>
  </si>
  <si>
    <t>ROSEDAY A 10MG CAP</t>
  </si>
  <si>
    <t>ROSEDAY A 20 FORTE CAP</t>
  </si>
  <si>
    <t>ROSEDAY A 20MG CAP</t>
  </si>
  <si>
    <t>ROSEDAY CV 10MG CAP</t>
  </si>
  <si>
    <t>ROSEDAY EZ TAB</t>
  </si>
  <si>
    <t>ROSEDAY F 10MG TAB</t>
  </si>
  <si>
    <t>ROSEDAY F 20MG TAB</t>
  </si>
  <si>
    <t>ROSEDAY F 5MG TAB</t>
  </si>
  <si>
    <t>ECOSPRIN 150MG TAB</t>
  </si>
  <si>
    <t>USV (CORONA)</t>
  </si>
  <si>
    <t>ECOSPRIN 325MG TAB</t>
  </si>
  <si>
    <t>ECOSPRIN 75MG TAB</t>
  </si>
  <si>
    <t>GLYCOMET TRIO 1MG TAB</t>
  </si>
  <si>
    <t>GLYCOMET TRIO 2MG TAB</t>
  </si>
  <si>
    <t>GLYCOMET TRIO FORTE 1MG TAB</t>
  </si>
  <si>
    <t>GLYCOMET TRIO FORTE 2MG TAB</t>
  </si>
  <si>
    <t>OLMETRACK 20MG TAB</t>
  </si>
  <si>
    <t>OLMETRACK 40MG TAB</t>
  </si>
  <si>
    <t>OLMETRACK AM TAB</t>
  </si>
  <si>
    <t>OLMETRACK CT 12.5MG TAB</t>
  </si>
  <si>
    <t>OLMETRACK CT 40/12.5MG TAB</t>
  </si>
  <si>
    <t>OLMETRACK CT 6.25MG TAB</t>
  </si>
  <si>
    <t>OLMETRACK H 40MG TAB</t>
  </si>
  <si>
    <t>OLMETRACK H TAB</t>
  </si>
  <si>
    <t>TRIGLYCOMET 7.5MG TAB</t>
  </si>
  <si>
    <t>TRIGLYCOMET FORTE TAB</t>
  </si>
  <si>
    <t>TRIGLYCOMET TAB</t>
  </si>
  <si>
    <t>VOBOSE 0.2MG TAB</t>
  </si>
  <si>
    <t>VOBOSE 0.3MG TAB</t>
  </si>
  <si>
    <t>VOBOSE M 0.2MG TAB</t>
  </si>
  <si>
    <t>VOBOSE M 0.3MG TAB</t>
  </si>
  <si>
    <t>CLOPIGREL TAB</t>
  </si>
  <si>
    <t>USV (CORVETT)</t>
  </si>
  <si>
    <t>DUOTROL SR TAB</t>
  </si>
  <si>
    <t>DUOTROL TAB</t>
  </si>
  <si>
    <t>GLYCOMET GP 0.5MG FORTE TAB</t>
  </si>
  <si>
    <t>GLYCOMET GP 0.5MG TAB</t>
  </si>
  <si>
    <t>GLYCOMET GP 1/850MG TAB</t>
  </si>
  <si>
    <t>GLYCOMET GP 1 FORTE TAB</t>
  </si>
  <si>
    <t>GLYCOMET GP 1MG TAB</t>
  </si>
  <si>
    <t>GLYCOMET GP 2/850MG TAB</t>
  </si>
  <si>
    <t>GLYCOMET GP 2 FORTE TAB</t>
  </si>
  <si>
    <t>GLYCOMET GP 2MG TAB</t>
  </si>
  <si>
    <t>GLYCOMET GP 3/850MG TAB</t>
  </si>
  <si>
    <t>GLYCOMET GP 3 FORTE TAB</t>
  </si>
  <si>
    <t>GLYCOMET GP 4 FORTE TAB</t>
  </si>
  <si>
    <t>GLYCOMET TRIO 1/0.3MG TAB</t>
  </si>
  <si>
    <t>GLYCOMET TRIO 2/0.3MG TAB</t>
  </si>
  <si>
    <t>GP 0.5MG TAB</t>
  </si>
  <si>
    <t>GP 1MG TAB</t>
  </si>
  <si>
    <t>GP 2MG TAB</t>
  </si>
  <si>
    <t>GP 3MG TAB</t>
  </si>
  <si>
    <t>GP 4MG TAB</t>
  </si>
  <si>
    <t>MASHYNE OD CAP</t>
  </si>
  <si>
    <t>POLYTORVA 2.5MG KIT 1KIT</t>
  </si>
  <si>
    <t>POLYTORVA 5MG KIT 1KIT</t>
  </si>
  <si>
    <t>ZABESTA 2.5MG TAB</t>
  </si>
  <si>
    <t>ZABESTA 5MG TAB</t>
  </si>
  <si>
    <t>ZABESTA AM TAB</t>
  </si>
  <si>
    <t>ZABESTA XLO TAB</t>
  </si>
  <si>
    <t>ZABESTA X TAB</t>
  </si>
  <si>
    <t>DREGO D CAP</t>
  </si>
  <si>
    <t>USV (CRESCENDO)</t>
  </si>
  <si>
    <t>DREGO TAB</t>
  </si>
  <si>
    <t>ERYTOP A GEL 15GM</t>
  </si>
  <si>
    <t>ERYTOP GEL 20GM</t>
  </si>
  <si>
    <t>ERYTOP LOTION 25ML</t>
  </si>
  <si>
    <t>FENTOZAC SULES 1 CAP</t>
  </si>
  <si>
    <t>FOLCURE 5D TAB</t>
  </si>
  <si>
    <t>FOLCURE 5MG TAB</t>
  </si>
  <si>
    <t>FOLCURE TAB</t>
  </si>
  <si>
    <t>GLYCOMET 850MG TAB</t>
  </si>
  <si>
    <t>MASHYNE 1000MG TAB</t>
  </si>
  <si>
    <t>MASHYNE 60K CAP</t>
  </si>
  <si>
    <t>MASHYNE DROP 10ML</t>
  </si>
  <si>
    <t>MASHYNE SACHET 1GM</t>
  </si>
  <si>
    <t>MYCHIRO TAB</t>
  </si>
  <si>
    <t>NIZER GEL 30GM</t>
  </si>
  <si>
    <t>PROSPAN COUGH SYRUP 100ML</t>
  </si>
  <si>
    <t>TRIPLE A CAL D CAP</t>
  </si>
  <si>
    <t>TRIPLE A CAL FORTE CAP</t>
  </si>
  <si>
    <t>TRIPLE A CAL TAB</t>
  </si>
  <si>
    <t>UTIZAP SACHETS</t>
  </si>
  <si>
    <t>VIBACT CAP</t>
  </si>
  <si>
    <t>VIBACT DRY SYP 50ML</t>
  </si>
  <si>
    <t>VIBACT DS CAP</t>
  </si>
  <si>
    <t>VIBACT SACHETS 0.5GM</t>
  </si>
  <si>
    <t>VIBACT ZN SACHETS 15GM</t>
  </si>
  <si>
    <t>VISYNERAL DROP $ 15ML</t>
  </si>
  <si>
    <t>VISYNERAL SYP $ 100ML</t>
  </si>
  <si>
    <t>VISYNERAL Z DROP 15ML</t>
  </si>
  <si>
    <t>VISYNERAL Z SYRUP $ 100ML</t>
  </si>
  <si>
    <t>AZILDAY 40MG TAB</t>
  </si>
  <si>
    <t>USV (CREST)</t>
  </si>
  <si>
    <t>AZILDAY 80MG TAB</t>
  </si>
  <si>
    <t>D RISE 2000 CAP</t>
  </si>
  <si>
    <t>D RISE 60K CAP</t>
  </si>
  <si>
    <t>D RISE K2 TAB</t>
  </si>
  <si>
    <t>D RISE SACHET 1GM</t>
  </si>
  <si>
    <t>D RISE SURE SACH.</t>
  </si>
  <si>
    <t>ECOSPRIN AV 150/20MG TAB</t>
  </si>
  <si>
    <t>ECOSPRIN AV 150MG CAP</t>
  </si>
  <si>
    <t>ECOSPRIN AV 75/20MG CAP</t>
  </si>
  <si>
    <t>ECOSPRIN AV 75MG CAP</t>
  </si>
  <si>
    <t>EXELYTE ORAL SALINE LAX. 2*45ML</t>
  </si>
  <si>
    <t>GLYNASE MF TAB</t>
  </si>
  <si>
    <t>GLYNASE TAB</t>
  </si>
  <si>
    <t>GLYNASE XL 10MG TAB</t>
  </si>
  <si>
    <t>GLYNASE XL 5MG TAB</t>
  </si>
  <si>
    <t>MEBASPA TAB</t>
  </si>
  <si>
    <t>SEMI GLYNASE TAB</t>
  </si>
  <si>
    <t>SULISENT 100MG TAB</t>
  </si>
  <si>
    <t>THE TRIGLYNASE 1MG FORTE TAB</t>
  </si>
  <si>
    <t>THE TRIGLYNASE 1MG TAB</t>
  </si>
  <si>
    <t>THE TRIGLYNASE 2MG FORTE TAB</t>
  </si>
  <si>
    <t>THE TRIGLYNASE 2MG TAB</t>
  </si>
  <si>
    <t>TICASPAN 60MG TAB</t>
  </si>
  <si>
    <t>TICASPAN TAB</t>
  </si>
  <si>
    <t>TRIPLE A CAL OS CAP</t>
  </si>
  <si>
    <t>TAZLOC 20MG TAB</t>
  </si>
  <si>
    <t>USV (TAZLOC TEAM)</t>
  </si>
  <si>
    <t>TAZLOC 40MG TAB</t>
  </si>
  <si>
    <t>TAZLOC 80MG TAB</t>
  </si>
  <si>
    <t>TAZLOC AM 80MG TAB</t>
  </si>
  <si>
    <t>TAZLOC AM TAB</t>
  </si>
  <si>
    <t>TAZLOC BETA 25MG TAB</t>
  </si>
  <si>
    <t>TAZLOC BETA 50MG TAB</t>
  </si>
  <si>
    <t>TAZLOC CT 40MG TAB</t>
  </si>
  <si>
    <t>TAZLOC CT 6.25MG TAB</t>
  </si>
  <si>
    <t>TAZLOC CT 80MG TAB</t>
  </si>
  <si>
    <t>TAZLOC H 80MG TAB</t>
  </si>
  <si>
    <t>TAZLOC H TAB</t>
  </si>
  <si>
    <t>TAZLOC R TAB</t>
  </si>
  <si>
    <t>TAZLOC TRIO 40MG TAB</t>
  </si>
  <si>
    <t>TAZLOC TRIO 80MG TAB</t>
  </si>
  <si>
    <t>MEXMET 25MG TAB</t>
  </si>
  <si>
    <t>UTH Healthcare</t>
  </si>
  <si>
    <t>MEXMET 50MG TAB</t>
  </si>
  <si>
    <t>NANO D3 SOLUTION 5ML</t>
  </si>
  <si>
    <t>NUTRIRIGHT MOM COOKIES</t>
  </si>
  <si>
    <t>NUTRIRIGHT MOM POWDER 200GM</t>
  </si>
  <si>
    <t>OBIC SACHET</t>
  </si>
  <si>
    <t>OBICURE CAP</t>
  </si>
  <si>
    <t>OBICURE CHOCOLATE POWDER 200GM</t>
  </si>
  <si>
    <t>OBICURE COOKIES 200GM</t>
  </si>
  <si>
    <t>OBICURE GEL 150GM</t>
  </si>
  <si>
    <t>OBICURE PLUS CAP</t>
  </si>
  <si>
    <t>OBICURE PM CAP</t>
  </si>
  <si>
    <t>OBICURE PM TAB</t>
  </si>
  <si>
    <t>OBICURE POWDER 1*30GM</t>
  </si>
  <si>
    <t>OBICURE POWDER 200GM</t>
  </si>
  <si>
    <t>OBICURE SLIM TEA SACHETS 30*1GM</t>
  </si>
  <si>
    <t>PROTOTAL COOKIES 200GM</t>
  </si>
  <si>
    <t>PROTOTAL POWDER 200GM</t>
  </si>
  <si>
    <t>PROTOTAL WHEY POWDER 200GM</t>
  </si>
  <si>
    <t>ROSELINA 100MG INJ. 5ML</t>
  </si>
  <si>
    <t>ROSELINA SUSPENSION 150ML</t>
  </si>
  <si>
    <t>ROSELINA TAB</t>
  </si>
  <si>
    <t>TOTAL CAL D3 TAB</t>
  </si>
  <si>
    <t>TOTALCAL PLUS TAB</t>
  </si>
  <si>
    <t>UTH G 75 POWDER 75GM</t>
  </si>
  <si>
    <t>VITASONIC CAP</t>
  </si>
  <si>
    <t>VITASONIC MV TAB</t>
  </si>
  <si>
    <t>VITASONIC Q 100 CAP</t>
  </si>
  <si>
    <t>VITASONIC Q 300 CAP</t>
  </si>
  <si>
    <t>LINKAST-L KID TAB</t>
  </si>
  <si>
    <t>VANMART PHARMACEUTICALS &amp; BIOTECH</t>
  </si>
  <si>
    <t>LINKAST-L TAB</t>
  </si>
  <si>
    <t>ORDINAL TAB</t>
  </si>
  <si>
    <t>QCV-625MG TAB</t>
  </si>
  <si>
    <t>QCV DS SYRUP 30ML</t>
  </si>
  <si>
    <t>SEPCOLD SUSPENSION 60ML</t>
  </si>
  <si>
    <t>SEPCOLD TAB</t>
  </si>
  <si>
    <t>AZITUS 100MG SUSP 15ML</t>
  </si>
  <si>
    <t>ZUVENTUS (GROMAXX)</t>
  </si>
  <si>
    <t>AZITUS 200MG SUSP 15ML</t>
  </si>
  <si>
    <t>AZITUS 500MG TAB</t>
  </si>
  <si>
    <t>AZITUS XL 200MG SUSPENSION 30ML</t>
  </si>
  <si>
    <t>BACTOMIN 375MG TAB</t>
  </si>
  <si>
    <t>BACTOMIN 750MG TAB</t>
  </si>
  <si>
    <t>BROPHYLE CAP</t>
  </si>
  <si>
    <t>BROPHYLE SR TAB</t>
  </si>
  <si>
    <t>CORTIMAX 12MG TAB</t>
  </si>
  <si>
    <t>CORTIMAX 24MG TAB</t>
  </si>
  <si>
    <t>CORTIMAX 6MG TAB</t>
  </si>
  <si>
    <t>EMIGO MD 4MG TAB</t>
  </si>
  <si>
    <t>EMIGO SUSPENSION 30ML</t>
  </si>
  <si>
    <t>FLORESP AZ NAZAL SPRAY 70MD</t>
  </si>
  <si>
    <t>FLORESP NASAL SPRAY 120MD</t>
  </si>
  <si>
    <t>GUTCLEAR-IG POWDER 180GM</t>
  </si>
  <si>
    <t>GUTCLEAR IG POWDER 90GM</t>
  </si>
  <si>
    <t>GUTCLEAR SYRUP 100ML</t>
  </si>
  <si>
    <t>GUTCLEAR SYRUP 200ML</t>
  </si>
  <si>
    <t>LAFAXID 10MG TAB</t>
  </si>
  <si>
    <t>LAFAXID D TAB</t>
  </si>
  <si>
    <t>LORNIT 150MG TAB</t>
  </si>
  <si>
    <t>LORNIT INFUSION 10ML</t>
  </si>
  <si>
    <t>LORNIT SACHET 5GM</t>
  </si>
  <si>
    <t>LORNIT SYRUP 60ML</t>
  </si>
  <si>
    <t>MAXILIV TAB</t>
  </si>
  <si>
    <t>MONTEFEX TAB</t>
  </si>
  <si>
    <t>NUKAST 10MG TAB</t>
  </si>
  <si>
    <t>NUKAST 4MG SYRUP 60ML</t>
  </si>
  <si>
    <t>NUKAST 4MG TAB</t>
  </si>
  <si>
    <t>PROGERMINA SUSPENSION 5ML</t>
  </si>
  <si>
    <t>RETUNE LS TAB</t>
  </si>
  <si>
    <t>RIFAXIMAX 400MG TAB</t>
  </si>
  <si>
    <t>SERETRA 80MG TAB</t>
  </si>
  <si>
    <t>TULOPLAST 0.5MG PATCH</t>
  </si>
  <si>
    <t>TULOPLAST 1MG PATCH</t>
  </si>
  <si>
    <t>TULOPLAST 2MG PATCH</t>
  </si>
  <si>
    <t>URSOMAX 300MG TAB</t>
  </si>
  <si>
    <t>ZOSA DSR CAP</t>
  </si>
  <si>
    <t>ZOSA L CAP</t>
  </si>
  <si>
    <t>ZOSA TAB</t>
  </si>
  <si>
    <t>ARTIFLO 1MG TAB</t>
  </si>
  <si>
    <t>ZUVENTUS (LIFESTYLE)</t>
  </si>
  <si>
    <t>ARTIFLO 2MG TAB</t>
  </si>
  <si>
    <t>ARTIFLO 3MG TAB</t>
  </si>
  <si>
    <t>ARTIFLO 4MG TAB</t>
  </si>
  <si>
    <t>BEVON CD CAP</t>
  </si>
  <si>
    <t>EFNOCAR 20MG TAB</t>
  </si>
  <si>
    <t>EFNOCAR 40MG TAB</t>
  </si>
  <si>
    <t>KIMET XL 12.5MG TAB</t>
  </si>
  <si>
    <t>KIMET XL 25MG TAB</t>
  </si>
  <si>
    <t>OLBET 20MG TAB</t>
  </si>
  <si>
    <t>OLBET 40MG TAB</t>
  </si>
  <si>
    <t>OLBET CT 20MG TAB</t>
  </si>
  <si>
    <t>OLBET CT 40MG TAB</t>
  </si>
  <si>
    <t>PEGCLEAR SYP 200ML</t>
  </si>
  <si>
    <t>R4EVOGLIP M 1000 TAB</t>
  </si>
  <si>
    <t>REVOGLIP 20MG TAB</t>
  </si>
  <si>
    <t>REVOGLIP M 1000MG TAB</t>
  </si>
  <si>
    <t>REVOGLIP M 500MG TAB</t>
  </si>
  <si>
    <t>REVOSTAT 10MG TAB</t>
  </si>
  <si>
    <t>REVOSTAT 20MG TAB</t>
  </si>
  <si>
    <t>REVOSTAT 40MG TAB</t>
  </si>
  <si>
    <t>REVOSTAT 5MG TAB</t>
  </si>
  <si>
    <t>REVOSTAT FB TAB</t>
  </si>
  <si>
    <t>REVOSTAT GOLD 10MG CAP</t>
  </si>
  <si>
    <t>REVOSTAT GOLD 20MG CAP</t>
  </si>
  <si>
    <t>THALORIC 12.5MG TAB</t>
  </si>
  <si>
    <t>THALORIC 6.25MG TAB</t>
  </si>
  <si>
    <t>ZUVOG 0.2MG TAB</t>
  </si>
  <si>
    <t>ZUVOG M 0.2MG TAB</t>
  </si>
  <si>
    <t>ZUVOG M 0.3MG TAB</t>
  </si>
  <si>
    <t>ZUVOG TRIO 1MG TAB</t>
  </si>
  <si>
    <t>ZUVOG TRIO 2MG TAB</t>
  </si>
  <si>
    <t>ANCOOL SUSPENSION 170ML</t>
  </si>
  <si>
    <t>ZUVENTUS (ODENEA)</t>
  </si>
  <si>
    <t>C TAX O 100MG DT TAB</t>
  </si>
  <si>
    <t>C TAX O 50 DT TAB</t>
  </si>
  <si>
    <t>C TRI 125MG INJ. 125MG</t>
  </si>
  <si>
    <t>C TRI 1GM INJ. 1GM</t>
  </si>
  <si>
    <t>C TRI 250MG INJ. 250MG</t>
  </si>
  <si>
    <t>C TRI 500MG INJ. 500MG</t>
  </si>
  <si>
    <t>DICLOPLAST PATCHES</t>
  </si>
  <si>
    <t>EUCALMIN CAP</t>
  </si>
  <si>
    <t>FULL 365MG CAP</t>
  </si>
  <si>
    <t>FULL 365MG DROP 15ML</t>
  </si>
  <si>
    <t>FULL 365MG WOMAN CAP</t>
  </si>
  <si>
    <t>KETOPLAST 30MG 1*7</t>
  </si>
  <si>
    <t>KETOPLAST PLASTER 7PPP</t>
  </si>
  <si>
    <t>LA MIKA 500MG INJ. 2ML</t>
  </si>
  <si>
    <t>LOTOR 500MG TAB</t>
  </si>
  <si>
    <t>MECOVON OD CAP</t>
  </si>
  <si>
    <t>MEFAST 100MG SUSPENSION 60ML</t>
  </si>
  <si>
    <t>MEFAST P SUSPENSION 60ML</t>
  </si>
  <si>
    <t>METHYPREG TAB</t>
  </si>
  <si>
    <t>MYOTOP 150MG TAB</t>
  </si>
  <si>
    <t>MYOTOP 450MG SR TAB</t>
  </si>
  <si>
    <t>MYOTOP DSR TAB</t>
  </si>
  <si>
    <t>MYOTOP P TAB</t>
  </si>
  <si>
    <t>NEW NORMET SUSPENSION 60ML</t>
  </si>
  <si>
    <t>NORMET SUSPENSION 30ML</t>
  </si>
  <si>
    <t>NORMET TAB</t>
  </si>
  <si>
    <t>OZOLID SR 1200MG TAB</t>
  </si>
  <si>
    <t>PANSA DSR CAP</t>
  </si>
  <si>
    <t>PANSA D TAB</t>
  </si>
  <si>
    <t>PANSA TAB</t>
  </si>
  <si>
    <t>REVOCAL TAB</t>
  </si>
  <si>
    <t>RIVAPLAST PATCH</t>
  </si>
  <si>
    <t>SETOLAC 300MG ER TAB</t>
  </si>
  <si>
    <t>SETOLAC P 5MG TAB</t>
  </si>
  <si>
    <t>SETOLAC P TAB</t>
  </si>
  <si>
    <t>TIBROLIN D TAB</t>
  </si>
  <si>
    <t>TIBROLIN TAB</t>
  </si>
  <si>
    <t>TUMSUP DROP 30ML</t>
  </si>
  <si>
    <t>ZEMCIFER XT TAB</t>
  </si>
  <si>
    <t>AMLENOX ORAL PASTE 5GM.</t>
  </si>
  <si>
    <t>ZUVENTUS (HEALTHCARE)</t>
  </si>
  <si>
    <t>AUGPEN 625MG BID TAB</t>
  </si>
  <si>
    <t>AUGPEN DROPS 10ML</t>
  </si>
  <si>
    <t>AUGPEN DS SUSP. 30ML</t>
  </si>
  <si>
    <t>AUGPEN HS SUSPENSION 30ML</t>
  </si>
  <si>
    <t>BEVON DROP 15ML</t>
  </si>
  <si>
    <t>BEVON SOFTULES CAP</t>
  </si>
  <si>
    <t>BEVON SYRUP 200ML</t>
  </si>
  <si>
    <t>CORALIUM D3 SUSP. 100ML</t>
  </si>
  <si>
    <t>CORALIUM D3 TAB</t>
  </si>
  <si>
    <t>ESLO 1.25MG TAB</t>
  </si>
  <si>
    <t>ESLO 2.5MG TAB</t>
  </si>
  <si>
    <t>ESLO 5MG TAB</t>
  </si>
  <si>
    <t>ESLO AT 5MG TAB</t>
  </si>
  <si>
    <t>ESLO AT TAB</t>
  </si>
  <si>
    <t>ESLO D TAB</t>
  </si>
  <si>
    <t>ESLOMET 2.5MG TAB</t>
  </si>
  <si>
    <t>ESLOMET 5MG TAB</t>
  </si>
  <si>
    <t>ESLO TAN TAB</t>
  </si>
  <si>
    <t>ESLO TEL 2.5MG TAB</t>
  </si>
  <si>
    <t>ESLO TEL 5MG TAB</t>
  </si>
  <si>
    <t>FERONIA D3 TAB</t>
  </si>
  <si>
    <t>FERONIA HP TAB</t>
  </si>
  <si>
    <t>FERONIA XT DROP 15ML</t>
  </si>
  <si>
    <t>FERONIA XT SUSP 150ML</t>
  </si>
  <si>
    <t>FERONIA XT TAB</t>
  </si>
  <si>
    <t>FITJOINT CAPSULE</t>
  </si>
  <si>
    <t>FLORISTORE 2.5MG CAP</t>
  </si>
  <si>
    <t>FULL 365 SUSPENSION 200ML</t>
  </si>
  <si>
    <t>HILO CAP</t>
  </si>
  <si>
    <t>MAXTRA COLD TAB</t>
  </si>
  <si>
    <t>MAXTRA DROP 15ML</t>
  </si>
  <si>
    <t>MAXTRA GARGLE 120ML</t>
  </si>
  <si>
    <t>MAXTRA P DS SYRUP 60ML</t>
  </si>
  <si>
    <t>MAXTRA P ORAL DROP 15ML</t>
  </si>
  <si>
    <t>MAXTRA P SYP 60ML</t>
  </si>
  <si>
    <t>MAXTRA P TAB</t>
  </si>
  <si>
    <t>MAXTRA SYRUP 60ML</t>
  </si>
  <si>
    <t>MAXTRA TAB</t>
  </si>
  <si>
    <t>MEGANANO GEL 15GM</t>
  </si>
  <si>
    <t>MEROTEC 1GM INJ. 1GM</t>
  </si>
  <si>
    <t>NETROMAX 10MG INJ. 10MG</t>
  </si>
  <si>
    <t>NETROMAX 25MG INJ. 25MG</t>
  </si>
  <si>
    <t>RABIFAST 20MG TAB</t>
  </si>
  <si>
    <t>RABIFAST 40MG TAB</t>
  </si>
  <si>
    <t>RABIFAST DSR CAP</t>
  </si>
  <si>
    <t>RABIFAST XL CAP</t>
  </si>
  <si>
    <t>SCAVISTA 12MG TAB</t>
  </si>
  <si>
    <t>SOVENTUS DC SYP 100ML</t>
  </si>
  <si>
    <t>SOVENTUS DX SYRUP 100ML</t>
  </si>
  <si>
    <t>SOVENTUS JR. SYRUP 60ML</t>
  </si>
  <si>
    <t>SOVENTUS LS SYRUP 100ML</t>
  </si>
  <si>
    <t>SOVENTUS SYRUP 100ML</t>
  </si>
  <si>
    <t>TROXIP OD TAB</t>
  </si>
  <si>
    <t>TROXIP TAB</t>
  </si>
  <si>
    <t>VITANOVA D3 6 L INJETION 1ML</t>
  </si>
  <si>
    <t>VITANOVA D3 DROPS 15ML</t>
  </si>
  <si>
    <t>VITANOVA D3 SACHET</t>
  </si>
  <si>
    <t>VITANOVA D3 SG CAP</t>
  </si>
  <si>
    <t>VITANOVA SG CAP</t>
  </si>
  <si>
    <t>ZINCONIA 50 TAB</t>
  </si>
  <si>
    <t>ZINCONIA SYRUP 100ML</t>
  </si>
  <si>
    <t>ZOSTUM 1.5GM INJ.</t>
  </si>
  <si>
    <t>ZOSTUM 1GM INJ.</t>
  </si>
  <si>
    <t>ZOSTUM 3GM INJ.</t>
  </si>
  <si>
    <t>ZOSTUM O 100 DRY SYP 100ML</t>
  </si>
  <si>
    <t>ZOSTUM O 50MG DT TAB</t>
  </si>
  <si>
    <t>ZOSTUM O TAB</t>
  </si>
  <si>
    <t>ZU-C 500MG TAB</t>
  </si>
  <si>
    <t>CDENSE TOTAL TAB</t>
  </si>
  <si>
    <t>CIPLA (WOMENS HEALTH NUTRAC)</t>
  </si>
  <si>
    <t>CPINK DROPS 15ML</t>
  </si>
  <si>
    <t>CPINK M TAB</t>
  </si>
  <si>
    <t>CPINK S 100 INJECTION</t>
  </si>
  <si>
    <t>CPINK SUSPENSION 150ML</t>
  </si>
  <si>
    <t>FOLININE D CAP</t>
  </si>
  <si>
    <t>FOLININE PLUS TAB</t>
  </si>
  <si>
    <t>FOLININE TAB</t>
  </si>
  <si>
    <t>L-FOLININE TAB</t>
  </si>
  <si>
    <t>NEW CDENSE TAB</t>
  </si>
  <si>
    <t>NEW CPINK TAB</t>
  </si>
  <si>
    <t>NEW CPINK TOTAL TAB</t>
  </si>
  <si>
    <t>PRODUCTIV F TAB</t>
  </si>
  <si>
    <t>PRODUCTIV GOLD TAB</t>
  </si>
  <si>
    <t>CALOXI LOTION 60ML</t>
  </si>
  <si>
    <t>GLAMDERMA INDIA PHARMACEUTICAL PRIVATE LIMITED</t>
  </si>
  <si>
    <t>ECO SOAP 75GM</t>
  </si>
  <si>
    <t>KETAX-B CREAM 10GM.</t>
  </si>
  <si>
    <t>KETAX-B LOTION 15ML</t>
  </si>
  <si>
    <t>KETAX LOTION 15ML.</t>
  </si>
  <si>
    <t>KETAX SOAP 75GM.</t>
  </si>
  <si>
    <t>P0-MAX SOAP 75GM</t>
  </si>
  <si>
    <t>P-MAX LOTION 100ML</t>
  </si>
  <si>
    <t>P-MAX SOAP 75GM.</t>
  </si>
  <si>
    <t>ANORELIEF CREAM 30GM</t>
  </si>
  <si>
    <t>MICRO (VIVAA)</t>
  </si>
  <si>
    <t>BIOFER XT SYRUP 200ML</t>
  </si>
  <si>
    <t>BIOFER XT TAB</t>
  </si>
  <si>
    <t>BIOVITAL CAP $</t>
  </si>
  <si>
    <t>BIOVITAL CAP</t>
  </si>
  <si>
    <t>BONMIN K2 CAP</t>
  </si>
  <si>
    <t>FERTIPLUS M TAB</t>
  </si>
  <si>
    <t>FERTIPLUS TAB</t>
  </si>
  <si>
    <t>MECONERV 1500MG TAB</t>
  </si>
  <si>
    <t>MECONERV FORTE CAP</t>
  </si>
  <si>
    <t>MECONERV FORTE INJ. 2ML</t>
  </si>
  <si>
    <t>MECONERV INJECTION 1ML</t>
  </si>
  <si>
    <t>MECONERV P SR TAB</t>
  </si>
  <si>
    <t>MECONERV TAB</t>
  </si>
  <si>
    <t>MECONERV Z SYRUP 200ML</t>
  </si>
  <si>
    <t>MICROCID CAP</t>
  </si>
  <si>
    <t>MICROCID SR 75MG CAP</t>
  </si>
  <si>
    <t>MICRO D3 DROPS 15ML</t>
  </si>
  <si>
    <t>MICRO D3 TAB</t>
  </si>
  <si>
    <t>MICROMOM POWDER 200GM</t>
  </si>
  <si>
    <t>MICROMOM POWDER 400GM</t>
  </si>
  <si>
    <t>MICROMOM POWDER (CHOC) 200GM</t>
  </si>
  <si>
    <t>OSMITOL SYP 200ML</t>
  </si>
  <si>
    <t>RABIROS 20MG TAB</t>
  </si>
  <si>
    <t>RABIROS D CAP</t>
  </si>
  <si>
    <t>TENDOPRO CAP</t>
  </si>
  <si>
    <t>TOLPA 10MG TAB</t>
  </si>
  <si>
    <t>TOLPA D TAB</t>
  </si>
  <si>
    <t>TOLPAZEN TAB</t>
  </si>
  <si>
    <t>AZTOGOLD 10MG CAP</t>
  </si>
  <si>
    <t>SUN PHARMA (ALTAN)</t>
  </si>
  <si>
    <t>AZTOGOLD 20MG CAP</t>
  </si>
  <si>
    <t>AZTOLET 10MG TAB</t>
  </si>
  <si>
    <t>AZTOLET 20MG TAB</t>
  </si>
  <si>
    <t>AZTOR 10MG TAB</t>
  </si>
  <si>
    <t>AZTOR 20MG TAB</t>
  </si>
  <si>
    <t>AZTOR 40MG TAB</t>
  </si>
  <si>
    <t>AZTOR 5MG TAB</t>
  </si>
  <si>
    <t>AZTOR 80MG TAB</t>
  </si>
  <si>
    <t>AZTOR ASP 150MG CAP</t>
  </si>
  <si>
    <t>AZTOR ASP 75MG CAP</t>
  </si>
  <si>
    <t>DAZTOR 10MG TAB</t>
  </si>
  <si>
    <t>DAZTOR 20MG TAB</t>
  </si>
  <si>
    <t>KORANDIL 10MG TAB</t>
  </si>
  <si>
    <t>KORANDIL 5MG TAB</t>
  </si>
  <si>
    <t>OLMEZEST 10MG TAB</t>
  </si>
  <si>
    <t>OLMEZEST 20MG TAB</t>
  </si>
  <si>
    <t>OLMEZEST 40MG TAB</t>
  </si>
  <si>
    <t>OLMEZEST AM 40MG TAB</t>
  </si>
  <si>
    <t>OLMEZEST AM TAB</t>
  </si>
  <si>
    <t>OLMEZEST BETA 25MG TAB</t>
  </si>
  <si>
    <t>OLMEZEST BETA 50MG TAB</t>
  </si>
  <si>
    <t>OLMEZEST CH 20MG TAB</t>
  </si>
  <si>
    <t>OLMEZEST CH 40MG TAB</t>
  </si>
  <si>
    <t>OLMEZEST H 20MG TAB</t>
  </si>
  <si>
    <t>OLMEZEST H 40MG TAB</t>
  </si>
  <si>
    <t>TRIOLMEZEST 40MG TAB</t>
  </si>
  <si>
    <t>TRIOLMEZEST CH 20MG TAB</t>
  </si>
  <si>
    <t>TRIOLMEZEST CH 40MG TAB</t>
  </si>
  <si>
    <t>TRIOLMEZEST TAB</t>
  </si>
  <si>
    <t>LACTIHEP PLUS SYP 250ML</t>
  </si>
  <si>
    <t>SUN PHARMA (SUNRION)</t>
  </si>
  <si>
    <t>LACTIHEP SYRUP 200ML 200ML</t>
  </si>
  <si>
    <t>LACTIHEP SYRUP 450ML 450ML</t>
  </si>
  <si>
    <t>NITREST 10MG TAB</t>
  </si>
  <si>
    <t>NITREST 5MG TAB</t>
  </si>
  <si>
    <t>NUSAM 200MG TAB</t>
  </si>
  <si>
    <t>NUSAM 400MG TAB</t>
  </si>
  <si>
    <t>PANTOCID HP KIT 1KIT</t>
  </si>
  <si>
    <t>PANTOCID IT CAP</t>
  </si>
  <si>
    <t>PROHANCE HP POWDER 400GM</t>
  </si>
  <si>
    <t>PRUEASE 1MG TAB</t>
  </si>
  <si>
    <t>PRUEASE 2MG TAB</t>
  </si>
  <si>
    <t>RIFAGUT 400MG TAB</t>
  </si>
  <si>
    <t>RIFAGUT 550MG TAB</t>
  </si>
  <si>
    <t>RIFAGUT TAB</t>
  </si>
  <si>
    <t>SONATA SACHET</t>
  </si>
  <si>
    <t>ACAMPROL TAB</t>
  </si>
  <si>
    <t>SUN PHARMA (SEPHEUS)</t>
  </si>
  <si>
    <t>ADESAM 200MG TAB $</t>
  </si>
  <si>
    <t>ADESAM 400MG TAB $</t>
  </si>
  <si>
    <t>BETACAP 20MG TAB</t>
  </si>
  <si>
    <t>BETACAP PLUS 10MG CAP</t>
  </si>
  <si>
    <t>BETACAP PLUS 5MG CAP</t>
  </si>
  <si>
    <t>BETACAP TR 20MG CAP</t>
  </si>
  <si>
    <t>BETACAP TR 40MG CAP</t>
  </si>
  <si>
    <t>BETACAP TR 60MG TAB</t>
  </si>
  <si>
    <t>BETACAP TR 80MG CAP</t>
  </si>
  <si>
    <t>GABANTIP AT 100MG TAB</t>
  </si>
  <si>
    <t>GABANTIP AT TAB</t>
  </si>
  <si>
    <t>IVEPRED 16MG TAB</t>
  </si>
  <si>
    <t>IVEPRED 4MG TAB</t>
  </si>
  <si>
    <t>IVEPRED 8MG TAB</t>
  </si>
  <si>
    <t>LAMOSYN 100MG TAB</t>
  </si>
  <si>
    <t>LAMOSYN 50MG TAB</t>
  </si>
  <si>
    <t>LIOFEN 10MG TAB</t>
  </si>
  <si>
    <t>LIOFEN 25MG TAB</t>
  </si>
  <si>
    <t>LIOFEN 5MG TAB</t>
  </si>
  <si>
    <t>LIOFEN LIQUID 100ML</t>
  </si>
  <si>
    <t>LIOFEN XL 10MG TAB</t>
  </si>
  <si>
    <t>LIOFEN XL 20MG CAP</t>
  </si>
  <si>
    <t>LIOFEN XL 30MG CAP</t>
  </si>
  <si>
    <t>LURAMAX 40MG TAB</t>
  </si>
  <si>
    <t>LURAMAX 80MG TAB</t>
  </si>
  <si>
    <t>OXETOL 150MG TAB</t>
  </si>
  <si>
    <t>OXETOL 300MG TAB</t>
  </si>
  <si>
    <t>OXETOL 450MG TAB</t>
  </si>
  <si>
    <t>OXETOL 600MG TAB</t>
  </si>
  <si>
    <t>OXETOL XR 150MG TAB</t>
  </si>
  <si>
    <t>OXETOL XR 300MG TAB</t>
  </si>
  <si>
    <t>OXETOL XR 450MG TAB</t>
  </si>
  <si>
    <t>OXETOL XR 600MG TAB</t>
  </si>
  <si>
    <t>PANAZEP 12.5MG TAB</t>
  </si>
  <si>
    <t>PANAZEP 25MG TAB</t>
  </si>
  <si>
    <t>PANAZEP LS TAB</t>
  </si>
  <si>
    <t>PARKITIDIN TAB</t>
  </si>
  <si>
    <t>PAXIDEP CR 12.5MG TAB</t>
  </si>
  <si>
    <t>PAXIDEP CR 25MG TAB</t>
  </si>
  <si>
    <t>PAXIDEP CR 37.5MG TAB</t>
  </si>
  <si>
    <t>PIRANULIN TAB</t>
  </si>
  <si>
    <t>RASALECT 0.5MG TAB</t>
  </si>
  <si>
    <t>RASALECT 1MG TAB</t>
  </si>
  <si>
    <t>SIZOPIN 100MG TAB</t>
  </si>
  <si>
    <t>SIZOPIN 200MG TAB</t>
  </si>
  <si>
    <t>SIZOPIN 25MG TAB</t>
  </si>
  <si>
    <t>SIZOPIN 50MG TAB</t>
  </si>
  <si>
    <t>SYNAPTOL 100MG TAB</t>
  </si>
  <si>
    <t>SYNAPTOL 150MG TAB</t>
  </si>
  <si>
    <t>SYNAPTOL 50MG TAB</t>
  </si>
  <si>
    <t>SYNAPTOL SR 150MG TAB</t>
  </si>
  <si>
    <t>SYNAPTOL SR 300MG TAB</t>
  </si>
  <si>
    <t>SYNAPTOL SR 450MG TAB</t>
  </si>
  <si>
    <t>TOPIROL 100MG TAB</t>
  </si>
  <si>
    <t>TOPIROL 25MG TAB</t>
  </si>
  <si>
    <t>TOPIROL 50MG TAB</t>
  </si>
  <si>
    <t>VENIZ XR 37.5MG CAP</t>
  </si>
  <si>
    <t>VENIZ XR 75MG CAP</t>
  </si>
  <si>
    <t>WAKLERT 150MG TAB</t>
  </si>
  <si>
    <t>WAKLERT 50MG TAB</t>
  </si>
  <si>
    <t>EPILYNO LOTION 50GM</t>
  </si>
  <si>
    <t>RANBAXY (PRIMALANDS)</t>
  </si>
  <si>
    <t>HALOX CREAM 20GM</t>
  </si>
  <si>
    <t>HALOX ES OINTMENT 20GM</t>
  </si>
  <si>
    <t>HALOX F CREAM 10GM</t>
  </si>
  <si>
    <t>HALOX LOTION 30ML</t>
  </si>
  <si>
    <t>HALOX S LOTION 30ML</t>
  </si>
  <si>
    <t>HALOX S OINTMENT 10GM</t>
  </si>
  <si>
    <t>LULIFIN CREAM 10GM</t>
  </si>
  <si>
    <t>LULIFIN CREAM 20GM</t>
  </si>
  <si>
    <t>LULIFIN CREAM 30GM</t>
  </si>
  <si>
    <t>LULIFIN CREAM 50GM</t>
  </si>
  <si>
    <t>LULIFIN LOTION 10ML</t>
  </si>
  <si>
    <t>LULIFIN LOTION 20ML</t>
  </si>
  <si>
    <t>CANZAP 100MG CAP</t>
  </si>
  <si>
    <t>USV (DERMA)</t>
  </si>
  <si>
    <t>CANZAP 200MG CAP</t>
  </si>
  <si>
    <t>ERICLEAR CREAM 30GM 30GM</t>
  </si>
  <si>
    <t>ERICLEAR CREAM 50GM 50GM</t>
  </si>
  <si>
    <t>ERYTOP-N GEL 15GM</t>
  </si>
  <si>
    <t>GOLITE CREAM 15GM 15GM</t>
  </si>
  <si>
    <t>GOLITE CREAM 30GM 30GM</t>
  </si>
  <si>
    <t>SNo.</t>
  </si>
  <si>
    <t>ITEM CODE</t>
  </si>
  <si>
    <t>ITEM DESCRIPTION</t>
  </si>
  <si>
    <t>RATE</t>
  </si>
  <si>
    <t>M.R.P.</t>
  </si>
  <si>
    <t>TAX %</t>
  </si>
  <si>
    <t>ABBOTT (NEURO PSY.)</t>
  </si>
  <si>
    <t>PROTHIADEN</t>
  </si>
  <si>
    <t>25 MG TAB 10TAB</t>
  </si>
  <si>
    <t>50 MG TAB 10TAB</t>
  </si>
  <si>
    <t>75 MG TAB 10TAB</t>
  </si>
  <si>
    <t>M 50 MG TAB 15TAB</t>
  </si>
  <si>
    <t>M TAB 10TAB</t>
  </si>
  <si>
    <t>ZOLFRESH 10</t>
  </si>
  <si>
    <t>MG TAB 10TAB</t>
  </si>
  <si>
    <t>ZOLFRESH 5</t>
  </si>
  <si>
    <t>ABBOTT (SPECIALITY DIV.)</t>
  </si>
  <si>
    <t>DIGENE FIZZ</t>
  </si>
  <si>
    <t>LEMON SACH. 1SACH.</t>
  </si>
  <si>
    <t>DIGENE GEL</t>
  </si>
  <si>
    <t>(M) 450ML</t>
  </si>
  <si>
    <t>(MF) 170ML</t>
  </si>
  <si>
    <t>15TAB</t>
  </si>
  <si>
    <t>OBIMET 500</t>
  </si>
  <si>
    <t>MG TAB 15TAB</t>
  </si>
  <si>
    <t>OBIMET GX 1</t>
  </si>
  <si>
    <t>OBIMET GX 2</t>
  </si>
  <si>
    <t>OBIMET SR</t>
  </si>
  <si>
    <t>1000 MG TAB 10TAB</t>
  </si>
  <si>
    <t>OBIMET SR 1</t>
  </si>
  <si>
    <t>GM TAB 15TAB</t>
  </si>
  <si>
    <t>500 MG TAB 15TAB</t>
  </si>
  <si>
    <t>ROCKBON D</t>
  </si>
  <si>
    <t>400 IU TAB 10TAB</t>
  </si>
  <si>
    <t>ROCKBON KIT</t>
  </si>
  <si>
    <t>TAB 31TAB</t>
  </si>
  <si>
    <t>10TAB</t>
  </si>
  <si>
    <t>SURBEX FE</t>
  </si>
  <si>
    <t>CHEWABLE TAB 15TAB</t>
  </si>
  <si>
    <t>SURBEX GOLD</t>
  </si>
  <si>
    <t>CAP 10CAP</t>
  </si>
  <si>
    <t>THYROCAB 10</t>
  </si>
  <si>
    <t>THYROCAL D3</t>
  </si>
  <si>
    <t>TAB 30TAB</t>
  </si>
  <si>
    <t>THYRONORM</t>
  </si>
  <si>
    <t>100 MCG TAB 100TAB</t>
  </si>
  <si>
    <t>112 MCG TAB 100TAB</t>
  </si>
  <si>
    <t>125 MCG TAB 100TAB</t>
  </si>
  <si>
    <t>12.5 MG TAB 50TAB</t>
  </si>
  <si>
    <t>150 MCG TAB 100TAB</t>
  </si>
  <si>
    <t>25 MCG TAB 100TAB</t>
  </si>
  <si>
    <t>50 MCG TAB 100TAB</t>
  </si>
  <si>
    <t>62.5 MG TAB 50TAB</t>
  </si>
  <si>
    <t>75 MCG TAB 100TAB</t>
  </si>
  <si>
    <t>THYROWEL</t>
  </si>
  <si>
    <t>ABBOTT HEALTHCARE</t>
  </si>
  <si>
    <t>ABBOTT HEALTHCARE (OTC DIV.)</t>
  </si>
  <si>
    <t>NIVAQUINE P</t>
  </si>
  <si>
    <t>250 MG TAB 10TAB</t>
  </si>
  <si>
    <t>Continued..2</t>
  </si>
  <si>
    <t>BAKLIWAL BROTHERS</t>
  </si>
  <si>
    <t>LIST OF ITEMS</t>
  </si>
  <si>
    <t>Page</t>
  </si>
  <si>
    <t>No..2</t>
  </si>
  <si>
    <t>SGS %</t>
  </si>
  <si>
    <t>OMNATAX O</t>
  </si>
  <si>
    <t>200 MG DT 10TAB</t>
  </si>
  <si>
    <t>QUIK KOOL</t>
  </si>
  <si>
    <t>SENSODYNE</t>
  </si>
  <si>
    <t>TOOTH PASTE R.&amp;.P. 100GM</t>
  </si>
  <si>
    <t>TOOTH PASTE R.&amp; P. 70GM</t>
  </si>
  <si>
    <t>ABBOTT HEALTHCARE A (CRIT.CAR)</t>
  </si>
  <si>
    <t>ABVIDA M</t>
  </si>
  <si>
    <t>50/500 MG TAB 15TAB</t>
  </si>
  <si>
    <t>ACITROM 0.5</t>
  </si>
  <si>
    <t>ACITROM 1</t>
  </si>
  <si>
    <t>MG TAB 30TAB</t>
  </si>
  <si>
    <t>ACITROM 2</t>
  </si>
  <si>
    <t>ACITROM 3</t>
  </si>
  <si>
    <t>ACITROM 4</t>
  </si>
  <si>
    <t>CAAT 10 MG</t>
  </si>
  <si>
    <t>TAB 15TAB</t>
  </si>
  <si>
    <t>CALAPTIN</t>
  </si>
  <si>
    <t>120 SR TAB 10TAB</t>
  </si>
  <si>
    <t>120 SR TAB 15TAB</t>
  </si>
  <si>
    <t>240 SR TAB 10TAB</t>
  </si>
  <si>
    <t>240 SR TAB 15TAB</t>
  </si>
  <si>
    <t>CALAPTIN 40</t>
  </si>
  <si>
    <t>CALAPTIN 80</t>
  </si>
  <si>
    <t>CLARIBID</t>
  </si>
  <si>
    <t>250 DS SYRUP 30ML</t>
  </si>
  <si>
    <t>DABLEXA 110</t>
  </si>
  <si>
    <t>MG CAP 10CAP</t>
  </si>
  <si>
    <t>DABLEXA-75</t>
  </si>
  <si>
    <t>TAB 1*10</t>
  </si>
  <si>
    <t>FINECEF 1</t>
  </si>
  <si>
    <t>GM INJ. 1VIAL</t>
  </si>
  <si>
    <t>GLEDEPA 10</t>
  </si>
  <si>
    <t>MG TAB 14TAB</t>
  </si>
  <si>
    <t>GLEDEPA 5</t>
  </si>
  <si>
    <t>NICODUCE 5</t>
  </si>
  <si>
    <t>MG TAB 20TAB</t>
  </si>
  <si>
    <t>NICODUCE OD</t>
  </si>
  <si>
    <t>10 MG TAB 1PACK</t>
  </si>
  <si>
    <t>R-2 TRIO 10</t>
  </si>
  <si>
    <t>R-2 TRIO 20</t>
  </si>
  <si>
    <t>SORBITRATE</t>
  </si>
  <si>
    <t>HF TAB 10TAB</t>
  </si>
  <si>
    <t>INSTA 30TAB</t>
  </si>
  <si>
    <t>STROMIX A</t>
  </si>
  <si>
    <t>150 MG CAP 10CAP</t>
  </si>
  <si>
    <t>75 MG CAP 10CAP</t>
  </si>
  <si>
    <t>TORESA 10</t>
  </si>
  <si>
    <t>TORESA 5 MG</t>
  </si>
  <si>
    <t>TAB 10TAB</t>
  </si>
  <si>
    <t>XARB 150 MG</t>
  </si>
  <si>
    <t>ABBOTT HEALTHCARE A (PRIMARY CARE)</t>
  </si>
  <si>
    <t>ACTIV 360</t>
  </si>
  <si>
    <t>AMICOLON 15</t>
  </si>
  <si>
    <t>EMULSION 5ML</t>
  </si>
  <si>
    <t>AMICOLON</t>
  </si>
  <si>
    <t>BACTRIM DS</t>
  </si>
  <si>
    <t>BACTRIM</t>
  </si>
  <si>
    <t>SYRUP 50ML</t>
  </si>
  <si>
    <t>BASITON</t>
  </si>
  <si>
    <t>FORTE TAB 15TAB</t>
  </si>
  <si>
    <t>BETONIN AST</t>
  </si>
  <si>
    <t>SYP 200ML</t>
  </si>
  <si>
    <t>BILAZEST 20</t>
  </si>
  <si>
    <t>BILAZEST M</t>
  </si>
  <si>
    <t>BIOSUGANRIL</t>
  </si>
  <si>
    <t>10 MG TAB 10TAB</t>
  </si>
  <si>
    <t>20 MG TAB 10TAB</t>
  </si>
  <si>
    <t>5 MG TAB 10TAB</t>
  </si>
  <si>
    <t>BIOZOBID</t>
  </si>
  <si>
    <t>PLUS TAB 10TAB</t>
  </si>
  <si>
    <t>B STILL 16</t>
  </si>
  <si>
    <t>B STILL 24</t>
  </si>
  <si>
    <t>Continued..3</t>
  </si>
  <si>
    <t>No..3</t>
  </si>
  <si>
    <t>B STILL 8</t>
  </si>
  <si>
    <t>CANDYCOP</t>
  </si>
  <si>
    <t>TOOTH PASTE 70GM</t>
  </si>
  <si>
    <t>500 MG TAB 10TAB</t>
  </si>
  <si>
    <t>GRANULES 21.15GM</t>
  </si>
  <si>
    <t>CONTRAMAL</t>
  </si>
  <si>
    <t>100 MG INJ. 1*2ML</t>
  </si>
  <si>
    <t>50 MG CAP 10CAP</t>
  </si>
  <si>
    <t>50 MG INJ. 1*1ML</t>
  </si>
  <si>
    <t>DT TAB 10TAB</t>
  </si>
  <si>
    <t>SR 100 MG TAB 10TAB</t>
  </si>
  <si>
    <t>CURENEXT</t>
  </si>
  <si>
    <t>CREAM 50GM</t>
  </si>
  <si>
    <t>DURAJOINT</t>
  </si>
  <si>
    <t>GM TAB 10TAB</t>
  </si>
  <si>
    <t>PLUS CAP 10CAP</t>
  </si>
  <si>
    <t>EBILITY 10</t>
  </si>
  <si>
    <t>10CAP</t>
  </si>
  <si>
    <t>ESGIPYRIN-A</t>
  </si>
  <si>
    <t>ESGIPYRIN</t>
  </si>
  <si>
    <t>INSTAGEL 30GM</t>
  </si>
  <si>
    <t>INSTAGEL 50GM</t>
  </si>
  <si>
    <t>SP TAB 10TAB</t>
  </si>
  <si>
    <t>TH TAB 10TAB</t>
  </si>
  <si>
    <t>ESOGA RD</t>
  </si>
  <si>
    <t>ESSENTIALE</t>
  </si>
  <si>
    <t>L CAP 10CAP</t>
  </si>
  <si>
    <t>ETODY 120</t>
  </si>
  <si>
    <t>ETODY 60 MG</t>
  </si>
  <si>
    <t>ETODY 90 MG</t>
  </si>
  <si>
    <t>ETODY-TH</t>
  </si>
  <si>
    <t>FABOLITE</t>
  </si>
  <si>
    <t>POWDER 100GM</t>
  </si>
  <si>
    <t>FEBUSTAT 40</t>
  </si>
  <si>
    <t>FEBUSTAT 80</t>
  </si>
  <si>
    <t>FLAGYL 200</t>
  </si>
  <si>
    <t>FLAGYL 400</t>
  </si>
  <si>
    <t>FLAGYL SUSP</t>
  </si>
  <si>
    <t>60ML</t>
  </si>
  <si>
    <t>GENTICYN 80</t>
  </si>
  <si>
    <t>MG INJ 2ML</t>
  </si>
  <si>
    <t>GENTICYN</t>
  </si>
  <si>
    <t>EYE DROP 5ML</t>
  </si>
  <si>
    <t>EYE DROPS 10ML</t>
  </si>
  <si>
    <t>GENTICYN HC</t>
  </si>
  <si>
    <t>DROPS 10ML</t>
  </si>
  <si>
    <t>HYDENT K</t>
  </si>
  <si>
    <t>PASTE 100GM</t>
  </si>
  <si>
    <t>HYDENT PRO</t>
  </si>
  <si>
    <t>KENACORT 10</t>
  </si>
  <si>
    <t>MG INJ. 1ML</t>
  </si>
  <si>
    <t>KENACORT 40</t>
  </si>
  <si>
    <t>MG INJ 1ML</t>
  </si>
  <si>
    <t>KENACORT 4</t>
  </si>
  <si>
    <t>KENACORT</t>
  </si>
  <si>
    <t>ORAL PASTE 5GM</t>
  </si>
  <si>
    <t>KETOF DT</t>
  </si>
  <si>
    <t>KIDPRED</t>
  </si>
  <si>
    <t>SUSP 60ML</t>
  </si>
  <si>
    <t>LIMCEE 500</t>
  </si>
  <si>
    <t>MG CHEW TAB 15TAB</t>
  </si>
  <si>
    <t>LIMCEE +</t>
  </si>
  <si>
    <t>LOBATE AL</t>
  </si>
  <si>
    <t>GEL 20GM</t>
  </si>
  <si>
    <t>LOBATE</t>
  </si>
  <si>
    <t>DUSTING POWDER 100GM</t>
  </si>
  <si>
    <t>LOBATE GM</t>
  </si>
  <si>
    <t>NEO CREAM 15GM</t>
  </si>
  <si>
    <t>LOBATE GN</t>
  </si>
  <si>
    <t>CREAM 15GM</t>
  </si>
  <si>
    <t>LOBATE M</t>
  </si>
  <si>
    <t>SKIN CREAM 15GM</t>
  </si>
  <si>
    <t>LORSAID OD</t>
  </si>
  <si>
    <t>LORSAID P</t>
  </si>
  <si>
    <t>325 MG TAB 10TAB</t>
  </si>
  <si>
    <t>LORSAID P 8</t>
  </si>
  <si>
    <t>LORSAID SD</t>
  </si>
  <si>
    <t>4 MG TAB 10TAB</t>
  </si>
  <si>
    <t>8 MG TAB 10TAB</t>
  </si>
  <si>
    <t>LUNABET</t>
  </si>
  <si>
    <t>CREAM 20GM</t>
  </si>
  <si>
    <t>Continued..4</t>
  </si>
  <si>
    <t>No..4</t>
  </si>
  <si>
    <t>LOTION 15ML</t>
  </si>
  <si>
    <t>MALIDENS DS</t>
  </si>
  <si>
    <t>SUSPENSION 60ML</t>
  </si>
  <si>
    <t>MALIDENS</t>
  </si>
  <si>
    <t>MONTI FX</t>
  </si>
  <si>
    <t>NEBASULF</t>
  </si>
  <si>
    <t>POWDER 10GM</t>
  </si>
  <si>
    <t>NEW DELETUS</t>
  </si>
  <si>
    <t>BX EXPT. 100ML</t>
  </si>
  <si>
    <t>P SYP 100ML</t>
  </si>
  <si>
    <t>ORAHEX PLUS</t>
  </si>
  <si>
    <t>ORAL RINS 150ML</t>
  </si>
  <si>
    <t>PARAXIN 250</t>
  </si>
  <si>
    <t>PARAXIN 500</t>
  </si>
  <si>
    <t>PARAXIN</t>
  </si>
  <si>
    <t>DRAGEE 250 MG TAB 10TAB</t>
  </si>
  <si>
    <t>PENTIDS 200</t>
  </si>
  <si>
    <t>MG TAB 6TAB</t>
  </si>
  <si>
    <t>PENTIDS 400</t>
  </si>
  <si>
    <t>PENTIDS 800</t>
  </si>
  <si>
    <t>MG TAB 4TAB</t>
  </si>
  <si>
    <t>PHENERGAN</t>
  </si>
  <si>
    <t>INJ 2ML 1AMP</t>
  </si>
  <si>
    <t>SYRUP 100ML</t>
  </si>
  <si>
    <t>PHENSEDYL</t>
  </si>
  <si>
    <t>BR SYRUP 100ML</t>
  </si>
  <si>
    <t>CR SYRUP 100ML</t>
  </si>
  <si>
    <t>EX SYRUP 100ML</t>
  </si>
  <si>
    <t>LR SYRUP 100ML</t>
  </si>
  <si>
    <t>NEW COUGH LINC 100ML</t>
  </si>
  <si>
    <t>PHENSEDYL T</t>
  </si>
  <si>
    <t>PREGAMET 75</t>
  </si>
  <si>
    <t>PREGAMET SR</t>
  </si>
  <si>
    <t>RANOGARD</t>
  </si>
  <si>
    <t>RAPISONE</t>
  </si>
  <si>
    <t>DSR CAP 5CAP</t>
  </si>
  <si>
    <t>RAPISONE SR</t>
  </si>
  <si>
    <t>CAP 5TAB</t>
  </si>
  <si>
    <t>RASHFREE</t>
  </si>
  <si>
    <t>REJOINT-T</t>
  </si>
  <si>
    <t>REJOINT UC</t>
  </si>
  <si>
    <t>ROCALTROL</t>
  </si>
  <si>
    <t>ROVAMYCIN</t>
  </si>
  <si>
    <t>FORTE TAB 10TAB</t>
  </si>
  <si>
    <t>SAFEDICLO</t>
  </si>
  <si>
    <t>SECNIL 1 GM</t>
  </si>
  <si>
    <t>FORTE TAB 2TAB</t>
  </si>
  <si>
    <t>STEMETIL 1</t>
  </si>
  <si>
    <t>ML INJ 1AMP</t>
  </si>
  <si>
    <t>STEMETIL MD</t>
  </si>
  <si>
    <t>SUPRA PLUS</t>
  </si>
  <si>
    <t>SURBEX NANO</t>
  </si>
  <si>
    <t>60K ORAL SOLU. 5ML</t>
  </si>
  <si>
    <t>SPRAY 15ML</t>
  </si>
  <si>
    <t>SURBEX XT</t>
  </si>
  <si>
    <t>TIXYLIX-D</t>
  </si>
  <si>
    <t>TIXYLIX-LS</t>
  </si>
  <si>
    <t>SYP 100ML</t>
  </si>
  <si>
    <t>TIXYLIX NEW</t>
  </si>
  <si>
    <t>SYRUP 60ML</t>
  </si>
  <si>
    <t>TOOTHMIN</t>
  </si>
  <si>
    <t>PASTE 70GM</t>
  </si>
  <si>
    <t>TOSSEX DMR</t>
  </si>
  <si>
    <t>TOSSEX</t>
  </si>
  <si>
    <t>TOSSEX XP</t>
  </si>
  <si>
    <t>TRESMOX LB</t>
  </si>
  <si>
    <t>D CAP 10CAP</t>
  </si>
  <si>
    <t>VITAMIN A</t>
  </si>
  <si>
    <t>CHEWTAB 10TAB</t>
  </si>
  <si>
    <t>ZOBID D 50</t>
  </si>
  <si>
    <t>Continued..5</t>
  </si>
  <si>
    <t>No..5</t>
  </si>
  <si>
    <t>ZOBID SR</t>
  </si>
  <si>
    <t>100 MG TAB 10TAB</t>
  </si>
  <si>
    <t>ABBOTT HEALTHCARE A (SPECIALITY CARE)</t>
  </si>
  <si>
    <t>ADEQUET 100</t>
  </si>
  <si>
    <t>ADEQUET 25</t>
  </si>
  <si>
    <t>ADEQUET 50</t>
  </si>
  <si>
    <t>AMISANT 100</t>
  </si>
  <si>
    <t>AMISANT 200</t>
  </si>
  <si>
    <t>AMISANT 50</t>
  </si>
  <si>
    <t>AMLUCK</t>
  </si>
  <si>
    <t>CREAM 10GM</t>
  </si>
  <si>
    <t>CREAM 30GM</t>
  </si>
  <si>
    <t>AZILTREND</t>
  </si>
  <si>
    <t>40 MG TAB 10TAB</t>
  </si>
  <si>
    <t>80 MG TAB 10TAB</t>
  </si>
  <si>
    <t>BISOSAFE</t>
  </si>
  <si>
    <t>2.5 MG TAB 10TAB</t>
  </si>
  <si>
    <t>BISOSAFE 5</t>
  </si>
  <si>
    <t>CILADUO 10</t>
  </si>
  <si>
    <t>CILADUO 5</t>
  </si>
  <si>
    <t>CYTOGARD 20</t>
  </si>
  <si>
    <t>CYTOGARD MR</t>
  </si>
  <si>
    <t>35 MG TAB 10TAB</t>
  </si>
  <si>
    <t>CYTOGARD OD</t>
  </si>
  <si>
    <t>60 MG CAP 10CAP</t>
  </si>
  <si>
    <t>DELOK 20 MG</t>
  </si>
  <si>
    <t>DELOK 30 MG</t>
  </si>
  <si>
    <t>DEPSONIL 25</t>
  </si>
  <si>
    <t>DEPSONIL PM</t>
  </si>
  <si>
    <t>DIABETROL</t>
  </si>
  <si>
    <t>SR TAB 10TAB</t>
  </si>
  <si>
    <t>DURAPAIN</t>
  </si>
  <si>
    <t>ENACE 10 MG</t>
  </si>
  <si>
    <t>ENACE D 10</t>
  </si>
  <si>
    <t>EPILEX</t>
  </si>
  <si>
    <t>CHRONO 200 MG TAB 10TAB</t>
  </si>
  <si>
    <t>CHRONO 200 MG TAB 15TAB</t>
  </si>
  <si>
    <t>CHRONO 300 MG TAB 10TAB</t>
  </si>
  <si>
    <t>CHRONO 300 MG TAB 15TAB</t>
  </si>
  <si>
    <t>CHRONO 500 MG TAB 10TAB</t>
  </si>
  <si>
    <t>CHRONO 500 MG TAB 15TAB</t>
  </si>
  <si>
    <t>EPILEX ORAL</t>
  </si>
  <si>
    <t>SUSP. 100ML</t>
  </si>
  <si>
    <t>FACE CARE</t>
  </si>
  <si>
    <t>TVAKSH 60GM</t>
  </si>
  <si>
    <t>FACECLIN AT</t>
  </si>
  <si>
    <t>FACECLIN</t>
  </si>
  <si>
    <t>FAMTAC 40</t>
  </si>
  <si>
    <t>FOLLISERUM</t>
  </si>
  <si>
    <t>FOOTPAL</t>
  </si>
  <si>
    <t>CREAM 100GM</t>
  </si>
  <si>
    <t>GARDENAL 30</t>
  </si>
  <si>
    <t>GARDENAL 60</t>
  </si>
  <si>
    <t>GARDENAL</t>
  </si>
  <si>
    <t>GLIMER 1 MG</t>
  </si>
  <si>
    <t>GLIMER 2 MG</t>
  </si>
  <si>
    <t>GLIMER 3 MG</t>
  </si>
  <si>
    <t>GLUFORMIN</t>
  </si>
  <si>
    <t>850 MG TAB 10TAB</t>
  </si>
  <si>
    <t>GLUFORMIN G</t>
  </si>
  <si>
    <t>1 FORTE NEW 15TAB</t>
  </si>
  <si>
    <t>1 FORTE TAB 10TAB</t>
  </si>
  <si>
    <t>1 TAB 15TAB</t>
  </si>
  <si>
    <t>2 FORTE NEW 15TAB</t>
  </si>
  <si>
    <t>2 FORTE TAB 10TAB</t>
  </si>
  <si>
    <t>2 TAB 15TAB</t>
  </si>
  <si>
    <t>Continued..6</t>
  </si>
  <si>
    <t>No..6</t>
  </si>
  <si>
    <t>GLUFORMIN I</t>
  </si>
  <si>
    <t>0.5 MG TAB 10TAB</t>
  </si>
  <si>
    <t>1 MG TAB 10TAB</t>
  </si>
  <si>
    <t>XL 1000 MG TAB 15TAB</t>
  </si>
  <si>
    <t>XL 500 MG TAB 15TAB</t>
  </si>
  <si>
    <t>GTN</t>
  </si>
  <si>
    <t>SORBITRATE CR 2.6 MG 30TAB</t>
  </si>
  <si>
    <t>SORBITRATE CR 6.4 MG 25TAB</t>
  </si>
  <si>
    <t>ISMO 10 MG</t>
  </si>
  <si>
    <t>ISMO 20 MG</t>
  </si>
  <si>
    <t>ISMO RETARD</t>
  </si>
  <si>
    <t>40 MG TAB 7TAB</t>
  </si>
  <si>
    <t>I-TYZA 100</t>
  </si>
  <si>
    <t>I-TYZA 200</t>
  </si>
  <si>
    <t>MG CAP 7CAP</t>
  </si>
  <si>
    <t>7CAP</t>
  </si>
  <si>
    <t>IVABID 5 MG</t>
  </si>
  <si>
    <t>TAB 14TAB</t>
  </si>
  <si>
    <t>LEVESAM 1</t>
  </si>
  <si>
    <t>LEVESAM 250</t>
  </si>
  <si>
    <t>LEVESAM 500</t>
  </si>
  <si>
    <t>LEVESAM</t>
  </si>
  <si>
    <t>ORAL SOLUTION 100ML</t>
  </si>
  <si>
    <t>LIBRIUM 10</t>
  </si>
  <si>
    <t>LIBRIUM 25</t>
  </si>
  <si>
    <t>LOBATE SKIN</t>
  </si>
  <si>
    <t>LOBATE S</t>
  </si>
  <si>
    <t>OINTMENT 30GM</t>
  </si>
  <si>
    <t>LOFATIN</t>
  </si>
  <si>
    <t>LURATREND</t>
  </si>
  <si>
    <t>MADOPAR 250</t>
  </si>
  <si>
    <t>MAZETOL 100</t>
  </si>
  <si>
    <t>MAZETOL 200</t>
  </si>
  <si>
    <t>MAZETOL 400</t>
  </si>
  <si>
    <t>MAZETOL SR</t>
  </si>
  <si>
    <t>200 MG TAB 15TAB</t>
  </si>
  <si>
    <t>300 MG TAB 15TAB</t>
  </si>
  <si>
    <t>400 MG TAB 10TAB</t>
  </si>
  <si>
    <t>400 MG TAB 15TAB</t>
  </si>
  <si>
    <t>MDD XR 100</t>
  </si>
  <si>
    <t>MDD XR 50</t>
  </si>
  <si>
    <t>MELAGARD</t>
  </si>
  <si>
    <t>50+ LOTION 60ML</t>
  </si>
  <si>
    <t>LOTION 50ML</t>
  </si>
  <si>
    <t>MELAGLOW</t>
  </si>
  <si>
    <t>DAY CREAM 15GM</t>
  </si>
  <si>
    <t>NEW CREAM $ 15GM</t>
  </si>
  <si>
    <t>NEW CREAM 30GM</t>
  </si>
  <si>
    <t>RICH CREAM 20GM</t>
  </si>
  <si>
    <t>MELALITE 15</t>
  </si>
  <si>
    <t>MELALITE</t>
  </si>
  <si>
    <t>FORTE CREAM 30GM</t>
  </si>
  <si>
    <t>MELALITE XL</t>
  </si>
  <si>
    <t>MINICHEK F</t>
  </si>
  <si>
    <t>SPRAY 60ML</t>
  </si>
  <si>
    <t>MOXON 0.2</t>
  </si>
  <si>
    <t>MOXON 0.3</t>
  </si>
  <si>
    <t>MYSOLINE</t>
  </si>
  <si>
    <t>NEO</t>
  </si>
  <si>
    <t>MERCAZOLE 10 MG TAB 100TAB</t>
  </si>
  <si>
    <t>MERCAZOLE 20 MG TAB 100TAB</t>
  </si>
  <si>
    <t>MERCAZOLE 5 MG TAB 100TAB</t>
  </si>
  <si>
    <t>NERVUP</t>
  </si>
  <si>
    <t>FORTE CAP 10CAP</t>
  </si>
  <si>
    <t>NERVUP INJ.</t>
  </si>
  <si>
    <t>1ML</t>
  </si>
  <si>
    <t>NERVUP OD</t>
  </si>
  <si>
    <t>NERVUP PG</t>
  </si>
  <si>
    <t>NEW</t>
  </si>
  <si>
    <t>FOLLIHAIR A TAB 10TAB</t>
  </si>
  <si>
    <t>Continued..7</t>
  </si>
  <si>
    <t>No..7</t>
  </si>
  <si>
    <t>FOLLIHAIR TAB $ 10TAB</t>
  </si>
  <si>
    <t>FOLLIHAIR TAB 30TAB</t>
  </si>
  <si>
    <t>NEW LYSUPRA</t>
  </si>
  <si>
    <t>SYRUP 200ML</t>
  </si>
  <si>
    <t>NUBETA 2.5</t>
  </si>
  <si>
    <t>NUBETA 5 MG</t>
  </si>
  <si>
    <t>NUBETA H</t>
  </si>
  <si>
    <t>NUBETA SM</t>
  </si>
  <si>
    <t>OX MAZETOL</t>
  </si>
  <si>
    <t>150 MG TAB 10TAB</t>
  </si>
  <si>
    <t>300 MG TAB 10TAB</t>
  </si>
  <si>
    <t>450 MG TAB 10TAB</t>
  </si>
  <si>
    <t>600 MG TAB 10TAB</t>
  </si>
  <si>
    <t>OXMAZETOL</t>
  </si>
  <si>
    <t>ER 300 MG TAB 10TAB</t>
  </si>
  <si>
    <t>ER 600 MG TAB 10TAB</t>
  </si>
  <si>
    <t>PPG 0.2 MG</t>
  </si>
  <si>
    <t>PPG 0.3 MG</t>
  </si>
  <si>
    <t>PPG MD 0.2</t>
  </si>
  <si>
    <t>PPG MD 0.3</t>
  </si>
  <si>
    <t>PPG MET 0.2</t>
  </si>
  <si>
    <t>PPG MET 0.3</t>
  </si>
  <si>
    <t>PPG TRIO 1</t>
  </si>
  <si>
    <t>PPG TRIO 2</t>
  </si>
  <si>
    <t>PPG TRIO</t>
  </si>
  <si>
    <t>FORTE 1 MG TAB 10TAB</t>
  </si>
  <si>
    <t>FORTE 2 MG TAB 10TAB</t>
  </si>
  <si>
    <t>PRELIPID</t>
  </si>
  <si>
    <t>CAP 60CAP</t>
  </si>
  <si>
    <t>R-2 10 MG</t>
  </si>
  <si>
    <t>R-2 20 MG</t>
  </si>
  <si>
    <t>R-2 5 MG</t>
  </si>
  <si>
    <t>R-2 ASP 150</t>
  </si>
  <si>
    <t>R-2 ASP 75</t>
  </si>
  <si>
    <t>RIVOTRIL</t>
  </si>
  <si>
    <t>0.25 MG TAB 10TAB</t>
  </si>
  <si>
    <t>0.5 MG TAB 15TAB</t>
  </si>
  <si>
    <t>RIVOTRIL 2</t>
  </si>
  <si>
    <t>SELSUN</t>
  </si>
  <si>
    <t>DAILY SHAMPOO 120ML</t>
  </si>
  <si>
    <t>DAILY SHAMPOO 60ML</t>
  </si>
  <si>
    <t>LOTION 120ML</t>
  </si>
  <si>
    <t>LOTION 60ML</t>
  </si>
  <si>
    <t>SELSUN S</t>
  </si>
  <si>
    <t>SHAMPOO 120ML</t>
  </si>
  <si>
    <t>SHAMPOO 60ML</t>
  </si>
  <si>
    <t>SELSUN Z</t>
  </si>
  <si>
    <t>SMETO CREAM</t>
  </si>
  <si>
    <t>SOLAZE 100</t>
  </si>
  <si>
    <t>10 MG TAB 50TAB</t>
  </si>
  <si>
    <t>5 MG TAB 50TAB</t>
  </si>
  <si>
    <t>STATOR 10</t>
  </si>
  <si>
    <t>STATOR 20</t>
  </si>
  <si>
    <t>STATOR 40</t>
  </si>
  <si>
    <t>STATOR ASP</t>
  </si>
  <si>
    <t>75 MG CAP 15CAP</t>
  </si>
  <si>
    <t>STATOR CV</t>
  </si>
  <si>
    <t>STATOR F</t>
  </si>
  <si>
    <t>SUGANRIL</t>
  </si>
  <si>
    <t>SUPERMET AM</t>
  </si>
  <si>
    <t>SUPERMET H</t>
  </si>
  <si>
    <t>SUPERMET XL</t>
  </si>
  <si>
    <t>25 MG TAB 15TAB</t>
  </si>
  <si>
    <t>50 MG TAB 15TAB</t>
  </si>
  <si>
    <t>SURBEX STAR</t>
  </si>
  <si>
    <t>Continued..8</t>
  </si>
  <si>
    <t>No..8</t>
  </si>
  <si>
    <t>S ZETALO 10</t>
  </si>
  <si>
    <t>S ZETALO 20</t>
  </si>
  <si>
    <t>S ZETALO 5</t>
  </si>
  <si>
    <t>S ZETALO LS</t>
  </si>
  <si>
    <t>S ZETALO</t>
  </si>
  <si>
    <t>PLUS 5 MG TAB 10TAB</t>
  </si>
  <si>
    <t>PLUS MD TAB 10TAB</t>
  </si>
  <si>
    <t>PLUS TAB 15TAB</t>
  </si>
  <si>
    <t>TELPRES 20</t>
  </si>
  <si>
    <t>TELPRES 40</t>
  </si>
  <si>
    <t>TELPRES 80</t>
  </si>
  <si>
    <t>TELPRES AM</t>
  </si>
  <si>
    <t>TELPRES AMH</t>
  </si>
  <si>
    <t>TELPRES CT</t>
  </si>
  <si>
    <t>40/12.5 MG TAB 10TAB</t>
  </si>
  <si>
    <t>40/12.5 MG TAB 15TAB</t>
  </si>
  <si>
    <t>40/6.25 MG TAB 10TAB</t>
  </si>
  <si>
    <t>40/6.25 MG TAB 15TAB</t>
  </si>
  <si>
    <t>TELPRES H</t>
  </si>
  <si>
    <t>40 MG TAB 15TAB</t>
  </si>
  <si>
    <t>TELPRES MT</t>
  </si>
  <si>
    <t>TELPRES</t>
  </si>
  <si>
    <t>TRIO TAB 10TAB</t>
  </si>
  <si>
    <t>TG GOAL 145</t>
  </si>
  <si>
    <t>TRIBET 1 MG</t>
  </si>
  <si>
    <t>TRIBET 2 MG</t>
  </si>
  <si>
    <t>TRIBET</t>
  </si>
  <si>
    <t>TRIBETROL 1</t>
  </si>
  <si>
    <t>TRIBETROL 2</t>
  </si>
  <si>
    <t>TRIBETROL</t>
  </si>
  <si>
    <t>FORTE 1 MG TAB 15TAB</t>
  </si>
  <si>
    <t>FORTE 2 MG TAB 15TAB</t>
  </si>
  <si>
    <t>TRUSTYL BR</t>
  </si>
  <si>
    <t>TUFACNE 10</t>
  </si>
  <si>
    <t>TUFACNE 20</t>
  </si>
  <si>
    <t>TVAKSH</t>
  </si>
  <si>
    <t>FACEGLOW 15GM</t>
  </si>
  <si>
    <t>TVAKSH FACE</t>
  </si>
  <si>
    <t>GUARD 30GM 30GM</t>
  </si>
  <si>
    <t>TVAKSH SOFT</t>
  </si>
  <si>
    <t>SKIN 75ML</t>
  </si>
  <si>
    <t>TYZA CREAM</t>
  </si>
  <si>
    <t>TYZA DP GEL</t>
  </si>
  <si>
    <t>TYZA</t>
  </si>
  <si>
    <t>DUSTING POWDER 50GM</t>
  </si>
  <si>
    <t>TYZA M</t>
  </si>
  <si>
    <t>7TAB</t>
  </si>
  <si>
    <t>UVOX 100 MG</t>
  </si>
  <si>
    <t>UVOX 50 MG</t>
  </si>
  <si>
    <t>UVOX CR 100</t>
  </si>
  <si>
    <t>VALANCE 125</t>
  </si>
  <si>
    <t>Continued..9</t>
  </si>
  <si>
    <t>No..9</t>
  </si>
  <si>
    <t>VALANCE 250</t>
  </si>
  <si>
    <t>VALANCE 500</t>
  </si>
  <si>
    <t>MG SOLUTION 100ML</t>
  </si>
  <si>
    <t>MG SOLUTION 200ML</t>
  </si>
  <si>
    <t>VALANCE OD</t>
  </si>
  <si>
    <t>250 MG TAB 15TAB</t>
  </si>
  <si>
    <t>750 MG TAB 10TAB</t>
  </si>
  <si>
    <t>VALANCE</t>
  </si>
  <si>
    <t>SOLUTION 100ML</t>
  </si>
  <si>
    <t>VILAXEL 20</t>
  </si>
  <si>
    <t>VILAXEL 40</t>
  </si>
  <si>
    <t>WINBP 20 MG</t>
  </si>
  <si>
    <t>WINBP 40 MG</t>
  </si>
  <si>
    <t>WINBP AM 20</t>
  </si>
  <si>
    <t>WIN BP CT</t>
  </si>
  <si>
    <t>20/6.25 MG TAB 10TAB</t>
  </si>
  <si>
    <t>WINBP TRIO</t>
  </si>
  <si>
    <t>XEVOR 10 MG</t>
  </si>
  <si>
    <t>ZEFORMIN XR</t>
  </si>
  <si>
    <t>30 MG TAB 10TAB</t>
  </si>
  <si>
    <t>60 MG TAB 10TAB</t>
  </si>
  <si>
    <t>ZOMELIS MET</t>
  </si>
  <si>
    <t>50/1000 MG TAB 10TAB</t>
  </si>
  <si>
    <t>50/500 MG TAB 10TAB</t>
  </si>
  <si>
    <t>14TAB</t>
  </si>
  <si>
    <t>ABBOTT HEALTHCARE A(GEN.MEDI.)</t>
  </si>
  <si>
    <t>AMICOLON SB</t>
  </si>
  <si>
    <t>SACHET 1GM</t>
  </si>
  <si>
    <t>SECNIL KIT</t>
  </si>
  <si>
    <t>1KIT</t>
  </si>
  <si>
    <t>SUPRADYN</t>
  </si>
  <si>
    <t>ABBOTT HEALTHCARE C(CNS)</t>
  </si>
  <si>
    <t>ABBOTT HEALTHCARE D(CARDIAC)</t>
  </si>
  <si>
    <t>ABBOTT HEALTHCARE E(DIABETES)</t>
  </si>
  <si>
    <t>GABANEXT 75</t>
  </si>
  <si>
    <t>NERVUP ER</t>
  </si>
  <si>
    <t>PIOZONE M</t>
  </si>
  <si>
    <t>15 MG TAB 10TAB</t>
  </si>
  <si>
    <t>SEMI</t>
  </si>
  <si>
    <t>EUGLUCON TAB 10TAB</t>
  </si>
  <si>
    <t>SEMI TRIBET</t>
  </si>
  <si>
    <t>2 MG TAB 10TAB</t>
  </si>
  <si>
    <t>ABBOTT HEALTHCARE E(METALIFE)</t>
  </si>
  <si>
    <t>D3 UP</t>
  </si>
  <si>
    <t>LOT H 50 MG</t>
  </si>
  <si>
    <t>METGLAR 1</t>
  </si>
  <si>
    <t>MONO</t>
  </si>
  <si>
    <t>SORBITRATE 10 MG TAB 10TAB</t>
  </si>
  <si>
    <t>SORBITRATE 20 MG TAB 10TAB</t>
  </si>
  <si>
    <t>ABBOTT HEALTHCARE F(NEURO PSY)</t>
  </si>
  <si>
    <t>200 MG TAB 10TAB</t>
  </si>
  <si>
    <t>Continued..10</t>
  </si>
  <si>
    <t>No..10</t>
  </si>
  <si>
    <t>ABBOTT HEALTHCARE G(MUL.SPE.)</t>
  </si>
  <si>
    <t>ABBOTT HEALTHCARE H(ORTHO)</t>
  </si>
  <si>
    <t>ROCKBON C</t>
  </si>
  <si>
    <t>SPRAY 3.7ML</t>
  </si>
  <si>
    <t>ROCKBON PTH</t>
  </si>
  <si>
    <t>750 MG INJ. 3ML</t>
  </si>
  <si>
    <t>PEN DEVICE 1PCS</t>
  </si>
  <si>
    <t>ROCKBON</t>
  </si>
  <si>
    <t>VITANULES SACHET 1GM</t>
  </si>
  <si>
    <t>SUPRACTIV</t>
  </si>
  <si>
    <t>CAP $ 15CAP</t>
  </si>
  <si>
    <t>ABBOTT HEALTHCARE H(OTF)</t>
  </si>
  <si>
    <t>ABBOTT HEALTHCARE I(ACUTE CAR)</t>
  </si>
  <si>
    <t>BECOZYM C</t>
  </si>
  <si>
    <t>ZIMINIC 100</t>
  </si>
  <si>
    <t>ZIMINIC 200</t>
  </si>
  <si>
    <t>ZIMINIC 50</t>
  </si>
  <si>
    <t>ZIMINIC O</t>
  </si>
  <si>
    <t>100 MG DT TAB 10TAB</t>
  </si>
  <si>
    <t>ABBOTT HEALTHCARE J(MUL.THER)</t>
  </si>
  <si>
    <t>RESTECLIN</t>
  </si>
  <si>
    <t>250 MG CAP 10CAP</t>
  </si>
  <si>
    <t>ZZZZZZ 7544</t>
  </si>
  <si>
    <t>ABBOTT HEALTHCARE L(DERMA)</t>
  </si>
  <si>
    <t>3 MIX CREAM</t>
  </si>
  <si>
    <t>NEW EXERGE</t>
  </si>
  <si>
    <t>ABBOTT HEALTHCARE M(PAIN MAN.)</t>
  </si>
  <si>
    <t>NIFEDINE 10</t>
  </si>
  <si>
    <t>NIFEDINE 5</t>
  </si>
  <si>
    <t>NIFEDINE SR</t>
  </si>
  <si>
    <t>ABBOTT HEALTHCARE N(ENDURA)</t>
  </si>
  <si>
    <t>AMBISTRYN S</t>
  </si>
  <si>
    <t>0.75 GM 1VIAL</t>
  </si>
  <si>
    <t>1 GM 1VIAL</t>
  </si>
  <si>
    <t>CROTORAX</t>
  </si>
  <si>
    <t>CROTORAX HC</t>
  </si>
  <si>
    <t>HANSEPRAN</t>
  </si>
  <si>
    <t>100 MG CAP 10CAP</t>
  </si>
  <si>
    <t>QUADRIDERM</t>
  </si>
  <si>
    <t>RF CREAM 10GM</t>
  </si>
  <si>
    <t>RF CREAM 5GM</t>
  </si>
  <si>
    <t>500 MG CAP 10CAP</t>
  </si>
  <si>
    <t>VALIUM 5 MG</t>
  </si>
  <si>
    <t>ALLOTROPE LIFESCIENCE PVT.LTD.</t>
  </si>
  <si>
    <t>ALLOCIUM D3</t>
  </si>
  <si>
    <t>EARNAGE SYP</t>
  </si>
  <si>
    <t>200ML</t>
  </si>
  <si>
    <t>FLORATROP</t>
  </si>
  <si>
    <t>TROPCIUM</t>
  </si>
  <si>
    <t>TROPIKAST L</t>
  </si>
  <si>
    <t>ARISTO GENETICA</t>
  </si>
  <si>
    <t>AMLOSAFE 10</t>
  </si>
  <si>
    <t>Continued..11</t>
  </si>
  <si>
    <t>No..11</t>
  </si>
  <si>
    <t>AMLOSAFE</t>
  </si>
  <si>
    <t>AMLOSAFE 3D</t>
  </si>
  <si>
    <t>TAB 7TAB</t>
  </si>
  <si>
    <t>AMLOSAFE 5</t>
  </si>
  <si>
    <t>AMLOSAFE H</t>
  </si>
  <si>
    <t>AMLOSAFE LS</t>
  </si>
  <si>
    <t>2.5 2.5 MG TA 10TAB</t>
  </si>
  <si>
    <t>5 5 MG TAB 10TAB</t>
  </si>
  <si>
    <t>AMLOSAFE MT</t>
  </si>
  <si>
    <t>AMLOSAFE TM</t>
  </si>
  <si>
    <t>BIGOMET</t>
  </si>
  <si>
    <t>1000 MG SR TAB 10TAB</t>
  </si>
  <si>
    <t>BIGOMET 500</t>
  </si>
  <si>
    <t>MG SR TAB 10TAB</t>
  </si>
  <si>
    <t>BIGOMET M</t>
  </si>
  <si>
    <t>CHEXID RF</t>
  </si>
  <si>
    <t>CLOFLOW 75</t>
  </si>
  <si>
    <t>CLOFLOW</t>
  </si>
  <si>
    <t>PLUS 75/75 MG CAP 10CAP</t>
  </si>
  <si>
    <t>CROMOPLEX</t>
  </si>
  <si>
    <t>DELISPRIN</t>
  </si>
  <si>
    <t>75 MG TAB 14TAB</t>
  </si>
  <si>
    <t>ENOXAFLO 40</t>
  </si>
  <si>
    <t>MG INJ. 0.4ML</t>
  </si>
  <si>
    <t>ENOXAFLO 60</t>
  </si>
  <si>
    <t>MG INJ. 0.6ML</t>
  </si>
  <si>
    <t>FLODART</t>
  </si>
  <si>
    <t>FONDUM 0.5</t>
  </si>
  <si>
    <t>INJECTION 1VIAL</t>
  </si>
  <si>
    <t>GABASAFE</t>
  </si>
  <si>
    <t>PLUS SR 75 MG TAB 10TAB</t>
  </si>
  <si>
    <t>GLEZ 10 MG</t>
  </si>
  <si>
    <t>GLEZ 5 MG</t>
  </si>
  <si>
    <t>GLIMIPREX 1</t>
  </si>
  <si>
    <t>GLIMIPREX 2</t>
  </si>
  <si>
    <t>GLIMIPREX</t>
  </si>
  <si>
    <t>MF 1/500 MG TAB 10TAB</t>
  </si>
  <si>
    <t>MF 2/500 MG TAB 10TAB</t>
  </si>
  <si>
    <t>MF FORTE 1 MG TAB 10TAB</t>
  </si>
  <si>
    <t>MF FORTE 2 MG TAB 10TAB</t>
  </si>
  <si>
    <t>GLIPON</t>
  </si>
  <si>
    <t>20/1000 MF FORTE TAB 10TAB</t>
  </si>
  <si>
    <t>20/500 MF TAB 10TAB</t>
  </si>
  <si>
    <t>GLIPON 20</t>
  </si>
  <si>
    <t>GLUBOSE 50</t>
  </si>
  <si>
    <t>MEGANEURON</t>
  </si>
  <si>
    <t>FORTE INJ. 2ML</t>
  </si>
  <si>
    <t>INJ. 1PACK</t>
  </si>
  <si>
    <t>NT 50 MG TAB 10TAB</t>
  </si>
  <si>
    <t>NT 75 MG TAB 10TAB</t>
  </si>
  <si>
    <t>OD PLUS CAP 10CAP</t>
  </si>
  <si>
    <t>PG CAP 10CAP</t>
  </si>
  <si>
    <t>MEGAVOG 0.2</t>
  </si>
  <si>
    <t>MEGAVOG 0.3</t>
  </si>
  <si>
    <t>MEGAVOG MF</t>
  </si>
  <si>
    <t>0.2/500 MG TAB 10TAB</t>
  </si>
  <si>
    <t>0.3/500 MG TAB 10TAB</t>
  </si>
  <si>
    <t>METAGLEZ</t>
  </si>
  <si>
    <t>MYOPROL XL</t>
  </si>
  <si>
    <t>NEBI 2.5 MG</t>
  </si>
  <si>
    <t>NEBI 5 MG</t>
  </si>
  <si>
    <t>OLMESAFE 20</t>
  </si>
  <si>
    <t>OLMESAFE H</t>
  </si>
  <si>
    <t>20/12.5 MG TAB 10TAB</t>
  </si>
  <si>
    <t>Continued..12</t>
  </si>
  <si>
    <t>No..12</t>
  </si>
  <si>
    <t>OMNICEF 0</t>
  </si>
  <si>
    <t>50 MG ORAL SUSP. 30ML</t>
  </si>
  <si>
    <t>OMNICEF AZ</t>
  </si>
  <si>
    <t>200/250 MG TAB 10TAB</t>
  </si>
  <si>
    <t>OMNICEF O</t>
  </si>
  <si>
    <t>100 MG ORAL SUSP. 30ML</t>
  </si>
  <si>
    <t>ORFLAZ KIT</t>
  </si>
  <si>
    <t>QCARD 100</t>
  </si>
  <si>
    <t>S AMLOSAFE</t>
  </si>
  <si>
    <t>AT 2.5/50 TAB 10TAB</t>
  </si>
  <si>
    <t>TORSID 10</t>
  </si>
  <si>
    <t>TORSID 5 MG</t>
  </si>
  <si>
    <t>TORSID PLUS</t>
  </si>
  <si>
    <t>10/50 MG TAB 10TAB</t>
  </si>
  <si>
    <t>5/50 MG TAB 10TAB</t>
  </si>
  <si>
    <t>TRIGLIMIPREX 1 MG TAB 10TAB</t>
  </si>
  <si>
    <t>TRIGLIMIPREX 2 MG TAB 10TAB</t>
  </si>
  <si>
    <t>TRIMEGAVOG</t>
  </si>
  <si>
    <t>VASONEXT</t>
  </si>
  <si>
    <t>ZILPRES 40</t>
  </si>
  <si>
    <t>ZILPRES 80</t>
  </si>
  <si>
    <t>ARISTO MF-3</t>
  </si>
  <si>
    <t>ALFA</t>
  </si>
  <si>
    <t>OSTEBON CAP 10CAP</t>
  </si>
  <si>
    <t>AMBRODIL-S</t>
  </si>
  <si>
    <t>CLINGEN 3</t>
  </si>
  <si>
    <t>VAGI.SUPP. 3SUP.</t>
  </si>
  <si>
    <t>CLINGEN</t>
  </si>
  <si>
    <t>FORTE TAB 7TAB</t>
  </si>
  <si>
    <t>VAGINAL SUPP. 7SUP.</t>
  </si>
  <si>
    <t>WASH 100ML</t>
  </si>
  <si>
    <t>FOLINEXT D</t>
  </si>
  <si>
    <t>100 MG CAP 15CAP</t>
  </si>
  <si>
    <t>FOLINEXT</t>
  </si>
  <si>
    <t>GOLD TAB 10TAB</t>
  </si>
  <si>
    <t>IMAX FORTE</t>
  </si>
  <si>
    <t>IMAX S INJ.</t>
  </si>
  <si>
    <t>5ML</t>
  </si>
  <si>
    <t>IMAX XT</t>
  </si>
  <si>
    <t>SUSPENSION 150ML</t>
  </si>
  <si>
    <t>INTIMACY</t>
  </si>
  <si>
    <t>PLUS 2 MG TAB @ 21TAB</t>
  </si>
  <si>
    <t>PLUS 3 MG TAB 21TAB</t>
  </si>
  <si>
    <t>LETPRO 2.5</t>
  </si>
  <si>
    <t>MY PILL TAB</t>
  </si>
  <si>
    <t>@ 21TAB</t>
  </si>
  <si>
    <t>NEW IMAX</t>
  </si>
  <si>
    <t>FORTE CAP 10TAB</t>
  </si>
  <si>
    <t>OFLER 200</t>
  </si>
  <si>
    <t>OFLER OZ</t>
  </si>
  <si>
    <t>200 MG DT TAB 10TAB</t>
  </si>
  <si>
    <t>CV 200 TAB 10TAB</t>
  </si>
  <si>
    <t>OMNICEF</t>
  </si>
  <si>
    <t>OSTEBON</t>
  </si>
  <si>
    <t>PLUS TAB 20TAB</t>
  </si>
  <si>
    <t>SUSPENSION 200ML</t>
  </si>
  <si>
    <t>PROFINE 200</t>
  </si>
  <si>
    <t>PROTONE MOM</t>
  </si>
  <si>
    <t>POWDER 200GM</t>
  </si>
  <si>
    <t>PROTON MOM</t>
  </si>
  <si>
    <t>CHOCOALATE 200GM</t>
  </si>
  <si>
    <t>SUPER D3</t>
  </si>
  <si>
    <t>2000 I.U.TAB 10TAB</t>
  </si>
  <si>
    <t>60000 I.U.TAB 4TAB</t>
  </si>
  <si>
    <t>BESINS HEALTHCARE INDIA PVT.LTD.</t>
  </si>
  <si>
    <t>OESTROGEL</t>
  </si>
  <si>
    <t>TUBE 80GM</t>
  </si>
  <si>
    <t>TRESGUARD</t>
  </si>
  <si>
    <t>HYG. 100ML</t>
  </si>
  <si>
    <t>UTROGESTAN</t>
  </si>
  <si>
    <t>200 MG TAB 7TAB</t>
  </si>
  <si>
    <t>BIOMI LIFESCIENCE PVT.LTD.</t>
  </si>
  <si>
    <t>BIFERT F</t>
  </si>
  <si>
    <t>BIFERT M</t>
  </si>
  <si>
    <t>BIO-9 FORTE</t>
  </si>
  <si>
    <t>Continued..13</t>
  </si>
  <si>
    <t>No..13</t>
  </si>
  <si>
    <t>BIOARG</t>
  </si>
  <si>
    <t>SACHETS 10GM</t>
  </si>
  <si>
    <t>CYSTCURE</t>
  </si>
  <si>
    <t>5TAB</t>
  </si>
  <si>
    <t>CIPLA (B-UROLOGY-1)</t>
  </si>
  <si>
    <t>EMOCIP</t>
  </si>
  <si>
    <t>FLAVOCIP</t>
  </si>
  <si>
    <t>FOSIROL</t>
  </si>
  <si>
    <t>POWDER 8GM</t>
  </si>
  <si>
    <t>ONCO-BCG 40</t>
  </si>
  <si>
    <t>MG INJ. 1VIAL</t>
  </si>
  <si>
    <t>PRUFLOX 600</t>
  </si>
  <si>
    <t>MG TAB 5TAB</t>
  </si>
  <si>
    <t>STON 1 B6</t>
  </si>
  <si>
    <t>SYRUP 450 ML</t>
  </si>
  <si>
    <t>STON 1 ORAL</t>
  </si>
  <si>
    <t>SOLUTION 200ML</t>
  </si>
  <si>
    <t>STON 1 SYP</t>
  </si>
  <si>
    <t>450ML</t>
  </si>
  <si>
    <t>TADAFLO 10</t>
  </si>
  <si>
    <t>TADAFLO 20</t>
  </si>
  <si>
    <t>TADAFLO 5</t>
  </si>
  <si>
    <t>TEROL LA 2</t>
  </si>
  <si>
    <t>TEROL LA 4</t>
  </si>
  <si>
    <t>T-HIM</t>
  </si>
  <si>
    <t>INJECTION 4ML</t>
  </si>
  <si>
    <t>URIFAST 100</t>
  </si>
  <si>
    <t>MG CAP 15CAP</t>
  </si>
  <si>
    <t>URIFAST CP</t>
  </si>
  <si>
    <t>100 MG CAP 30CAP</t>
  </si>
  <si>
    <t>URIMAX 0.2</t>
  </si>
  <si>
    <t>URIMAX 0.4</t>
  </si>
  <si>
    <t>MG CAP 20CAP</t>
  </si>
  <si>
    <t>URIMAX D</t>
  </si>
  <si>
    <t>URIMAX-DX</t>
  </si>
  <si>
    <t>URIMAX F</t>
  </si>
  <si>
    <t>CAP 15CAP</t>
  </si>
  <si>
    <t>VESIBETA 25</t>
  </si>
  <si>
    <t>VESIBETA 50</t>
  </si>
  <si>
    <t>VESIGARD</t>
  </si>
  <si>
    <t>7.5 MG TAB 10TAB</t>
  </si>
  <si>
    <t>CIPLA (I NURTURE1)</t>
  </si>
  <si>
    <t>ADVENT</t>
  </si>
  <si>
    <t>228.5 MG TAB 10TAB</t>
  </si>
  <si>
    <t>ADVENT DROP</t>
  </si>
  <si>
    <t>91.4 mg 10ML</t>
  </si>
  <si>
    <t>ADVENT DRY</t>
  </si>
  <si>
    <t>SYP 30ML</t>
  </si>
  <si>
    <t>FORTE 457 SYRUP 60ML</t>
  </si>
  <si>
    <t>FORTE SYP 30ML</t>
  </si>
  <si>
    <t>AZEE 100 MG</t>
  </si>
  <si>
    <t>DRY SYP 15ML</t>
  </si>
  <si>
    <t>DT 3TAB</t>
  </si>
  <si>
    <t>XL SYP 30ML</t>
  </si>
  <si>
    <t>AZEE 200 MG</t>
  </si>
  <si>
    <t>XL SYRUP 30ML</t>
  </si>
  <si>
    <t>BILLARGIC</t>
  </si>
  <si>
    <t>ORAL SOLUTION 60ML</t>
  </si>
  <si>
    <t>BIOZORA</t>
  </si>
  <si>
    <t>SACHETS 1SACH.</t>
  </si>
  <si>
    <t>CEFOPROX</t>
  </si>
  <si>
    <t>100 SUSPENSION 30ML</t>
  </si>
  <si>
    <t>CEFOPROX 50</t>
  </si>
  <si>
    <t>MG DT 10TAB</t>
  </si>
  <si>
    <t>SUSPENSION 30ML</t>
  </si>
  <si>
    <t>EMESET</t>
  </si>
  <si>
    <t>SYRUP 30ML</t>
  </si>
  <si>
    <t>ESOMAC 10</t>
  </si>
  <si>
    <t>GRANULES 3.2GM</t>
  </si>
  <si>
    <t>Continued..14</t>
  </si>
  <si>
    <t>No..14</t>
  </si>
  <si>
    <t>FEVAGO DROP</t>
  </si>
  <si>
    <t>15ML</t>
  </si>
  <si>
    <t>FEVAGO DS</t>
  </si>
  <si>
    <t>SUSP. 60ML</t>
  </si>
  <si>
    <t>FEVAGO</t>
  </si>
  <si>
    <t>JUNIOR</t>
  </si>
  <si>
    <t>CIPEG POWDER 121.1GM</t>
  </si>
  <si>
    <t>LANZOL 15 MG TAB 15TAB</t>
  </si>
  <si>
    <t>LANZOL 30 MG TAB 10TAB</t>
  </si>
  <si>
    <t>LEVOLIN</t>
  </si>
  <si>
    <t>PLUS JR. SYRUP 100ML</t>
  </si>
  <si>
    <t>PLUS SYRUP 100ML</t>
  </si>
  <si>
    <t>LEVOLIN SYP</t>
  </si>
  <si>
    <t>100ML</t>
  </si>
  <si>
    <t>MONTAIR 4</t>
  </si>
  <si>
    <t>MONTAIR 5</t>
  </si>
  <si>
    <t>MONTAIR DL</t>
  </si>
  <si>
    <t>MONTAIR LC</t>
  </si>
  <si>
    <t>KID SYP 60ML</t>
  </si>
  <si>
    <t>KID TAB 10TAB</t>
  </si>
  <si>
    <t>MONTAIR</t>
  </si>
  <si>
    <t>PLUS KID TAB 10TAB</t>
  </si>
  <si>
    <t>MUPINASE</t>
  </si>
  <si>
    <t>CREAM 7.5GM</t>
  </si>
  <si>
    <t>OINTMENT 5GM</t>
  </si>
  <si>
    <t>NUTROLIN B PEDTAB 10TAB</t>
  </si>
  <si>
    <t>NUTROLIN B SYRUP 60ML</t>
  </si>
  <si>
    <t>PREDONE SYP</t>
  </si>
  <si>
    <t>SYNCLAR DRY</t>
  </si>
  <si>
    <t>URIFAST</t>
  </si>
  <si>
    <t>ZINCRIS SYP</t>
  </si>
  <si>
    <t>ZIPRAX 100</t>
  </si>
  <si>
    <t>MG DRY SYP 30ML</t>
  </si>
  <si>
    <t>ZIPRAX 50</t>
  </si>
  <si>
    <t>MG DT TAB 10TAB</t>
  </si>
  <si>
    <t>ZOFLUT</t>
  </si>
  <si>
    <t>CIPLA (Q-XTERNA 1)</t>
  </si>
  <si>
    <t>CETAFRESH</t>
  </si>
  <si>
    <t>CLEANSING LOTION 200ML</t>
  </si>
  <si>
    <t>DEPEGNOL</t>
  </si>
  <si>
    <t>DIVAINE 50</t>
  </si>
  <si>
    <t>EXCELA MAX</t>
  </si>
  <si>
    <t>MOISTURIZER 200GM</t>
  </si>
  <si>
    <t>MOISTURIZER 500GM</t>
  </si>
  <si>
    <t>EXCELA</t>
  </si>
  <si>
    <t>MOISTURIZER 50GM</t>
  </si>
  <si>
    <t>ISOTROIN 10</t>
  </si>
  <si>
    <t>ISOTROIN 20</t>
  </si>
  <si>
    <t>ISOTROIN 30</t>
  </si>
  <si>
    <t>ISOTROIN 5</t>
  </si>
  <si>
    <t>ITRALASE</t>
  </si>
  <si>
    <t>200 MG CAP 7CAP</t>
  </si>
  <si>
    <t>ITRANOX 100</t>
  </si>
  <si>
    <t>LUDURA</t>
  </si>
  <si>
    <t>LOTION 30ML</t>
  </si>
  <si>
    <t>LUMACIP</t>
  </si>
  <si>
    <t>PLUS CREAM 15GM</t>
  </si>
  <si>
    <t>OXIDOBEN</t>
  </si>
  <si>
    <t>GEL 15GM</t>
  </si>
  <si>
    <t>PAMORIA</t>
  </si>
  <si>
    <t>PAMORIA XL</t>
  </si>
  <si>
    <t>RIVELA GEL</t>
  </si>
  <si>
    <t>60GM</t>
  </si>
  <si>
    <t>RIVELA LITE</t>
  </si>
  <si>
    <t>CREAM 60GM</t>
  </si>
  <si>
    <t>RIVELA</t>
  </si>
  <si>
    <t>SUNSCREEN LOTION 50ML</t>
  </si>
  <si>
    <t>RIVELA TINT</t>
  </si>
  <si>
    <t>SEBOWASH</t>
  </si>
  <si>
    <t>SHAMPOO $ 100ML</t>
  </si>
  <si>
    <t>TERBICIP</t>
  </si>
  <si>
    <t>SPRAY 30ML</t>
  </si>
  <si>
    <t>Continued..15</t>
  </si>
  <si>
    <t>No..15</t>
  </si>
  <si>
    <t>TRANFIB 250</t>
  </si>
  <si>
    <t>TRANFIB 500</t>
  </si>
  <si>
    <t>VALCIVIR</t>
  </si>
  <si>
    <t>1000 MG TAB 3TAB</t>
  </si>
  <si>
    <t>500 MG TAB 3TAB</t>
  </si>
  <si>
    <t>TAZACT</t>
  </si>
  <si>
    <t>1.125 GM INJ. 1VIAL</t>
  </si>
  <si>
    <t>CIPLA A(HIV)</t>
  </si>
  <si>
    <t>BUDECORT CR</t>
  </si>
  <si>
    <t>CAP 30CAP</t>
  </si>
  <si>
    <t>DUOVIR N</t>
  </si>
  <si>
    <t>60TAB</t>
  </si>
  <si>
    <t>INNOMUNE 50</t>
  </si>
  <si>
    <t>LAMIVIR 150</t>
  </si>
  <si>
    <t>LOPIMUNE</t>
  </si>
  <si>
    <t>TAB 60TAB</t>
  </si>
  <si>
    <t>NEVIMUNE</t>
  </si>
  <si>
    <t>TAB 60 60TAB</t>
  </si>
  <si>
    <t>SYNTHIVAN</t>
  </si>
  <si>
    <t>TABLETS 30TAB</t>
  </si>
  <si>
    <t>TENVIR L</t>
  </si>
  <si>
    <t>TRIOMUNE 30</t>
  </si>
  <si>
    <t>VORITEK 200</t>
  </si>
  <si>
    <t>CIPLA A(NON HIV)</t>
  </si>
  <si>
    <t>1UNIT</t>
  </si>
  <si>
    <t>ESOMAC 20</t>
  </si>
  <si>
    <t>ESOMAC 40</t>
  </si>
  <si>
    <t>ESOMAC D 20</t>
  </si>
  <si>
    <t>ESOMAC D 40</t>
  </si>
  <si>
    <t>ESOMAC IV</t>
  </si>
  <si>
    <t>40MG</t>
  </si>
  <si>
    <t>ESOMAC L</t>
  </si>
  <si>
    <t>HEPTULAC</t>
  </si>
  <si>
    <t>FIBER ORAL SOLU. 200ML</t>
  </si>
  <si>
    <t>FIBER SYRUP 100ML</t>
  </si>
  <si>
    <t>MESALO 800</t>
  </si>
  <si>
    <t>MESALO FOAM</t>
  </si>
  <si>
    <t>82GM</t>
  </si>
  <si>
    <t>MESALO OD</t>
  </si>
  <si>
    <t>NUTRIMUNE</t>
  </si>
  <si>
    <t>TAB $ 10TAB</t>
  </si>
  <si>
    <t>PANSTAL</t>
  </si>
  <si>
    <t>PYLOKIT</t>
  </si>
  <si>
    <t>PYLOKIT AC</t>
  </si>
  <si>
    <t>KIT COMBI 1KIT</t>
  </si>
  <si>
    <t>RIXMIN 200</t>
  </si>
  <si>
    <t>RIXMIN 400</t>
  </si>
  <si>
    <t>RIXMIN 550</t>
  </si>
  <si>
    <t>CIPLA B(UROLOGY-2)</t>
  </si>
  <si>
    <t>ALFUSIN D</t>
  </si>
  <si>
    <t>CALUTIDE 50</t>
  </si>
  <si>
    <t>CALUTIDE</t>
  </si>
  <si>
    <t>TAB CP 30TAB</t>
  </si>
  <si>
    <t>CYTOMID 250</t>
  </si>
  <si>
    <t>DUPROST</t>
  </si>
  <si>
    <t>SOFT GELATIN CAP 10CAP</t>
  </si>
  <si>
    <t>OXYSPAS 2.5</t>
  </si>
  <si>
    <t>OXYSPAS 5</t>
  </si>
  <si>
    <t>SILOFAST 4</t>
  </si>
  <si>
    <t>SILOFAST 8</t>
  </si>
  <si>
    <t>Continued..16</t>
  </si>
  <si>
    <t>No..16</t>
  </si>
  <si>
    <t>SILOFAST D4</t>
  </si>
  <si>
    <t>SILOFAST D8</t>
  </si>
  <si>
    <t>SOLIACT 10</t>
  </si>
  <si>
    <t>SOLIACT 5</t>
  </si>
  <si>
    <t>CIPLA C(CRITICAL CARE 1)</t>
  </si>
  <si>
    <t>ADVENT 1.2</t>
  </si>
  <si>
    <t>GM INJ 1VIAL</t>
  </si>
  <si>
    <t>DALCINEX</t>
  </si>
  <si>
    <t>INJ.4 ML 4ML</t>
  </si>
  <si>
    <t>FORCAN IV</t>
  </si>
  <si>
    <t>FORCAN PLUS</t>
  </si>
  <si>
    <t>INFUSION 200ML</t>
  </si>
  <si>
    <t>MERONIC 0.5</t>
  </si>
  <si>
    <t>MOXICIP IV</t>
  </si>
  <si>
    <t>PARACIP IV</t>
  </si>
  <si>
    <t>TAZACT 4.5</t>
  </si>
  <si>
    <t>GM INJ. 1INJ</t>
  </si>
  <si>
    <t>1VAIL</t>
  </si>
  <si>
    <t>CIPLA C(CRITICAL CARE 2)</t>
  </si>
  <si>
    <t>METOLAR</t>
  </si>
  <si>
    <t>INJ. 5ML</t>
  </si>
  <si>
    <t>TICOCIN 400</t>
  </si>
  <si>
    <t>MG INJ. 1INJ.</t>
  </si>
  <si>
    <t>VIATRAN 1.5</t>
  </si>
  <si>
    <t>XYLISTIN</t>
  </si>
  <si>
    <t>INJ. 60MG</t>
  </si>
  <si>
    <t>CIPLA CIPLAHEALTH</t>
  </si>
  <si>
    <t>ACTIVKIDS</t>
  </si>
  <si>
    <t>IMM.BOOSTERS(2+3) 30PCS</t>
  </si>
  <si>
    <t>IMM.BOOSTERS (2+3) 7PCS</t>
  </si>
  <si>
    <t>JR.UNOBIOTICS SACH. 1SACH</t>
  </si>
  <si>
    <t>ACTIVSTART</t>
  </si>
  <si>
    <t>UNOBIOTICS SACH. 1GM</t>
  </si>
  <si>
    <t>BRAIN MAX</t>
  </si>
  <si>
    <t>CIPHANDS</t>
  </si>
  <si>
    <t>HAND SENITIZER 500ML</t>
  </si>
  <si>
    <t>PROFESSION HANDRUB 500ML</t>
  </si>
  <si>
    <t>COFSILS</t>
  </si>
  <si>
    <t>COUGH DROPS 2.4GM</t>
  </si>
  <si>
    <t>MEDICATED COUGH SYRUP 100ML</t>
  </si>
  <si>
    <t>IMMUNO</t>
  </si>
  <si>
    <t>BOOSTERS 4+6 YR. 30SAC</t>
  </si>
  <si>
    <t>BOOSTERS 4+6 YR. 7SACH</t>
  </si>
  <si>
    <t>BOOSTERS 7+ YR. 30SACH</t>
  </si>
  <si>
    <t>BOOSTERS 7 YR. 7PCS</t>
  </si>
  <si>
    <t>NICOGUM 2</t>
  </si>
  <si>
    <t>SUGARFREE 10GUM</t>
  </si>
  <si>
    <t>NICOGUM 4</t>
  </si>
  <si>
    <t>NICOTEX 2</t>
  </si>
  <si>
    <t>CHEWING GUM (PAAN F 4GUM</t>
  </si>
  <si>
    <t>CINNAMON FLAV. 9GUMS</t>
  </si>
  <si>
    <t>FRUITY MINT 9GUM</t>
  </si>
  <si>
    <t>MINT PLUS CHEWTAB 9TAB</t>
  </si>
  <si>
    <t>MINT TIN 25PCS</t>
  </si>
  <si>
    <t>NICOTEX 4</t>
  </si>
  <si>
    <t>CHEWING GUM (PAAN F 9GUM</t>
  </si>
  <si>
    <t>UNOBIOTICS</t>
  </si>
  <si>
    <t>SB SACHETS 10SACH</t>
  </si>
  <si>
    <t>CIPLA D(FORESIGHT-1)</t>
  </si>
  <si>
    <t>9 PM EYE</t>
  </si>
  <si>
    <t>DROP 2.5ML</t>
  </si>
  <si>
    <t>AQUATEARS</t>
  </si>
  <si>
    <t>EYE DROP 10ML</t>
  </si>
  <si>
    <t>BRIMOCOM</t>
  </si>
  <si>
    <t>Continued..17</t>
  </si>
  <si>
    <t>No..17</t>
  </si>
  <si>
    <t>BRIMODIN</t>
  </si>
  <si>
    <t>FIT EYE TAB</t>
  </si>
  <si>
    <t>$ 10TAB</t>
  </si>
  <si>
    <t>FLOGEL EYE</t>
  </si>
  <si>
    <t>DROP 10ML</t>
  </si>
  <si>
    <t>GATIQUIN</t>
  </si>
  <si>
    <t>GATIQUIN HS</t>
  </si>
  <si>
    <t>EYE DROP 0.5ML</t>
  </si>
  <si>
    <t>GATIQUIN P</t>
  </si>
  <si>
    <t>LOTEFLAM</t>
  </si>
  <si>
    <t>EYE DROP 15ML</t>
  </si>
  <si>
    <t>LOWPROST</t>
  </si>
  <si>
    <t>EYE DROP 3ML</t>
  </si>
  <si>
    <t>MOXICIP KT</t>
  </si>
  <si>
    <t>EYE DROPS 5ML</t>
  </si>
  <si>
    <t>NATADROPS</t>
  </si>
  <si>
    <t>IP DROPS 5ML</t>
  </si>
  <si>
    <t>NEW FIT EYE</t>
  </si>
  <si>
    <t>OCUGARD 500</t>
  </si>
  <si>
    <t>MG SOFTGEL 10CAP</t>
  </si>
  <si>
    <t>OPTISTAT</t>
  </si>
  <si>
    <t>OSMODROPS</t>
  </si>
  <si>
    <t>CIPLA E(FORESIGHT-2)</t>
  </si>
  <si>
    <t>ACIVIR EYE</t>
  </si>
  <si>
    <t>ADDTEARS</t>
  </si>
  <si>
    <t>DORZOX EYE</t>
  </si>
  <si>
    <t>DROP 5ML</t>
  </si>
  <si>
    <t>DORZOX T</t>
  </si>
  <si>
    <t>FIT EYE</t>
  </si>
  <si>
    <t>FLOGEL</t>
  </si>
  <si>
    <t>ULTRA EYE DROPS 10ML</t>
  </si>
  <si>
    <t>IMUDROP</t>
  </si>
  <si>
    <t>0.5% DROP 0.5ML</t>
  </si>
  <si>
    <t>IMUDROPS DS</t>
  </si>
  <si>
    <t>SINGULES 0.5ML</t>
  </si>
  <si>
    <t>MOXICIP BR</t>
  </si>
  <si>
    <t>MOXICIP D</t>
  </si>
  <si>
    <t>MOXICIP EYE</t>
  </si>
  <si>
    <t>OINT 5GM</t>
  </si>
  <si>
    <t>NEPCINAC</t>
  </si>
  <si>
    <t>TOBAFLAM</t>
  </si>
  <si>
    <t>XOVATRA EYE</t>
  </si>
  <si>
    <t>CIPLA F(IMPULSE-1)</t>
  </si>
  <si>
    <t>CIPLAR PLUS</t>
  </si>
  <si>
    <t>LEVEPSY</t>
  </si>
  <si>
    <t>LEVEPSY 250</t>
  </si>
  <si>
    <t>LEVEPSY 500</t>
  </si>
  <si>
    <t>MIDACIP</t>
  </si>
  <si>
    <t>1.25 MG NASAL SPARY 16MD</t>
  </si>
  <si>
    <t>MIGARID 10</t>
  </si>
  <si>
    <t>MIGARID 5</t>
  </si>
  <si>
    <t>RISNIA</t>
  </si>
  <si>
    <t>RISNIA MD 1</t>
  </si>
  <si>
    <t>RISNIA MD 2</t>
  </si>
  <si>
    <t>RISNIA MD 3</t>
  </si>
  <si>
    <t>RISNIA MD 4</t>
  </si>
  <si>
    <t>RISNIA PLUS</t>
  </si>
  <si>
    <t>RIZACT 10</t>
  </si>
  <si>
    <t>RIZACT 5 MG</t>
  </si>
  <si>
    <t>TAB 4TAB</t>
  </si>
  <si>
    <t>RIZACT MD</t>
  </si>
  <si>
    <t>10 MG TAB 2TAB</t>
  </si>
  <si>
    <t>S CITADEP</t>
  </si>
  <si>
    <t>S CITADEP 5</t>
  </si>
  <si>
    <t>LS TAB 10TAB</t>
  </si>
  <si>
    <t>SCLEROGEM</t>
  </si>
  <si>
    <t>120 MG CAP 14CAP</t>
  </si>
  <si>
    <t>240 MG CAP 14CAP</t>
  </si>
  <si>
    <t>VENLOR XR</t>
  </si>
  <si>
    <t>37.5 MG CAP 10CAP</t>
  </si>
  <si>
    <t>Continued..18</t>
  </si>
  <si>
    <t>No..18</t>
  </si>
  <si>
    <t>VERTIPRESS</t>
  </si>
  <si>
    <t>VILAREST 20</t>
  </si>
  <si>
    <t>VILAREST 40</t>
  </si>
  <si>
    <t>ZELIP 10 MG</t>
  </si>
  <si>
    <t>ZELIP 5 MG</t>
  </si>
  <si>
    <t>ZOLMIST</t>
  </si>
  <si>
    <t>NASAL SPRAY 70MD</t>
  </si>
  <si>
    <t>CIPLA F(IMPULSE-2)</t>
  </si>
  <si>
    <t>AMANTRAL</t>
  </si>
  <si>
    <t>AMANTREL</t>
  </si>
  <si>
    <t>CIZOREST</t>
  </si>
  <si>
    <t>CIZOREST 50</t>
  </si>
  <si>
    <t>CIZOREST OD</t>
  </si>
  <si>
    <t>DONECEPT 10</t>
  </si>
  <si>
    <t>DONECEPT 5</t>
  </si>
  <si>
    <t>DONECEPT M</t>
  </si>
  <si>
    <t>D VENLOR</t>
  </si>
  <si>
    <t>D VENLOR 50</t>
  </si>
  <si>
    <t>LACOPSY 100</t>
  </si>
  <si>
    <t>LACOPSY 50</t>
  </si>
  <si>
    <t>LAMETEC 100</t>
  </si>
  <si>
    <t>LAMETEC 25</t>
  </si>
  <si>
    <t>LAMETEC 50</t>
  </si>
  <si>
    <t>LAMETEC KID</t>
  </si>
  <si>
    <t>LAMETEC OD</t>
  </si>
  <si>
    <t>NEURO</t>
  </si>
  <si>
    <t>GARDIAN TAB $ 10TAB</t>
  </si>
  <si>
    <t>NOVA 75 MG</t>
  </si>
  <si>
    <t>NOVA M 75</t>
  </si>
  <si>
    <t>OXCARB 150</t>
  </si>
  <si>
    <t>OXCARB 300</t>
  </si>
  <si>
    <t>OXCARB 450</t>
  </si>
  <si>
    <t>OXCARB 600</t>
  </si>
  <si>
    <t>TABLURA 40</t>
  </si>
  <si>
    <t>TABLURA 80</t>
  </si>
  <si>
    <t>VALTEC CR</t>
  </si>
  <si>
    <t>CIPLA G(LIFE LEGEND)</t>
  </si>
  <si>
    <t>CIPLA G(LIFECARE PRO)</t>
  </si>
  <si>
    <t>CIPLA H(LUCENTA)</t>
  </si>
  <si>
    <t>PREDONE</t>
  </si>
  <si>
    <t>FORTE SYP 60ML</t>
  </si>
  <si>
    <t>CIPLA HEPTALOGY</t>
  </si>
  <si>
    <t>ENTAVIR 0.5</t>
  </si>
  <si>
    <t>LAMIVIR HBV</t>
  </si>
  <si>
    <t>30TAB</t>
  </si>
  <si>
    <t>CIPLA I NURTURE2</t>
  </si>
  <si>
    <t>ADVENT 300</t>
  </si>
  <si>
    <t>MG INJ 1VIAL</t>
  </si>
  <si>
    <t>ADVENT 600</t>
  </si>
  <si>
    <t>LINOSPAN</t>
  </si>
  <si>
    <t>INFUSION 100 ML 100ML</t>
  </si>
  <si>
    <t>Continued..19</t>
  </si>
  <si>
    <t>No..19</t>
  </si>
  <si>
    <t>NASAL SPRAY 5ML</t>
  </si>
  <si>
    <t>NETSPAN 10</t>
  </si>
  <si>
    <t>VANLID 250</t>
  </si>
  <si>
    <t>CIPLA J CRESTA</t>
  </si>
  <si>
    <t>ACIVIR 200</t>
  </si>
  <si>
    <t>ACIVIR 400</t>
  </si>
  <si>
    <t>MG DT 5TAB</t>
  </si>
  <si>
    <t>ACIVIR 800</t>
  </si>
  <si>
    <t>ACIVIR</t>
  </si>
  <si>
    <t>CREAM 5GM</t>
  </si>
  <si>
    <t>ASTHALIN 2</t>
  </si>
  <si>
    <t>ASTHALIN 4</t>
  </si>
  <si>
    <t>ASTHALIN AX</t>
  </si>
  <si>
    <t>JR. SYRUP 100ML</t>
  </si>
  <si>
    <t>ASTHALIN DX</t>
  </si>
  <si>
    <t>ASTHALIN</t>
  </si>
  <si>
    <t>EXPT. 100ML</t>
  </si>
  <si>
    <t>PLUS EXPT. 100ML</t>
  </si>
  <si>
    <t>BILAFAV 20</t>
  </si>
  <si>
    <t>BILAFAV</t>
  </si>
  <si>
    <t>CIPLACTIN</t>
  </si>
  <si>
    <t>DEXLANZOL</t>
  </si>
  <si>
    <t>30 MG CAP 10CAP</t>
  </si>
  <si>
    <t>FORCAN 150</t>
  </si>
  <si>
    <t>MG TAB 1TAB</t>
  </si>
  <si>
    <t>FORCAN 200</t>
  </si>
  <si>
    <t>FORCAN 50</t>
  </si>
  <si>
    <t>IBUGESIC</t>
  </si>
  <si>
    <t>PLUS SYP 60ML</t>
  </si>
  <si>
    <t>SUSPENSION 100ML</t>
  </si>
  <si>
    <t>ITRANOX 200</t>
  </si>
  <si>
    <t>MG CAP 4CAP</t>
  </si>
  <si>
    <t>4CAP</t>
  </si>
  <si>
    <t>RANICIZ SYRUP 100ML</t>
  </si>
  <si>
    <t>LEVOLIN 1</t>
  </si>
  <si>
    <t>LEVOLIN 2</t>
  </si>
  <si>
    <t>LUMET 80 MG</t>
  </si>
  <si>
    <t>TAB 6TAB</t>
  </si>
  <si>
    <t>NOVAMOX 250</t>
  </si>
  <si>
    <t>MG REDIUSE 60ML</t>
  </si>
  <si>
    <t>OFLOX 100</t>
  </si>
  <si>
    <t>MG REDIUSE SYP 60ML</t>
  </si>
  <si>
    <t>OFLOX 200</t>
  </si>
  <si>
    <t>OFLOX 400</t>
  </si>
  <si>
    <t>OFLOX 50 MG</t>
  </si>
  <si>
    <t>REDIUSE SUSP. 60ML</t>
  </si>
  <si>
    <t>OFLOX D EYE</t>
  </si>
  <si>
    <t>OFLOX EYE</t>
  </si>
  <si>
    <t>OFLOX</t>
  </si>
  <si>
    <t>INFUSION 100ML</t>
  </si>
  <si>
    <t>OFLOX OZ</t>
  </si>
  <si>
    <t>OFLOX TZ</t>
  </si>
  <si>
    <t>OMNIX 100</t>
  </si>
  <si>
    <t>OMNIX 200</t>
  </si>
  <si>
    <t>OMNIX 50 MG</t>
  </si>
  <si>
    <t>DRY SYP 50ML</t>
  </si>
  <si>
    <t>OMNIX CV</t>
  </si>
  <si>
    <t>PREDONE 10</t>
  </si>
  <si>
    <t>PREDONE 5</t>
  </si>
  <si>
    <t>QINARSOL</t>
  </si>
  <si>
    <t>INJ. 2ML</t>
  </si>
  <si>
    <t>RESTYL 0.25</t>
  </si>
  <si>
    <t>Continued..20</t>
  </si>
  <si>
    <t>No..20</t>
  </si>
  <si>
    <t>RESTYL 0.5</t>
  </si>
  <si>
    <t>RID-AR KID</t>
  </si>
  <si>
    <t>STRAFOS</t>
  </si>
  <si>
    <t>THEO</t>
  </si>
  <si>
    <t>ASTHALIN FORTE TAB 10TAB</t>
  </si>
  <si>
    <t>ASTHALIN FORTE TAB 20TAB</t>
  </si>
  <si>
    <t>ASTHALIN NEW SYP 100ML</t>
  </si>
  <si>
    <t>ASTHALIN SR TAB 10TAB</t>
  </si>
  <si>
    <t>ASTHALIN TAB 30TAB</t>
  </si>
  <si>
    <t>VITOMIN D3</t>
  </si>
  <si>
    <t>60K TAB 4TAB</t>
  </si>
  <si>
    <t>DROP 30ML</t>
  </si>
  <si>
    <t>GRANULES 1GM</t>
  </si>
  <si>
    <t>VITOMIN Z</t>
  </si>
  <si>
    <t>DROP 15ML</t>
  </si>
  <si>
    <t>XYMOS 90 MG</t>
  </si>
  <si>
    <t>SOAP 90GM</t>
  </si>
  <si>
    <t>CIPLA J INSPIRA</t>
  </si>
  <si>
    <t>AZEE 250 MG</t>
  </si>
  <si>
    <t>AZEE 500 MG</t>
  </si>
  <si>
    <t>INJ. 50ML</t>
  </si>
  <si>
    <t>TAB 3TAB</t>
  </si>
  <si>
    <t>TAB 5TAB</t>
  </si>
  <si>
    <t>FAROBACT</t>
  </si>
  <si>
    <t>200 MG TAB 6TAB</t>
  </si>
  <si>
    <t>FEXIGRA 120</t>
  </si>
  <si>
    <t>FEXIGRA 180</t>
  </si>
  <si>
    <t>LACSYP</t>
  </si>
  <si>
    <t>LEVOFLOX</t>
  </si>
  <si>
    <t>750 MG TAB 5TAB</t>
  </si>
  <si>
    <t>LEVOFLOX IV</t>
  </si>
  <si>
    <t>MONTAIR FX</t>
  </si>
  <si>
    <t>MOXIFLOX</t>
  </si>
  <si>
    <t>MUCOPHYLINE</t>
  </si>
  <si>
    <t>NUTROLIN B PLUS CAP 15CAP</t>
  </si>
  <si>
    <t>OMNIM XT</t>
  </si>
  <si>
    <t>PRUCAPLA 1</t>
  </si>
  <si>
    <t>PRUCAPLA 2</t>
  </si>
  <si>
    <t>RABICIP 20</t>
  </si>
  <si>
    <t>RABICIP D</t>
  </si>
  <si>
    <t>RABICIP IV</t>
  </si>
  <si>
    <t>2.5ML</t>
  </si>
  <si>
    <t>RABICIP L</t>
  </si>
  <si>
    <t>CIPLA J OMNICARE</t>
  </si>
  <si>
    <t>CIPLA J OPTIMUS</t>
  </si>
  <si>
    <t>ALERID D</t>
  </si>
  <si>
    <t>ALERID SYP</t>
  </si>
  <si>
    <t>30ML.</t>
  </si>
  <si>
    <t>CEFOPROX CV</t>
  </si>
  <si>
    <t>100 MG DRY SYP 30ML</t>
  </si>
  <si>
    <t>50 MG DRY SYP 30ML</t>
  </si>
  <si>
    <t>PLUS SYRUP 200ML</t>
  </si>
  <si>
    <t>CIPLOX 250</t>
  </si>
  <si>
    <t>CIPLOX 500</t>
  </si>
  <si>
    <t>CIPLOX D</t>
  </si>
  <si>
    <t>CIPLOX E/E</t>
  </si>
  <si>
    <t>CIPLOX TZ</t>
  </si>
  <si>
    <t>DOMCET</t>
  </si>
  <si>
    <t>SUSPN. 30ML</t>
  </si>
  <si>
    <t>NORFLOX 200</t>
  </si>
  <si>
    <t>NORFLOX 400</t>
  </si>
  <si>
    <t>NORFLOX E/E</t>
  </si>
  <si>
    <t>NORFLOX TZ</t>
  </si>
  <si>
    <t>CIPLA J SPECTRACARE NP</t>
  </si>
  <si>
    <t>MEBEX SYP</t>
  </si>
  <si>
    <t>30ML</t>
  </si>
  <si>
    <t>6TAB</t>
  </si>
  <si>
    <t>NICOTINE 2</t>
  </si>
  <si>
    <t>POLACRILAX GUM 9PEC</t>
  </si>
  <si>
    <t>NICOTINE 4</t>
  </si>
  <si>
    <t>POLACRILEX GUM 9PEC</t>
  </si>
  <si>
    <t>PRESOLAR</t>
  </si>
  <si>
    <t>TRIVEDON 20</t>
  </si>
  <si>
    <t>CIPLA J ZESTA</t>
  </si>
  <si>
    <t>CADRESS</t>
  </si>
  <si>
    <t>OINTMENT 10GM</t>
  </si>
  <si>
    <t>EXPERT HAND SANITIZ 150ML</t>
  </si>
  <si>
    <t>EXPERT HAND SENITIZE 500ML</t>
  </si>
  <si>
    <t>EMESET 4 MG</t>
  </si>
  <si>
    <t>EMESET 4</t>
  </si>
  <si>
    <t>ODT TAB 10TAB</t>
  </si>
  <si>
    <t>EMESET INJ.</t>
  </si>
  <si>
    <t>2ML</t>
  </si>
  <si>
    <t>4ML</t>
  </si>
  <si>
    <t>EMESET MD 4</t>
  </si>
  <si>
    <t>FEXIGRA</t>
  </si>
  <si>
    <t>IBUGESIC AP</t>
  </si>
  <si>
    <t>ASP TAB 10TAB</t>
  </si>
  <si>
    <t>NANO GEL 30GM</t>
  </si>
  <si>
    <t>600 MG TAB 4TAB</t>
  </si>
  <si>
    <t>INFUSION 300 ML 300ML</t>
  </si>
  <si>
    <t>NOVACEF 1.5</t>
  </si>
  <si>
    <t>GM INJ. 20ML</t>
  </si>
  <si>
    <t>NOVACEF 250</t>
  </si>
  <si>
    <t>NOVACEF 500</t>
  </si>
  <si>
    <t>NOVACEF 750</t>
  </si>
  <si>
    <t>MG INJ. 15ML</t>
  </si>
  <si>
    <t>NOVACLOX</t>
  </si>
  <si>
    <t>500 MG INJ. 5ML</t>
  </si>
  <si>
    <t>CAP 9CAP</t>
  </si>
  <si>
    <t>PED TAB 15TAB</t>
  </si>
  <si>
    <t>NOVAMOX 125</t>
  </si>
  <si>
    <t>MG DT 15TAB</t>
  </si>
  <si>
    <t>MG REDIUSE S 30ML</t>
  </si>
  <si>
    <t>MG REDIUSE 30ML</t>
  </si>
  <si>
    <t>NOVAMOX 500</t>
  </si>
  <si>
    <t>MG LB CAP 10CAP</t>
  </si>
  <si>
    <t>NOVAMOX CV</t>
  </si>
  <si>
    <t>1.2 GM INJ. 20ML</t>
  </si>
  <si>
    <t>375 MG TAB 10TAB</t>
  </si>
  <si>
    <t>625 MG TAB 10TAB</t>
  </si>
  <si>
    <t>Continued..21</t>
  </si>
  <si>
    <t>No..21</t>
  </si>
  <si>
    <t>DRY SYP 30ML</t>
  </si>
  <si>
    <t>NOVAMOX</t>
  </si>
  <si>
    <t>REDIUSE DROP 10ML</t>
  </si>
  <si>
    <t>OMNICAL 500</t>
  </si>
  <si>
    <t>OMNIKACIN</t>
  </si>
  <si>
    <t>100 MG INJ. 2ML</t>
  </si>
  <si>
    <t>250 MG INJ. 2ML</t>
  </si>
  <si>
    <t>500 MG INJ. 2ML</t>
  </si>
  <si>
    <t>PAINIL PLUS</t>
  </si>
  <si>
    <t>PAINIL SP</t>
  </si>
  <si>
    <t>PANSEC 40</t>
  </si>
  <si>
    <t>MG IV 1VAIL</t>
  </si>
  <si>
    <t>PANSEC DSR</t>
  </si>
  <si>
    <t>PANSEC L</t>
  </si>
  <si>
    <t>CAPSULES 10CAP</t>
  </si>
  <si>
    <t>PARAFAST 10</t>
  </si>
  <si>
    <t>MG IV 10ML</t>
  </si>
  <si>
    <t>PEGURA</t>
  </si>
  <si>
    <t>POWDER 121.11GM</t>
  </si>
  <si>
    <t>SACHETS 17GM</t>
  </si>
  <si>
    <t>SILVERCURE</t>
  </si>
  <si>
    <t>NANOGEL 20GM</t>
  </si>
  <si>
    <t>NANOGEL 50GM</t>
  </si>
  <si>
    <t>TORODENT DT</t>
  </si>
  <si>
    <t>ZIPRAX 200</t>
  </si>
  <si>
    <t>CIPLA K P.H.CARE</t>
  </si>
  <si>
    <t>ASSURANS</t>
  </si>
  <si>
    <t>BOSENTAS</t>
  </si>
  <si>
    <t>125 MG TAB 10TAB</t>
  </si>
  <si>
    <t>62.5 MG TAB 10TAB</t>
  </si>
  <si>
    <t>PIRFENEX</t>
  </si>
  <si>
    <t>PULMOPRES</t>
  </si>
  <si>
    <t>CIPLA L QUADRA</t>
  </si>
  <si>
    <t>CIPLA LIMITED</t>
  </si>
  <si>
    <t>CIPLA M RESP A R</t>
  </si>
  <si>
    <t>ADVENT 625</t>
  </si>
  <si>
    <t>DUONASE</t>
  </si>
  <si>
    <t>FLOMIST</t>
  </si>
  <si>
    <t>NASAL SPRAY 100MD</t>
  </si>
  <si>
    <t>FURAMIST AZ</t>
  </si>
  <si>
    <t>FURAMIST</t>
  </si>
  <si>
    <t>NASAL SPRAY 200MD</t>
  </si>
  <si>
    <t>LEVORID D</t>
  </si>
  <si>
    <t>METASPRAY</t>
  </si>
  <si>
    <t>100MD NASAL SPR 120MD</t>
  </si>
  <si>
    <t>NASOWASH</t>
  </si>
  <si>
    <t>SACHET 7.8GM</t>
  </si>
  <si>
    <t>STARTER KIT 10*7.8GM</t>
  </si>
  <si>
    <t>PULMIGEN</t>
  </si>
  <si>
    <t>RAPID RHINO</t>
  </si>
  <si>
    <t>NASAL 1PCS</t>
  </si>
  <si>
    <t>CIPLA M RESP MISC</t>
  </si>
  <si>
    <t>BECLATE 200</t>
  </si>
  <si>
    <t>MG INHALER 200MD</t>
  </si>
  <si>
    <t>MG ROTACAP 30CAP</t>
  </si>
  <si>
    <t>BECLATE 400</t>
  </si>
  <si>
    <t>BUDECORT</t>
  </si>
  <si>
    <t>100 MG ROTACAP 30CAP</t>
  </si>
  <si>
    <t>200 MG ROTACAP 30CAP</t>
  </si>
  <si>
    <t>400 MG ROTACAP 30CAP</t>
  </si>
  <si>
    <t>Continued..22</t>
  </si>
  <si>
    <t>No..22</t>
  </si>
  <si>
    <t>BUDENASE AQ</t>
  </si>
  <si>
    <t>150MD</t>
  </si>
  <si>
    <t>IPRAVENT</t>
  </si>
  <si>
    <t>ROTACAP 30CAP</t>
  </si>
  <si>
    <t>SEROBID</t>
  </si>
  <si>
    <t>INHALER 200MD</t>
  </si>
  <si>
    <t>CIPLA M RESP-1</t>
  </si>
  <si>
    <t>DUOVA</t>
  </si>
  <si>
    <t>INHALER 120MD</t>
  </si>
  <si>
    <t>ROTACAP 30TAB</t>
  </si>
  <si>
    <t>GLYCOHALE F</t>
  </si>
  <si>
    <t>MAXIFLO 100</t>
  </si>
  <si>
    <t>MAXIFLO 125</t>
  </si>
  <si>
    <t>MAXIFLO 250</t>
  </si>
  <si>
    <t>MAXIFLO</t>
  </si>
  <si>
    <t>FORTE ROTACAP 30CAP</t>
  </si>
  <si>
    <t>MINI</t>
  </si>
  <si>
    <t>ZEROSTAT SPACER 1Pc</t>
  </si>
  <si>
    <t>MUCINAC 200</t>
  </si>
  <si>
    <t>MUCINAC 600</t>
  </si>
  <si>
    <t>MUCINAC AB</t>
  </si>
  <si>
    <t>REVOLIZER 1UNIT</t>
  </si>
  <si>
    <t>1PACK</t>
  </si>
  <si>
    <t>PLUS POWDER 200GM</t>
  </si>
  <si>
    <t>SEROFLO 100</t>
  </si>
  <si>
    <t>SEROFLO 125</t>
  </si>
  <si>
    <t>ECOPACK INHALER 200MD</t>
  </si>
  <si>
    <t>MG INHALER 120MD</t>
  </si>
  <si>
    <t>SYNCHROBREATHE IN 120MD</t>
  </si>
  <si>
    <t>SEROFLO 250</t>
  </si>
  <si>
    <t>MG ROTACAP 30TAB</t>
  </si>
  <si>
    <t>MULTIHALER 30DOS</t>
  </si>
  <si>
    <t>SEROFLO 500</t>
  </si>
  <si>
    <t>SEROFLO 50</t>
  </si>
  <si>
    <t>TIOVA</t>
  </si>
  <si>
    <t>ROTACAP 15CAP</t>
  </si>
  <si>
    <t>ROTACAPS 30CAP</t>
  </si>
  <si>
    <t>TRIOHALE</t>
  </si>
  <si>
    <t>INHALER 1PACK</t>
  </si>
  <si>
    <t>ZEROSTAT</t>
  </si>
  <si>
    <t>SPACER 1PACK</t>
  </si>
  <si>
    <t>CIPLA M RESP-2</t>
  </si>
  <si>
    <t>100 MG INHALER 200MD</t>
  </si>
  <si>
    <t>200 MG INHALER 200MD</t>
  </si>
  <si>
    <t>CICLOHALE</t>
  </si>
  <si>
    <t>160 MCG INHALER 120MD</t>
  </si>
  <si>
    <t>80 MCG INHALER 120MD</t>
  </si>
  <si>
    <t>DUOLIN</t>
  </si>
  <si>
    <t>FORACORT</t>
  </si>
  <si>
    <t>100 MG INHALER 120MD</t>
  </si>
  <si>
    <t>200 MG INHALER 120MD</t>
  </si>
  <si>
    <t>200 SYNCHROBREATHS 120MD</t>
  </si>
  <si>
    <t>400 MG INHALER 120MD</t>
  </si>
  <si>
    <t>FORTE INHALER 120MD</t>
  </si>
  <si>
    <t>FULLFORM</t>
  </si>
  <si>
    <t>Continued..23</t>
  </si>
  <si>
    <t>No..23</t>
  </si>
  <si>
    <t>MONTAIR 10</t>
  </si>
  <si>
    <t>NEW BABY</t>
  </si>
  <si>
    <t>MASK 1PACK</t>
  </si>
  <si>
    <t>NIVEOLI</t>
  </si>
  <si>
    <t>ZEROSTAT VT</t>
  </si>
  <si>
    <t>CIPLA M RESP-3</t>
  </si>
  <si>
    <t>AEROCORT</t>
  </si>
  <si>
    <t>RESP.SOLUTION 15ML</t>
  </si>
  <si>
    <t>RESPULES 2.5ML</t>
  </si>
  <si>
    <t>ROTACAPS 60CAP</t>
  </si>
  <si>
    <t>AZIMAX 100</t>
  </si>
  <si>
    <t>AZIMAX 200</t>
  </si>
  <si>
    <t>MG DRY SYP 15ML</t>
  </si>
  <si>
    <t>AZIMAX 250</t>
  </si>
  <si>
    <t>AZIMAX 500</t>
  </si>
  <si>
    <t>MG TAB 3TAB</t>
  </si>
  <si>
    <t>0.5 MG RESPULES 2ML</t>
  </si>
  <si>
    <t>BUDECORT 1</t>
  </si>
  <si>
    <t>MG RESPULES 2ML</t>
  </si>
  <si>
    <t>BUDESAL 0.5</t>
  </si>
  <si>
    <t>MG RESPULES 2.5ML</t>
  </si>
  <si>
    <t>BUDESAL 1</t>
  </si>
  <si>
    <t>DUOLIN LD</t>
  </si>
  <si>
    <t>FLOHALE 0.5</t>
  </si>
  <si>
    <t>FORACORT 1</t>
  </si>
  <si>
    <t>INHALEX</t>
  </si>
  <si>
    <t>RESPULES 2ML</t>
  </si>
  <si>
    <t>0.31 MG RESPULES 3ML</t>
  </si>
  <si>
    <t>0.63 MG RESPULES 2.5ML</t>
  </si>
  <si>
    <t>1.25 MG RESPULES 2.5ML</t>
  </si>
  <si>
    <t>MOXICIP 400</t>
  </si>
  <si>
    <t>MUCINAC INJ</t>
  </si>
  <si>
    <t>TOBAMIST</t>
  </si>
  <si>
    <t>RESPULES 5ML</t>
  </si>
  <si>
    <t>CIPLA M RESP-3 NEBULIZATION</t>
  </si>
  <si>
    <t>DUOLIN 3</t>
  </si>
  <si>
    <t>RESPULES 3ML</t>
  </si>
  <si>
    <t>GLYCOHALE</t>
  </si>
  <si>
    <t>RESPULES 1ML</t>
  </si>
  <si>
    <t>CIPLA N RHUMATOLOGY</t>
  </si>
  <si>
    <t>LEFUMIDE 10</t>
  </si>
  <si>
    <t>LEFUMIDE 20</t>
  </si>
  <si>
    <t>CIPLA N SPECIALITIES 1</t>
  </si>
  <si>
    <t>CIPEG</t>
  </si>
  <si>
    <t>POWDER 121GM</t>
  </si>
  <si>
    <t>FERTOLET</t>
  </si>
  <si>
    <t>MISOPROST</t>
  </si>
  <si>
    <t>200 MCG TAB 4TAB</t>
  </si>
  <si>
    <t>CIPLA N SPECIALITIES 2</t>
  </si>
  <si>
    <t>CIPGEST 2</t>
  </si>
  <si>
    <t>CRISANTA LS</t>
  </si>
  <si>
    <t>@ 24TAB</t>
  </si>
  <si>
    <t>CRISANTA</t>
  </si>
  <si>
    <t>TAB 21TAB@</t>
  </si>
  <si>
    <t>DANOGEN 100</t>
  </si>
  <si>
    <t>DANOGEN 200</t>
  </si>
  <si>
    <t>Continued..24</t>
  </si>
  <si>
    <t>No..24</t>
  </si>
  <si>
    <t>DANOGEN 50</t>
  </si>
  <si>
    <t>ENDOGEST</t>
  </si>
  <si>
    <t>200 MG CAP 10CAP</t>
  </si>
  <si>
    <t>ENDOGEST SR</t>
  </si>
  <si>
    <t>EVERFRESH</t>
  </si>
  <si>
    <t>LACTIC ACID HY.WASH 100ML</t>
  </si>
  <si>
    <t>FERTOMID</t>
  </si>
  <si>
    <t>FERTOMID 25</t>
  </si>
  <si>
    <t>FERTOMID 50</t>
  </si>
  <si>
    <t>GINETTE 35</t>
  </si>
  <si>
    <t>MG TAB 28TAB</t>
  </si>
  <si>
    <t>IBUGESIC TH</t>
  </si>
  <si>
    <t>25 MG TAB 4TAB</t>
  </si>
  <si>
    <t>600 MG TAB 1TAB</t>
  </si>
  <si>
    <t>PRASTOVA SR</t>
  </si>
  <si>
    <t>75 MG TAB 7TAB</t>
  </si>
  <si>
    <t>CIPLA N SPECIALITIES 3</t>
  </si>
  <si>
    <t>D SOL 60 K</t>
  </si>
  <si>
    <t>FEBUCIP 40</t>
  </si>
  <si>
    <t>FEBUCIP 80</t>
  </si>
  <si>
    <t>OSTEOFOS 35</t>
  </si>
  <si>
    <t>OSTEOFOS 70</t>
  </si>
  <si>
    <t>RISOFOS 150</t>
  </si>
  <si>
    <t>RISOFOS 35</t>
  </si>
  <si>
    <t>RISOFOS KIT</t>
  </si>
  <si>
    <t>TAB 1KIT</t>
  </si>
  <si>
    <t>VOLTANEC PR</t>
  </si>
  <si>
    <t>CIPLA O VITALIS BASAGLAR</t>
  </si>
  <si>
    <t>BASAGLAR</t>
  </si>
  <si>
    <t>CARTIDGES 5*3ML</t>
  </si>
  <si>
    <t>KWIK PEN 5*3ML</t>
  </si>
  <si>
    <t>CIPLA O VITALIS LCZ</t>
  </si>
  <si>
    <t>AZMARDA 100</t>
  </si>
  <si>
    <t>AZMARDA 200</t>
  </si>
  <si>
    <t>AZMARDA 50</t>
  </si>
  <si>
    <t>CIPLA O VITALIS-1</t>
  </si>
  <si>
    <t>ATORLIP F</t>
  </si>
  <si>
    <t>CARLOC 12.5</t>
  </si>
  <si>
    <t>CARLOC</t>
  </si>
  <si>
    <t>3.125 MG TAB 10TAB</t>
  </si>
  <si>
    <t>3.125 MG TAB 15TAB</t>
  </si>
  <si>
    <t>CARLOC 6.25</t>
  </si>
  <si>
    <t>CILOGARD 20</t>
  </si>
  <si>
    <t>IVABEAT 5</t>
  </si>
  <si>
    <t>METOLAR 100</t>
  </si>
  <si>
    <t>METOLAR 25</t>
  </si>
  <si>
    <t>METOLAR 50</t>
  </si>
  <si>
    <t>METOLAR AM</t>
  </si>
  <si>
    <t>METOLAR TL</t>
  </si>
  <si>
    <t>METOLAR XR</t>
  </si>
  <si>
    <t>12.5 MG CAP 15CAP</t>
  </si>
  <si>
    <t>50 MG CAP 15CAP</t>
  </si>
  <si>
    <t>METOLAR XT</t>
  </si>
  <si>
    <t>Continued..25</t>
  </si>
  <si>
    <t>No..25</t>
  </si>
  <si>
    <t>OLMECIP 20</t>
  </si>
  <si>
    <t>OLMECIP 40</t>
  </si>
  <si>
    <t>OLMECIP AM</t>
  </si>
  <si>
    <t>OLMECIP H</t>
  </si>
  <si>
    <t>OLMECIP</t>
  </si>
  <si>
    <t>PLETOZ 100</t>
  </si>
  <si>
    <t>PLETOZ 50</t>
  </si>
  <si>
    <t>PRANDIAL</t>
  </si>
  <si>
    <t>0.2 MG TAB 10TAB</t>
  </si>
  <si>
    <t>0.3 MG TAB 10TAB</t>
  </si>
  <si>
    <t>PRANDIAL M</t>
  </si>
  <si>
    <t>STARPILL</t>
  </si>
  <si>
    <t>TECHLOR 40</t>
  </si>
  <si>
    <t>TECHLOR 80</t>
  </si>
  <si>
    <t>TICACIP 90</t>
  </si>
  <si>
    <t>ZAART 25 MG</t>
  </si>
  <si>
    <t>ZAART 50 MG</t>
  </si>
  <si>
    <t>CIPLA O VITALIS-2</t>
  </si>
  <si>
    <t>CIPLAR 10</t>
  </si>
  <si>
    <t>CIPLAR 40</t>
  </si>
  <si>
    <t>CIPLAR LA</t>
  </si>
  <si>
    <t>20 MG TAB 15TAB</t>
  </si>
  <si>
    <t>CLOPIVAS 75</t>
  </si>
  <si>
    <t>CLOPIVAS AP</t>
  </si>
  <si>
    <t>150 MG TAB 15TAB</t>
  </si>
  <si>
    <t>75 MG TAB 15TAB</t>
  </si>
  <si>
    <t>FENOLIP 145</t>
  </si>
  <si>
    <t>PROMINAD</t>
  </si>
  <si>
    <t>ROSULIP 10</t>
  </si>
  <si>
    <t>ROSULIP 20</t>
  </si>
  <si>
    <t>ROSULIP 40</t>
  </si>
  <si>
    <t>ROSULIP 5</t>
  </si>
  <si>
    <t>ROSULIP ASP</t>
  </si>
  <si>
    <t>ROSULIP CV</t>
  </si>
  <si>
    <t>10 MG CAP 10CAP</t>
  </si>
  <si>
    <t>20 MG CAP 10CAP</t>
  </si>
  <si>
    <t>ROSULIP F</t>
  </si>
  <si>
    <t>ROSULIP F 5</t>
  </si>
  <si>
    <t>ROSULIP</t>
  </si>
  <si>
    <t>GOLD 10 MG CAP 10CAP</t>
  </si>
  <si>
    <t>GOLD 20 MG CAP 10CAP</t>
  </si>
  <si>
    <t>TRIVEDON MR</t>
  </si>
  <si>
    <t>ZILANCE 40</t>
  </si>
  <si>
    <t>ZILANCE 80</t>
  </si>
  <si>
    <t>CIPLA O VITALIS-3</t>
  </si>
  <si>
    <t>CRESAR 20</t>
  </si>
  <si>
    <t>CRESAR 40</t>
  </si>
  <si>
    <t>CRESAR 80</t>
  </si>
  <si>
    <t>CRESAR AM</t>
  </si>
  <si>
    <t>CRESAR CT</t>
  </si>
  <si>
    <t>6.25 MG TAB 10TAB</t>
  </si>
  <si>
    <t>CRESAR H 80</t>
  </si>
  <si>
    <t>CRESAR H</t>
  </si>
  <si>
    <t>Continued..26</t>
  </si>
  <si>
    <t>No..26</t>
  </si>
  <si>
    <t>CRESAR PLUS</t>
  </si>
  <si>
    <t>EXERMET</t>
  </si>
  <si>
    <t>1000 MG TAB 15TAB</t>
  </si>
  <si>
    <t>EXERMET 500</t>
  </si>
  <si>
    <t>EXERMET 850</t>
  </si>
  <si>
    <t>EXERMET GM</t>
  </si>
  <si>
    <t>501 MG TAB 15TAB</t>
  </si>
  <si>
    <t>502 MG TAB 15TAB</t>
  </si>
  <si>
    <t>EXERMET SR</t>
  </si>
  <si>
    <t>NEBICIP 5</t>
  </si>
  <si>
    <t>NOVA PLUS</t>
  </si>
  <si>
    <t>OMALASOFT</t>
  </si>
  <si>
    <t>TRIEXER 1</t>
  </si>
  <si>
    <t>KIT TAB 1KIT</t>
  </si>
  <si>
    <t>TRIEXER 2</t>
  </si>
  <si>
    <t>TRIEXER 3</t>
  </si>
  <si>
    <t>TRIEXER LS</t>
  </si>
  <si>
    <t>VYSOV 50 MG</t>
  </si>
  <si>
    <t>VYSOV M</t>
  </si>
  <si>
    <t>50/1000 MG TAB 15TAB</t>
  </si>
  <si>
    <t>50/850 MG TAB 10TAB</t>
  </si>
  <si>
    <t>CIPLA O VITALIS-4</t>
  </si>
  <si>
    <t>AMLOPRES 10</t>
  </si>
  <si>
    <t>AMLOPRES</t>
  </si>
  <si>
    <t>2.5 MG TAB 15TAB</t>
  </si>
  <si>
    <t>AMLOPRES 5</t>
  </si>
  <si>
    <t>AMLOPRES AT</t>
  </si>
  <si>
    <t>AMLOPRES L</t>
  </si>
  <si>
    <t>5 5 TAB 15TAB</t>
  </si>
  <si>
    <t>ATORLIP 10</t>
  </si>
  <si>
    <t>ATORLIP 20</t>
  </si>
  <si>
    <t>ATORLIP 40</t>
  </si>
  <si>
    <t>ATORLIP 5</t>
  </si>
  <si>
    <t>ATORLIP 80</t>
  </si>
  <si>
    <t>MG TAB 7TAB</t>
  </si>
  <si>
    <t>ATORLIP ASP</t>
  </si>
  <si>
    <t>ATORLIP CV</t>
  </si>
  <si>
    <t>ATORLIP</t>
  </si>
  <si>
    <t>DYTOR 100</t>
  </si>
  <si>
    <t>DYTOR 10 MG</t>
  </si>
  <si>
    <t>DYTOR 20 MG</t>
  </si>
  <si>
    <t>DYTOR 40 MG</t>
  </si>
  <si>
    <t>DYTOR 5 MG</t>
  </si>
  <si>
    <t>DYTOR E 10</t>
  </si>
  <si>
    <t>DYTOR E 20</t>
  </si>
  <si>
    <t>DYTOR</t>
  </si>
  <si>
    <t>INJECTION 2ML</t>
  </si>
  <si>
    <t>DYTOR PLUS</t>
  </si>
  <si>
    <t>10 MG TAB 15TAB</t>
  </si>
  <si>
    <t>5 MG TAB 15TAB</t>
  </si>
  <si>
    <t>LS TAB 15TAB</t>
  </si>
  <si>
    <t>EPLERITE 25</t>
  </si>
  <si>
    <t>EPLERITE 50</t>
  </si>
  <si>
    <t>RAMIPRES 10</t>
  </si>
  <si>
    <t>RAMIPRES</t>
  </si>
  <si>
    <t>1.25 MG TAB 10TAB</t>
  </si>
  <si>
    <t>Continued..27</t>
  </si>
  <si>
    <t>No..27</t>
  </si>
  <si>
    <t>RAMIPRES 5</t>
  </si>
  <si>
    <t>RAMIPRES H</t>
  </si>
  <si>
    <t>CIPLA O VITALIS-5</t>
  </si>
  <si>
    <t>AMLOPRES TL</t>
  </si>
  <si>
    <t>ENCLEX 40</t>
  </si>
  <si>
    <t>MG PRE FILL.SYR 0.4ML</t>
  </si>
  <si>
    <t>ENCLEX 60</t>
  </si>
  <si>
    <t>MG PRE FILL.SYR 0.6ML</t>
  </si>
  <si>
    <t>PRASUVAS 10</t>
  </si>
  <si>
    <t>SOTALAR 40</t>
  </si>
  <si>
    <t>TACHYRA 100</t>
  </si>
  <si>
    <t>TACHYRA 200</t>
  </si>
  <si>
    <t>TIROCIP</t>
  </si>
  <si>
    <t>INJECTION 100ML</t>
  </si>
  <si>
    <t>WARF 1 MG</t>
  </si>
  <si>
    <t>WARF 2 MG</t>
  </si>
  <si>
    <t>WARF 3 MG</t>
  </si>
  <si>
    <t>WARF 5 MG</t>
  </si>
  <si>
    <t>CIPLA Q XTERNA 2</t>
  </si>
  <si>
    <t>8 X CREAM</t>
  </si>
  <si>
    <t>8X SHAMPOO</t>
  </si>
  <si>
    <t>ACNEDAP GEL</t>
  </si>
  <si>
    <t>ACNEDEP</t>
  </si>
  <si>
    <t>PLUS GEL 15GM</t>
  </si>
  <si>
    <t>ADGAIN PLUS</t>
  </si>
  <si>
    <t>AUXERG</t>
  </si>
  <si>
    <t>DIVAINE 100</t>
  </si>
  <si>
    <t>FAMTREX 250</t>
  </si>
  <si>
    <t>FINPECIA</t>
  </si>
  <si>
    <t>NADIBACT</t>
  </si>
  <si>
    <t>GEL 10GM</t>
  </si>
  <si>
    <t>PLUS CREAM 7.5GM</t>
  </si>
  <si>
    <t>SASLIC DS</t>
  </si>
  <si>
    <t>FOAMING WASH 60ML</t>
  </si>
  <si>
    <t>SASLIC</t>
  </si>
  <si>
    <t>SERTACIDE B</t>
  </si>
  <si>
    <t>SERTACIDE</t>
  </si>
  <si>
    <t>TOPCORT</t>
  </si>
  <si>
    <t>TUGAIN 10%</t>
  </si>
  <si>
    <t>FOAM 60GM</t>
  </si>
  <si>
    <t>LOTION 100ML</t>
  </si>
  <si>
    <t>TUGAIN 2%</t>
  </si>
  <si>
    <t>FOAM 60MG</t>
  </si>
  <si>
    <t>TUGAIN 5%</t>
  </si>
  <si>
    <t>GEL 60GM</t>
  </si>
  <si>
    <t>TUGAIN MEN</t>
  </si>
  <si>
    <t>5% 60ML</t>
  </si>
  <si>
    <t>VC-15 SERUM</t>
  </si>
  <si>
    <t>VC 15 SERUM</t>
  </si>
  <si>
    <t>XGAIN HAIR</t>
  </si>
  <si>
    <t>SERUM 50ML</t>
  </si>
  <si>
    <t>XGAIN</t>
  </si>
  <si>
    <t>SHAMPOO 100ML</t>
  </si>
  <si>
    <t>SHAMPOO 200ML</t>
  </si>
  <si>
    <t>CIPLA Q XTERNA 3</t>
  </si>
  <si>
    <t>EXCELA RICH</t>
  </si>
  <si>
    <t>FACIAL LOTION 50GM</t>
  </si>
  <si>
    <t>SUNSC.50SPF 50ML</t>
  </si>
  <si>
    <t>VC-X SERUM</t>
  </si>
  <si>
    <t>10ML</t>
  </si>
  <si>
    <t>Continued..28</t>
  </si>
  <si>
    <t>No..28</t>
  </si>
  <si>
    <t>PATMET 1 GM</t>
  </si>
  <si>
    <t>PATMET G 1</t>
  </si>
  <si>
    <t>PATMET G 2</t>
  </si>
  <si>
    <t>PATMET PG 1</t>
  </si>
  <si>
    <t>PATMET PG 2</t>
  </si>
  <si>
    <t>PATMET VG 1</t>
  </si>
  <si>
    <t>PATMET VG 2</t>
  </si>
  <si>
    <t>PATRAB D</t>
  </si>
  <si>
    <t>PATROSE 20</t>
  </si>
  <si>
    <t>PATROSE 5</t>
  </si>
  <si>
    <t>PATTEN M</t>
  </si>
  <si>
    <t>PATVIT D</t>
  </si>
  <si>
    <t>PATVIT GOLD</t>
  </si>
  <si>
    <t>DUPHAR (SOLVAY) ORG-1</t>
  </si>
  <si>
    <t>DUPHALAC</t>
  </si>
  <si>
    <t>SYP 150ML</t>
  </si>
  <si>
    <t>SYP 250ML</t>
  </si>
  <si>
    <t>DUPHASTON</t>
  </si>
  <si>
    <t>DUVADILAN</t>
  </si>
  <si>
    <t>RETARD CAP 10CAP</t>
  </si>
  <si>
    <t>PROTHIDIAN</t>
  </si>
  <si>
    <t>M 50 MG TAB 10TAB</t>
  </si>
  <si>
    <t>ROWASA 1 GM</t>
  </si>
  <si>
    <t>ROWASA 500</t>
  </si>
  <si>
    <t>MG SACHET 500MG</t>
  </si>
  <si>
    <t>UDILIV 150</t>
  </si>
  <si>
    <t>UDILIV 300</t>
  </si>
  <si>
    <t>UDILIV 600</t>
  </si>
  <si>
    <t>DUPHAR (SOLVAY) ORG-2</t>
  </si>
  <si>
    <t>PANKREOFLAT</t>
  </si>
  <si>
    <t>SOLSPRE</t>
  </si>
  <si>
    <t>SPRAY 100ML</t>
  </si>
  <si>
    <t>VERTIN 16</t>
  </si>
  <si>
    <t>VERTIN 24</t>
  </si>
  <si>
    <t>VERTIN 8 MG</t>
  </si>
  <si>
    <t>VERTIN OD</t>
  </si>
  <si>
    <t>24 MG TAB 7TAB</t>
  </si>
  <si>
    <t>EMCURE CRIANTE</t>
  </si>
  <si>
    <t>LIPIRA 10</t>
  </si>
  <si>
    <t>SEMI XILIA</t>
  </si>
  <si>
    <t>MP 1 MG TAB 10TAB</t>
  </si>
  <si>
    <t>MP 2 MG TAB 10TAB</t>
  </si>
  <si>
    <t>STABOSE 0.2</t>
  </si>
  <si>
    <t>STABOSE 0.3</t>
  </si>
  <si>
    <t>STABOSE M</t>
  </si>
  <si>
    <t>EMCURE XENNEA C</t>
  </si>
  <si>
    <t>FERIUM XT</t>
  </si>
  <si>
    <t>SUSP. 150ML</t>
  </si>
  <si>
    <t>FERIUM XT +</t>
  </si>
  <si>
    <t>GALACT</t>
  </si>
  <si>
    <t>GRANULES 200GM</t>
  </si>
  <si>
    <t>SYLATE 250</t>
  </si>
  <si>
    <t>SYLATE 500</t>
  </si>
  <si>
    <t>SYLATE CVP</t>
  </si>
  <si>
    <t>SYLATE INJ.</t>
  </si>
  <si>
    <t>SYLATE M</t>
  </si>
  <si>
    <t>SYLATE T</t>
  </si>
  <si>
    <t>Continued..29</t>
  </si>
  <si>
    <t>No..29</t>
  </si>
  <si>
    <t>EMCURE A EMCURE CD</t>
  </si>
  <si>
    <t>CONSIVAS 10</t>
  </si>
  <si>
    <t>CONSIVAS 20</t>
  </si>
  <si>
    <t>CONSIVAS 40</t>
  </si>
  <si>
    <t>CONSIVAS 5</t>
  </si>
  <si>
    <t>CONSIVAS</t>
  </si>
  <si>
    <t>ASP CAP 10CAP</t>
  </si>
  <si>
    <t>CONSIVAS F</t>
  </si>
  <si>
    <t>10/160 MG TAB 10TAB</t>
  </si>
  <si>
    <t>G3N 2.6 MG</t>
  </si>
  <si>
    <t>TAB 25TAB</t>
  </si>
  <si>
    <t>G3N 6.4 MG</t>
  </si>
  <si>
    <t>GABA HOSIT</t>
  </si>
  <si>
    <t>GIPSOV M</t>
  </si>
  <si>
    <t>20/500 MG TAB 15TAB</t>
  </si>
  <si>
    <t>GLIPSOV M</t>
  </si>
  <si>
    <t>20/1000 MG TAB 10TAB</t>
  </si>
  <si>
    <t>20/500 MG TAB 10TAB</t>
  </si>
  <si>
    <t>HOSIT D3</t>
  </si>
  <si>
    <t>HOSIT FORTE</t>
  </si>
  <si>
    <t>HOSIT INJ.</t>
  </si>
  <si>
    <t>HOSIT PLUS</t>
  </si>
  <si>
    <t>HOSIT XT</t>
  </si>
  <si>
    <t>NUMLO AT</t>
  </si>
  <si>
    <t>NUMLO D 5</t>
  </si>
  <si>
    <t>NUMLO-M 5</t>
  </si>
  <si>
    <t>NUMLO TM 5</t>
  </si>
  <si>
    <t>NUMLO TM</t>
  </si>
  <si>
    <t>NUSAR 25 MG</t>
  </si>
  <si>
    <t>NUSAR 50 MG</t>
  </si>
  <si>
    <t>NUSAR AM</t>
  </si>
  <si>
    <t>NUSAR ATN</t>
  </si>
  <si>
    <t>OLMEGARD 20</t>
  </si>
  <si>
    <t>OLMEGARD 40</t>
  </si>
  <si>
    <t>OLMEGARD AM</t>
  </si>
  <si>
    <t>OLMEGARD CT</t>
  </si>
  <si>
    <t>OLMEGARD H</t>
  </si>
  <si>
    <t>S NUMLO 2.5</t>
  </si>
  <si>
    <t>S NUMLO 5</t>
  </si>
  <si>
    <t>TRIOLVANCE</t>
  </si>
  <si>
    <t>VYLDA M</t>
  </si>
  <si>
    <t>VYLDA M 500</t>
  </si>
  <si>
    <t>XILIA 1 MG</t>
  </si>
  <si>
    <t>XILIA 2 MG</t>
  </si>
  <si>
    <t>XILIA M 1</t>
  </si>
  <si>
    <t>MG FORTE TAB 10TAB</t>
  </si>
  <si>
    <t>XILIA M 2</t>
  </si>
  <si>
    <t>Continued..30</t>
  </si>
  <si>
    <t>No..30</t>
  </si>
  <si>
    <t>XILIA MP 1</t>
  </si>
  <si>
    <t>XILIA MP 2</t>
  </si>
  <si>
    <t>XILIA TRIO</t>
  </si>
  <si>
    <t>ZILARBI 40</t>
  </si>
  <si>
    <t>ZILARBI 80</t>
  </si>
  <si>
    <t>ZILARBI CN</t>
  </si>
  <si>
    <t>ZILARBI CT</t>
  </si>
  <si>
    <t>12.5 MG TAB 10TAB</t>
  </si>
  <si>
    <t>EMCURE A NUCRON</t>
  </si>
  <si>
    <t>ATOREC 10</t>
  </si>
  <si>
    <t>ATOREC 20</t>
  </si>
  <si>
    <t>ATOREC ASP</t>
  </si>
  <si>
    <t>ATOREC CV</t>
  </si>
  <si>
    <t>10 CAP 10CAP</t>
  </si>
  <si>
    <t>20 CAP 10CAP</t>
  </si>
  <si>
    <t>ATOREC EZ</t>
  </si>
  <si>
    <t>BEAT HF-5</t>
  </si>
  <si>
    <t>DABITRA 110</t>
  </si>
  <si>
    <t>DABITRA 150</t>
  </si>
  <si>
    <t>EMDIP 8 MG</t>
  </si>
  <si>
    <t>FERIUM 1K</t>
  </si>
  <si>
    <t>INJECTION 20ML</t>
  </si>
  <si>
    <t>FULL 24 MG</t>
  </si>
  <si>
    <t>METPURE AM</t>
  </si>
  <si>
    <t>METPURE H</t>
  </si>
  <si>
    <t>METPURE TEL</t>
  </si>
  <si>
    <t>METPURE XL</t>
  </si>
  <si>
    <t>NUCARNIT</t>
  </si>
  <si>
    <t>NUCARNIT F</t>
  </si>
  <si>
    <t>NUCORIL 5</t>
  </si>
  <si>
    <t>NUCORIL OD</t>
  </si>
  <si>
    <t>TAB 20TAB</t>
  </si>
  <si>
    <t>TEMSAN 20</t>
  </si>
  <si>
    <t>TEMSAN 40</t>
  </si>
  <si>
    <t>TEMSAN 80</t>
  </si>
  <si>
    <t>TEMSAN AM 5</t>
  </si>
  <si>
    <t>TEMSAN AM</t>
  </si>
  <si>
    <t>TEMSAN CT</t>
  </si>
  <si>
    <t>TEMSAN H 80</t>
  </si>
  <si>
    <t>TEMSAN H</t>
  </si>
  <si>
    <t>EMCURE B MAIN PHARMA</t>
  </si>
  <si>
    <t>ASOMEX 1.25</t>
  </si>
  <si>
    <t>ASOMEX 2.5</t>
  </si>
  <si>
    <t>ASOMEX 5 MG</t>
  </si>
  <si>
    <t>ASOMEX AT</t>
  </si>
  <si>
    <t>ASOMEX AT 5</t>
  </si>
  <si>
    <t>ASOMEX D 5</t>
  </si>
  <si>
    <t>Continued..31</t>
  </si>
  <si>
    <t>No..31</t>
  </si>
  <si>
    <t>ASOMEX D</t>
  </si>
  <si>
    <t>ASOMEX LT</t>
  </si>
  <si>
    <t>ASOMEX OH</t>
  </si>
  <si>
    <t>ASOMEX TM</t>
  </si>
  <si>
    <t>CALONAT D3</t>
  </si>
  <si>
    <t>DAONIL M</t>
  </si>
  <si>
    <t>EMCORIL DX</t>
  </si>
  <si>
    <t>EMSULIDE P</t>
  </si>
  <si>
    <t>5CAP</t>
  </si>
  <si>
    <t>LACTACYD</t>
  </si>
  <si>
    <t>HYGIENE WASH 100ML</t>
  </si>
  <si>
    <t>OROFER FCM</t>
  </si>
  <si>
    <t>1 K INJ. 20ML</t>
  </si>
  <si>
    <t>500 MG INJ. 10ML</t>
  </si>
  <si>
    <t>OROFER S</t>
  </si>
  <si>
    <t>100 MG INJ. 5ML</t>
  </si>
  <si>
    <t>200 MG INJ. 10ML</t>
  </si>
  <si>
    <t>INJ. 2.5ML</t>
  </si>
  <si>
    <t>OROFER XT</t>
  </si>
  <si>
    <t>30TAB EACH</t>
  </si>
  <si>
    <t>OROFER XT +</t>
  </si>
  <si>
    <t>TOTAL TAB 10TAB</t>
  </si>
  <si>
    <t>PAUSE 500</t>
  </si>
  <si>
    <t>PAUSE MF</t>
  </si>
  <si>
    <t>PAUSE XT</t>
  </si>
  <si>
    <t>SEMI DAONIL</t>
  </si>
  <si>
    <t>THIAKLOR</t>
  </si>
  <si>
    <t>XPLODE</t>
  </si>
  <si>
    <t>POWDER $ 200GM</t>
  </si>
  <si>
    <t>XPLODE TAB</t>
  </si>
  <si>
    <t>EMCURE D XENNEX</t>
  </si>
  <si>
    <t>15CAP</t>
  </si>
  <si>
    <t>CELOL-D3</t>
  </si>
  <si>
    <t>CELOL D3 +</t>
  </si>
  <si>
    <t>CELOL +</t>
  </si>
  <si>
    <t>TABLET 10TAB</t>
  </si>
  <si>
    <t>CELOL XT</t>
  </si>
  <si>
    <t>EMANZEN D</t>
  </si>
  <si>
    <t>FERIUM</t>
  </si>
  <si>
    <t>CHEWABLE TAB 10TAB</t>
  </si>
  <si>
    <t>FERIUM D3</t>
  </si>
  <si>
    <t>TAB 1*10TAB</t>
  </si>
  <si>
    <t>SYRUP 150ML</t>
  </si>
  <si>
    <t>PROXYM 200</t>
  </si>
  <si>
    <t>PROXYM 300</t>
  </si>
  <si>
    <t>PROXYM ER</t>
  </si>
  <si>
    <t>PROXYM XT</t>
  </si>
  <si>
    <t>RACIPER L</t>
  </si>
  <si>
    <t>TAMLET 2 MG</t>
  </si>
  <si>
    <t>TAMLET 4 MG</t>
  </si>
  <si>
    <t>EMCURE F NEURO SCIENCE</t>
  </si>
  <si>
    <t>EMCURE F ZEMCURE</t>
  </si>
  <si>
    <t>FULL 24</t>
  </si>
  <si>
    <t>INJ. 1ML</t>
  </si>
  <si>
    <t>EMCURE PHARMACEUTICALS LTD.</t>
  </si>
  <si>
    <t>ENCORE HEALTH CARE PVT.LTD.</t>
  </si>
  <si>
    <t>Continued..32</t>
  </si>
  <si>
    <t>No..32</t>
  </si>
  <si>
    <t>AD-CND 500</t>
  </si>
  <si>
    <t>ALVERISE</t>
  </si>
  <si>
    <t>CREAM 150GM</t>
  </si>
  <si>
    <t>LIT.CHAMP KIDS BAR 75GM</t>
  </si>
  <si>
    <t>SKIN FRIENDLY BAR 75GM</t>
  </si>
  <si>
    <t>ALVEXTRA</t>
  </si>
  <si>
    <t>CEFEXEPRESS-A TAB 10TAB</t>
  </si>
  <si>
    <t>CLINRED-A</t>
  </si>
  <si>
    <t>CLINRED B</t>
  </si>
  <si>
    <t>CLINRED GEL</t>
  </si>
  <si>
    <t>CLINRED-N</t>
  </si>
  <si>
    <t>D-WIK DROPS</t>
  </si>
  <si>
    <t>D-WIK</t>
  </si>
  <si>
    <t>D-WIK NANO</t>
  </si>
  <si>
    <t>4TAB</t>
  </si>
  <si>
    <t>FE-SENCY</t>
  </si>
  <si>
    <t>DROPS 30ML</t>
  </si>
  <si>
    <t>FE-SENSY</t>
  </si>
  <si>
    <t>FEXOKAST</t>
  </si>
  <si>
    <t>FORFORA</t>
  </si>
  <si>
    <t>FORFORA-Z</t>
  </si>
  <si>
    <t>SHAMPOO 75ML</t>
  </si>
  <si>
    <t>GLAMWITE</t>
  </si>
  <si>
    <t>HELPOTUS-LS</t>
  </si>
  <si>
    <t>DROPS 15ML</t>
  </si>
  <si>
    <t>HELPOTUS</t>
  </si>
  <si>
    <t>JIMLIG 100</t>
  </si>
  <si>
    <t>JIMLIG 200</t>
  </si>
  <si>
    <t>JIMLIG GEL</t>
  </si>
  <si>
    <t>LULIPOROS</t>
  </si>
  <si>
    <t>LOTION 10ML</t>
  </si>
  <si>
    <t>LULIPORUS</t>
  </si>
  <si>
    <t>MASKOSUN</t>
  </si>
  <si>
    <t>SPF LOTION 50ML</t>
  </si>
  <si>
    <t>MUMBELS</t>
  </si>
  <si>
    <t>PAWMENT</t>
  </si>
  <si>
    <t>TOPICAL APPLI. 25GM</t>
  </si>
  <si>
    <t>RESTIGERED-L CAP 10CAP</t>
  </si>
  <si>
    <t>SCINO 5</t>
  </si>
  <si>
    <t>TOPICAL SOLUTION 60ML</t>
  </si>
  <si>
    <t>SISOREST</t>
  </si>
  <si>
    <t>SISOREST-F</t>
  </si>
  <si>
    <t>SOTIL</t>
  </si>
  <si>
    <t>3TAB</t>
  </si>
  <si>
    <t>ZYGTER 250</t>
  </si>
  <si>
    <t>ZYGTER</t>
  </si>
  <si>
    <t>ENTOD (G-TACK DIV.)</t>
  </si>
  <si>
    <t>AUDIOVIT</t>
  </si>
  <si>
    <t>AZIFORCE</t>
  </si>
  <si>
    <t>BRONKOLYTE</t>
  </si>
  <si>
    <t>PD SYRUP 60ML</t>
  </si>
  <si>
    <t>BUDOHALE</t>
  </si>
  <si>
    <t>RESPULES 2*5ML</t>
  </si>
  <si>
    <t>CEFENTOD</t>
  </si>
  <si>
    <t>DUOHALE</t>
  </si>
  <si>
    <t>ENCLAV 625</t>
  </si>
  <si>
    <t>ENTOGESIC</t>
  </si>
  <si>
    <t>ENTOMACID</t>
  </si>
  <si>
    <t>DSR CAP 10CAP</t>
  </si>
  <si>
    <t>ENTOMED</t>
  </si>
  <si>
    <t>PLUS INH. 10CAP</t>
  </si>
  <si>
    <t>E-SALIVA</t>
  </si>
  <si>
    <t>PLUS MOUTH WASH 10ML</t>
  </si>
  <si>
    <t>FEXAGAON</t>
  </si>
  <si>
    <t>Continued..33</t>
  </si>
  <si>
    <t>No..33</t>
  </si>
  <si>
    <t>MEFENTOD</t>
  </si>
  <si>
    <t>MEFENTOD-P</t>
  </si>
  <si>
    <t>NASOLINE</t>
  </si>
  <si>
    <t>NASAL SPRAY 10ML</t>
  </si>
  <si>
    <t>ORINASE (A)</t>
  </si>
  <si>
    <t>OXY NASAL SPRAY 10ML</t>
  </si>
  <si>
    <t>ORINASE (P)</t>
  </si>
  <si>
    <t>OTOBIOTIC</t>
  </si>
  <si>
    <t>AB EAR DROPS 5ML</t>
  </si>
  <si>
    <t>PLAIN EAR DROPS 5ML</t>
  </si>
  <si>
    <t>PLUS EAR DROPS 5ML</t>
  </si>
  <si>
    <t>OTOCIL EAR</t>
  </si>
  <si>
    <t>OTOFUNGIN</t>
  </si>
  <si>
    <t>EAR DROPS 10ML</t>
  </si>
  <si>
    <t>OTOGON EAR</t>
  </si>
  <si>
    <t>RHINASE</t>
  </si>
  <si>
    <t>NASAL DROP 10ML</t>
  </si>
  <si>
    <t>RHINOFIT F</t>
  </si>
  <si>
    <t>NASAL SPRAY 6GM</t>
  </si>
  <si>
    <t>SINO PLUS</t>
  </si>
  <si>
    <t>TINNITOD</t>
  </si>
  <si>
    <t>WAXONIL</t>
  </si>
  <si>
    <t>ACTIV EAR DROPS 10ML</t>
  </si>
  <si>
    <t>WAXONIL KID</t>
  </si>
  <si>
    <t>ZINCOCID</t>
  </si>
  <si>
    <t>ENTOD PHARMACEUTICAL LTD.</t>
  </si>
  <si>
    <t>4 QUIN-BROM</t>
  </si>
  <si>
    <t>4 QUIN-D</t>
  </si>
  <si>
    <t>4 QUIN EYE</t>
  </si>
  <si>
    <t>DROPS 5ML</t>
  </si>
  <si>
    <t>4 QUIN LOT</t>
  </si>
  <si>
    <t>4 QUIN PFS</t>
  </si>
  <si>
    <t>DROPS 0.5ML</t>
  </si>
  <si>
    <t>BIOTEARS</t>
  </si>
  <si>
    <t>BSSOL 500</t>
  </si>
  <si>
    <t>BALANCE SALTSOL 500ML</t>
  </si>
  <si>
    <t>DUO-2 EYE</t>
  </si>
  <si>
    <t>E-FLO EYE</t>
  </si>
  <si>
    <t>ENLUBE EYE</t>
  </si>
  <si>
    <t>ENLUBE</t>
  </si>
  <si>
    <t>FUSION EYEDROPS 10ML</t>
  </si>
  <si>
    <t>ENMOX BD</t>
  </si>
  <si>
    <t>ENMOX EYE</t>
  </si>
  <si>
    <t>ENMOX PLUS</t>
  </si>
  <si>
    <t>ENPRED EYE</t>
  </si>
  <si>
    <t>ENTODASE</t>
  </si>
  <si>
    <t>INJECTION 1PACK</t>
  </si>
  <si>
    <t>FLUBICHLOR</t>
  </si>
  <si>
    <t>FLUBIGAT</t>
  </si>
  <si>
    <t>HYLA EYE</t>
  </si>
  <si>
    <t>HYLA FUSION</t>
  </si>
  <si>
    <t>HYLA PF EYE</t>
  </si>
  <si>
    <t>I-BORIC EYE</t>
  </si>
  <si>
    <t>I-DEW DS</t>
  </si>
  <si>
    <t>I-DEW EYE</t>
  </si>
  <si>
    <t>I-DEW</t>
  </si>
  <si>
    <t>SOOTHE EYE DROPS 10ML</t>
  </si>
  <si>
    <t>LACRYL-PF</t>
  </si>
  <si>
    <t>EYE GEL 5GM</t>
  </si>
  <si>
    <t>LACRYL</t>
  </si>
  <si>
    <t>LOC TEARS</t>
  </si>
  <si>
    <t>LOT EYE</t>
  </si>
  <si>
    <t>LOT LS EYE</t>
  </si>
  <si>
    <t>MOTOGRAM</t>
  </si>
  <si>
    <t>NEPATOP</t>
  </si>
  <si>
    <t>FREE EYE DROPS 5ML</t>
  </si>
  <si>
    <t>OLOPLUS KT</t>
  </si>
  <si>
    <t>OLOPLUS OD</t>
  </si>
  <si>
    <t>EYE DROPS 3ML</t>
  </si>
  <si>
    <t>OMEFLOX EYE</t>
  </si>
  <si>
    <t>OPTICOOL</t>
  </si>
  <si>
    <t>OPTIHIST</t>
  </si>
  <si>
    <t>OPTITHROCIN</t>
  </si>
  <si>
    <t>EYE OINTMENT 5GM</t>
  </si>
  <si>
    <t>TROMIDE</t>
  </si>
  <si>
    <t>PLUS EYE DROPS 5ML</t>
  </si>
  <si>
    <t>Continued..34</t>
  </si>
  <si>
    <t>No..34</t>
  </si>
  <si>
    <t>FDC A SPECTRA</t>
  </si>
  <si>
    <t>ENTEROPLUS</t>
  </si>
  <si>
    <t>LASTUSS CT</t>
  </si>
  <si>
    <t>LASTUSS LA</t>
  </si>
  <si>
    <t>SYP 60ML</t>
  </si>
  <si>
    <t>OTEK AC AF</t>
  </si>
  <si>
    <t>TEARMAX EYE</t>
  </si>
  <si>
    <t>ZIFI 100 MG</t>
  </si>
  <si>
    <t>DRY SYRUP 50ML</t>
  </si>
  <si>
    <t>DT 10TAB</t>
  </si>
  <si>
    <t>READYMIX 30ML</t>
  </si>
  <si>
    <t>READYMIX 50ML</t>
  </si>
  <si>
    <t>ZIFI 200 MG</t>
  </si>
  <si>
    <t>ZIFI 50 DRY</t>
  </si>
  <si>
    <t>ZIFI 50 MG</t>
  </si>
  <si>
    <t>ZIFI 50</t>
  </si>
  <si>
    <t>READYMIX SYP 30ML</t>
  </si>
  <si>
    <t>READYMIX SYRUP 60ML</t>
  </si>
  <si>
    <t>ZIFI AZ KID</t>
  </si>
  <si>
    <t>ZIFI CV 100</t>
  </si>
  <si>
    <t>MG DRY SYRUP 50ML</t>
  </si>
  <si>
    <t>ZIFI CV 200</t>
  </si>
  <si>
    <t>ZIFI CV 50</t>
  </si>
  <si>
    <t>MG DRY SYP 50ML</t>
  </si>
  <si>
    <t>ZIFI DROP</t>
  </si>
  <si>
    <t>ZIFI LBX</t>
  </si>
  <si>
    <t>ZIFI O 100</t>
  </si>
  <si>
    <t>ZIFI O 200</t>
  </si>
  <si>
    <t>ZIFI TURBO</t>
  </si>
  <si>
    <t>FDC B SELECT</t>
  </si>
  <si>
    <t>1 AL 5 MG</t>
  </si>
  <si>
    <t>1 AL SYP</t>
  </si>
  <si>
    <t>1 AL TOTAL</t>
  </si>
  <si>
    <t>ARFLUR 100</t>
  </si>
  <si>
    <t>ARFLUR 3D</t>
  </si>
  <si>
    <t>ARFLUR CR</t>
  </si>
  <si>
    <t>ARFLUR LBP</t>
  </si>
  <si>
    <t>CAP 5CAP</t>
  </si>
  <si>
    <t>ARFLUR P</t>
  </si>
  <si>
    <t>FDC D3 60K</t>
  </si>
  <si>
    <t>TAB 8TAB</t>
  </si>
  <si>
    <t>FLEMIKLOX</t>
  </si>
  <si>
    <t>LBX CAP 10CAP</t>
  </si>
  <si>
    <t>K TRIP</t>
  </si>
  <si>
    <t>K TRIP PLUS</t>
  </si>
  <si>
    <t>PYRIMON DF</t>
  </si>
  <si>
    <t>PYRIMON EYE</t>
  </si>
  <si>
    <t>RAPIDUCE</t>
  </si>
  <si>
    <t>TRIGUARD</t>
  </si>
  <si>
    <t>MOUTH WASH 100ML</t>
  </si>
  <si>
    <t>TOOTH PASTE 100GM</t>
  </si>
  <si>
    <t>VITCOBIN P</t>
  </si>
  <si>
    <t>VITCOFOL</t>
  </si>
  <si>
    <t>VITCOFOL C</t>
  </si>
  <si>
    <t>INJ. 1VIAL</t>
  </si>
  <si>
    <t>Continued..35</t>
  </si>
  <si>
    <t>No..35</t>
  </si>
  <si>
    <t>VITCOFOL HB</t>
  </si>
  <si>
    <t>INJ. 10ML</t>
  </si>
  <si>
    <t>VITCOFOL S</t>
  </si>
  <si>
    <t>SYP 180ML</t>
  </si>
  <si>
    <t>ZIPANT 40</t>
  </si>
  <si>
    <t>ZIPANT DSR</t>
  </si>
  <si>
    <t>ZIPOD 100</t>
  </si>
  <si>
    <t>ZIPOD 200</t>
  </si>
  <si>
    <t>ZIPOD 50 MG</t>
  </si>
  <si>
    <t>ZIPOD CV</t>
  </si>
  <si>
    <t>ZO 100 MG</t>
  </si>
  <si>
    <t>ZO 200 MG</t>
  </si>
  <si>
    <t>ZO 400 MG</t>
  </si>
  <si>
    <t>ZO 50 MG</t>
  </si>
  <si>
    <t>ZO IV</t>
  </si>
  <si>
    <t>ZOXAN D</t>
  </si>
  <si>
    <t>ZOXAN D EYE</t>
  </si>
  <si>
    <t>FDC C PROXIMA</t>
  </si>
  <si>
    <t>CLIP 500 MG</t>
  </si>
  <si>
    <t>ENERZAL</t>
  </si>
  <si>
    <t>APPLE DRINK 200ML</t>
  </si>
  <si>
    <t>LIME POWDER $ 50GM</t>
  </si>
  <si>
    <t>ORANGE DRINK $ 200ML</t>
  </si>
  <si>
    <t>ORANGE POWDER $ 100GM</t>
  </si>
  <si>
    <t>ORANGE POWDER $ 50GM</t>
  </si>
  <si>
    <t>HUMYL</t>
  </si>
  <si>
    <t>OCUCEL A</t>
  </si>
  <si>
    <t>OTEK AC</t>
  </si>
  <si>
    <t>PLUS EAR DROP 5ML</t>
  </si>
  <si>
    <t>ROLISTAT 10</t>
  </si>
  <si>
    <t>UV LUBE</t>
  </si>
  <si>
    <t>UNIMS 6*0.5ML</t>
  </si>
  <si>
    <t>VITCOFER</t>
  </si>
  <si>
    <t>VORAST MD 4</t>
  </si>
  <si>
    <t>ZEFU 125 MG</t>
  </si>
  <si>
    <t>ZEFU 250 MG</t>
  </si>
  <si>
    <t>ZEFU 500 MG</t>
  </si>
  <si>
    <t>ZEFU CV 250</t>
  </si>
  <si>
    <t>ZEFU CV 500</t>
  </si>
  <si>
    <t>ZEFU SYRUP</t>
  </si>
  <si>
    <t>ZOCON 100</t>
  </si>
  <si>
    <t>MG DT 4TAB</t>
  </si>
  <si>
    <t>ZOCON 150</t>
  </si>
  <si>
    <t>MG TAB 2TAB</t>
  </si>
  <si>
    <t>ZOCON 200</t>
  </si>
  <si>
    <t>ZOCON 400</t>
  </si>
  <si>
    <t>ZOCON 50 DT</t>
  </si>
  <si>
    <t>ZOCON AS</t>
  </si>
  <si>
    <t>ZOCON C</t>
  </si>
  <si>
    <t>ZOCON</t>
  </si>
  <si>
    <t>ZOCON KZ</t>
  </si>
  <si>
    <t>ZOCON L</t>
  </si>
  <si>
    <t>LOTION 5ML</t>
  </si>
  <si>
    <t>ZOCON SOAP</t>
  </si>
  <si>
    <t>100GM</t>
  </si>
  <si>
    <t>ZOCON T KIT</t>
  </si>
  <si>
    <t>TRANSGEL 15GM</t>
  </si>
  <si>
    <t>ZOXAN 250</t>
  </si>
  <si>
    <t>ZOXAN 500</t>
  </si>
  <si>
    <t>ZOXAN E/E</t>
  </si>
  <si>
    <t>Continued..36</t>
  </si>
  <si>
    <t>No..36</t>
  </si>
  <si>
    <t>ZOXAN</t>
  </si>
  <si>
    <t>EYE/EAR DROPS 10ML</t>
  </si>
  <si>
    <t>ZOXAN EYE</t>
  </si>
  <si>
    <t>OINT. 5GM</t>
  </si>
  <si>
    <t>ZOXAN OZ</t>
  </si>
  <si>
    <t>FDC D LUMINA</t>
  </si>
  <si>
    <t>COTARYL AF</t>
  </si>
  <si>
    <t>COTARYL</t>
  </si>
  <si>
    <t>DROFEM A</t>
  </si>
  <si>
    <t>1*10</t>
  </si>
  <si>
    <t>ETHASYL 250</t>
  </si>
  <si>
    <t>ETHASYL 500</t>
  </si>
  <si>
    <t>ETHASYL</t>
  </si>
  <si>
    <t>INJ. 4*2ML</t>
  </si>
  <si>
    <t>FLUNARIN 10</t>
  </si>
  <si>
    <t>FLUNARIN 5</t>
  </si>
  <si>
    <t>FUNGOTEK</t>
  </si>
  <si>
    <t>KROMALITE</t>
  </si>
  <si>
    <t>MYCODERM C</t>
  </si>
  <si>
    <t>MYCODERM NM</t>
  </si>
  <si>
    <t>MYCODERM</t>
  </si>
  <si>
    <t>POWDER 150GM</t>
  </si>
  <si>
    <t>OCUVIR 200</t>
  </si>
  <si>
    <t>OCUVIR 400</t>
  </si>
  <si>
    <t>OCUVIR 800</t>
  </si>
  <si>
    <t>OCUVIR SKIN</t>
  </si>
  <si>
    <t>OCUVIR SR</t>
  </si>
  <si>
    <t>1200 MG TAB 3TAB</t>
  </si>
  <si>
    <t>SALMODIL-DX</t>
  </si>
  <si>
    <t>SALMODIL+</t>
  </si>
  <si>
    <t>EXPT 100ML</t>
  </si>
  <si>
    <t>SALMODIL-LS</t>
  </si>
  <si>
    <t>TRITOFEN</t>
  </si>
  <si>
    <t>ZATHRIN 100</t>
  </si>
  <si>
    <t>MG DT 3TAB</t>
  </si>
  <si>
    <t>MG READYMIX 15ML</t>
  </si>
  <si>
    <t>MG READYMIX 30ML</t>
  </si>
  <si>
    <t>ZATHRIN 200</t>
  </si>
  <si>
    <t>ZATHRIN 250</t>
  </si>
  <si>
    <t>ZATHRIN 500</t>
  </si>
  <si>
    <t>ZATHRIN AX</t>
  </si>
  <si>
    <t>250 MG TAB 6TAB</t>
  </si>
  <si>
    <t>ZATHRIN XL</t>
  </si>
  <si>
    <t>200 MG READYMIX 30ML</t>
  </si>
  <si>
    <t>ZILEE 250</t>
  </si>
  <si>
    <t>ZILEE 500</t>
  </si>
  <si>
    <t>ZITRAN 100</t>
  </si>
  <si>
    <t>ZITRAN 200</t>
  </si>
  <si>
    <t>FDC E VISTA</t>
  </si>
  <si>
    <t>ALLERMAX</t>
  </si>
  <si>
    <t>AMODEP 5 MG</t>
  </si>
  <si>
    <t>AMODEP AT</t>
  </si>
  <si>
    <t>AMODEP TMH</t>
  </si>
  <si>
    <t>AMODEP TM</t>
  </si>
  <si>
    <t>AV-UTI</t>
  </si>
  <si>
    <t>CDPIN 10 MG</t>
  </si>
  <si>
    <t>CDPIN 20 MG</t>
  </si>
  <si>
    <t>CDPIN 5 MG</t>
  </si>
  <si>
    <t>CINZAN 25</t>
  </si>
  <si>
    <t>CINZAN 75</t>
  </si>
  <si>
    <t>CINZAN PLUS</t>
  </si>
  <si>
    <t>FLEMICLAV</t>
  </si>
  <si>
    <t>375 MG TAB 6TAB</t>
  </si>
  <si>
    <t>FORTE DS SYP 30ML</t>
  </si>
  <si>
    <t>Continued..37</t>
  </si>
  <si>
    <t>No..37</t>
  </si>
  <si>
    <t>KID DRY SYP 30ML</t>
  </si>
  <si>
    <t>KID DT TAB 6TAB</t>
  </si>
  <si>
    <t>GUTRITE SB</t>
  </si>
  <si>
    <t>LACRELAX IG</t>
  </si>
  <si>
    <t>GRANULES 180GM</t>
  </si>
  <si>
    <t>GRANULES 90GM</t>
  </si>
  <si>
    <t>LACRELAX</t>
  </si>
  <si>
    <t>SYRUP FDCL</t>
  </si>
  <si>
    <t>PEPCIA 10</t>
  </si>
  <si>
    <t>PEPCIA 20</t>
  </si>
  <si>
    <t>PEPCIA D</t>
  </si>
  <si>
    <t>PEPCIA L</t>
  </si>
  <si>
    <t>RIFABET 200</t>
  </si>
  <si>
    <t>RIFABET 400</t>
  </si>
  <si>
    <t>MG TAB</t>
  </si>
  <si>
    <t>RIFABET 550</t>
  </si>
  <si>
    <t>TEN DC M</t>
  </si>
  <si>
    <t>TUFFCLO</t>
  </si>
  <si>
    <t>VIROVIR 250</t>
  </si>
  <si>
    <t>VIROVIR 500</t>
  </si>
  <si>
    <t>VITCOBIN</t>
  </si>
  <si>
    <t>ZIBLOK 25</t>
  </si>
  <si>
    <t>ZIBLOK 50</t>
  </si>
  <si>
    <t>ZIGLIM 1 MG</t>
  </si>
  <si>
    <t>ZIGLIM 2 MG</t>
  </si>
  <si>
    <t>ZIGLIM M 1</t>
  </si>
  <si>
    <t>ZIGLIM M 2</t>
  </si>
  <si>
    <t>ZIGLIM PLUS</t>
  </si>
  <si>
    <t>1 TAB 10TAB</t>
  </si>
  <si>
    <t>2 TAB 10TAB</t>
  </si>
  <si>
    <t>ZILOS 25 MG</t>
  </si>
  <si>
    <t>ZILOS 50 MG</t>
  </si>
  <si>
    <t>ZILOS AM</t>
  </si>
  <si>
    <t>ZIRAM 2.5</t>
  </si>
  <si>
    <t>ZIRAM 5 MG</t>
  </si>
  <si>
    <t>ZITELMI 40</t>
  </si>
  <si>
    <t>ZITELMI C</t>
  </si>
  <si>
    <t>ZITELMI H</t>
  </si>
  <si>
    <t>ZITELMI M</t>
  </si>
  <si>
    <t>ZIVAST 10</t>
  </si>
  <si>
    <t>ZIVAST 20</t>
  </si>
  <si>
    <t>ZIVAST 5 MG</t>
  </si>
  <si>
    <t>ZIVAST AM</t>
  </si>
  <si>
    <t>ZIVAST E 10</t>
  </si>
  <si>
    <t>ZIVAST F</t>
  </si>
  <si>
    <t>ZORNO SUSP</t>
  </si>
  <si>
    <t>ZOSPAR 200</t>
  </si>
  <si>
    <t>FDC F DILSE</t>
  </si>
  <si>
    <t>ROLISTAT 5</t>
  </si>
  <si>
    <t>ROLISTAT F</t>
  </si>
  <si>
    <t>SYNPLATT 75</t>
  </si>
  <si>
    <t>URIPRO 0.4</t>
  </si>
  <si>
    <t>MG CAP 10TAB</t>
  </si>
  <si>
    <t>VASOMET XL</t>
  </si>
  <si>
    <t>ZIBOSE 0.2</t>
  </si>
  <si>
    <t>ZIBOSE 0.3</t>
  </si>
  <si>
    <t>Continued..38</t>
  </si>
  <si>
    <t>No..38</t>
  </si>
  <si>
    <t>ZIBOSE M</t>
  </si>
  <si>
    <t>ZIPIO 15 MG</t>
  </si>
  <si>
    <t>ZIPIO M 15</t>
  </si>
  <si>
    <t>FDC G PIXEL</t>
  </si>
  <si>
    <t>BIMAPIX</t>
  </si>
  <si>
    <t>0.01% EYE DROP 3ML</t>
  </si>
  <si>
    <t>IOBET EYE</t>
  </si>
  <si>
    <t>IOBRIM EYE</t>
  </si>
  <si>
    <t>IOPAR SR</t>
  </si>
  <si>
    <t>IOTIM 0.5%</t>
  </si>
  <si>
    <t>IOTIM B EYE</t>
  </si>
  <si>
    <t>IOTIM PLUS</t>
  </si>
  <si>
    <t>MOISOL EYE</t>
  </si>
  <si>
    <t>MOISOL Z</t>
  </si>
  <si>
    <t>MOSI D EYE</t>
  </si>
  <si>
    <t>MOSI-DX EYE</t>
  </si>
  <si>
    <t>MOSI EYE</t>
  </si>
  <si>
    <t>NEPAPIX EYE</t>
  </si>
  <si>
    <t>OCUDOR EYE</t>
  </si>
  <si>
    <t>OCUFLUR EYE</t>
  </si>
  <si>
    <t>OCUVIR EYE</t>
  </si>
  <si>
    <t>PILOCAR 2%</t>
  </si>
  <si>
    <t>PIXELUB</t>
  </si>
  <si>
    <t>MULTI EYE DROP 10ML</t>
  </si>
  <si>
    <t>UNIMS 6*4ML</t>
  </si>
  <si>
    <t>PYRICORT</t>
  </si>
  <si>
    <t>E/E DROP 5ML</t>
  </si>
  <si>
    <t>EYE/EAR DROP 10ML</t>
  </si>
  <si>
    <t>ZOCON EYE</t>
  </si>
  <si>
    <t>ZO D DROP</t>
  </si>
  <si>
    <t>ZO D EYE</t>
  </si>
  <si>
    <t>ZO EYE DROP</t>
  </si>
  <si>
    <t>FDC I ELECTRAL DIV</t>
  </si>
  <si>
    <t>ELECTRAL</t>
  </si>
  <si>
    <t>POWDER 21.80GM</t>
  </si>
  <si>
    <t>POWDER 4.40 GM 4.40GM</t>
  </si>
  <si>
    <t>POWDER (O) 4.40GM</t>
  </si>
  <si>
    <t>POWDER (ORANGE) 21.8GM</t>
  </si>
  <si>
    <t>RTD APPLE $ 1PACK</t>
  </si>
  <si>
    <t>RTD MANGO $ 1PACK</t>
  </si>
  <si>
    <t>RTD ORANGE 200ML</t>
  </si>
  <si>
    <t>ELECTRAL-Z</t>
  </si>
  <si>
    <t>COMBI KIT 1KIT</t>
  </si>
  <si>
    <t>MUMMUM</t>
  </si>
  <si>
    <t>POWDER ST-1 400GM</t>
  </si>
  <si>
    <t>POWDER ST-2 400GM</t>
  </si>
  <si>
    <t>PROSOYAL</t>
  </si>
  <si>
    <t>POWDER $ 400GM</t>
  </si>
  <si>
    <t>SIMYL MCT</t>
  </si>
  <si>
    <t>OIL 100ML</t>
  </si>
  <si>
    <t>OIL $ 50ML</t>
  </si>
  <si>
    <t>ZEFRICH</t>
  </si>
  <si>
    <t>POWDER (CHOCO) $ 200GM</t>
  </si>
  <si>
    <t>POWDER {M} $ 200GM</t>
  </si>
  <si>
    <t>ZIORAL ORAL</t>
  </si>
  <si>
    <t>SOLU. 100ML</t>
  </si>
  <si>
    <t>GALPHA LABORATORIES LTD.</t>
  </si>
  <si>
    <t>B-COLEN C</t>
  </si>
  <si>
    <t>NS SYRUP 100ML</t>
  </si>
  <si>
    <t>B-COLEN NS</t>
  </si>
  <si>
    <t>B-COLEN</t>
  </si>
  <si>
    <t>WOMAN CAPSULES 15CAP</t>
  </si>
  <si>
    <t>Continued..39</t>
  </si>
  <si>
    <t>No..39</t>
  </si>
  <si>
    <t>CLANOXY 200</t>
  </si>
  <si>
    <t>MG DRY SYRUP 30ML</t>
  </si>
  <si>
    <t>CLANOXY 625</t>
  </si>
  <si>
    <t>GAL-COL</t>
  </si>
  <si>
    <t>GALROL 60 K</t>
  </si>
  <si>
    <t>CAP 4CAP</t>
  </si>
  <si>
    <t>GALROL</t>
  </si>
  <si>
    <t>ISV 4 MD</t>
  </si>
  <si>
    <t>ISV SYRUP</t>
  </si>
  <si>
    <t>LERZIN-M</t>
  </si>
  <si>
    <t>LU-GAL</t>
  </si>
  <si>
    <t>CREAM 30GM 30GM</t>
  </si>
  <si>
    <t>MIK 1000 MG</t>
  </si>
  <si>
    <t>MIK-500MG</t>
  </si>
  <si>
    <t>INJ 2ML</t>
  </si>
  <si>
    <t>ODICEF 1 GM</t>
  </si>
  <si>
    <t>ODICEF 250</t>
  </si>
  <si>
    <t>ODICEF-CV</t>
  </si>
  <si>
    <t>200 TAB 10'TAB</t>
  </si>
  <si>
    <t>ODICEF O</t>
  </si>
  <si>
    <t>DRY SYRUP 60ML</t>
  </si>
  <si>
    <t>FORTE DRY SYRUP 100ML</t>
  </si>
  <si>
    <t>ODICEF-S</t>
  </si>
  <si>
    <t>1.5 GM INJ. 1VIAL</t>
  </si>
  <si>
    <t>PANDOSTAL</t>
  </si>
  <si>
    <t>OD CAP 10CAP</t>
  </si>
  <si>
    <t>RHUMACORT</t>
  </si>
  <si>
    <t>VIPRON-XT</t>
  </si>
  <si>
    <t>GLANMARK (OTC DIV.)</t>
  </si>
  <si>
    <t>CANDID</t>
  </si>
  <si>
    <t>HORLIX</t>
  </si>
  <si>
    <t>SACH. 75GM</t>
  </si>
  <si>
    <t>1PCS</t>
  </si>
  <si>
    <t>SENSUR GEL</t>
  </si>
  <si>
    <t>SENSUR</t>
  </si>
  <si>
    <t>SENSUR OIL</t>
  </si>
  <si>
    <t>RUBEFACIENT OINT. 10GM</t>
  </si>
  <si>
    <t>SENSUR RUB</t>
  </si>
  <si>
    <t>SPRAY 40GM</t>
  </si>
  <si>
    <t>V WASH PLUS</t>
  </si>
  <si>
    <t>20ML</t>
  </si>
  <si>
    <t>WIPES SACHET 1*10SAC.</t>
  </si>
  <si>
    <t>GLAXO SKL (OTC DIV.)</t>
  </si>
  <si>
    <t>CROCIN 650</t>
  </si>
  <si>
    <t>CROCIN</t>
  </si>
  <si>
    <t>ADVANCE TAB 15TAB</t>
  </si>
  <si>
    <t>CROCIN COLD</t>
  </si>
  <si>
    <t>N FLU TAB 12TAB</t>
  </si>
  <si>
    <t>CROCIN DS</t>
  </si>
  <si>
    <t>CROCIN PAIN</t>
  </si>
  <si>
    <t>RELIEF TAB 15TAB</t>
  </si>
  <si>
    <t>OSTOCALCIUM</t>
  </si>
  <si>
    <t>PLUS TAB 30TAB</t>
  </si>
  <si>
    <t>SYP B/F 200ML</t>
  </si>
  <si>
    <t>OTRIVIN</t>
  </si>
  <si>
    <t>ADULT NASAL DROP 10ML</t>
  </si>
  <si>
    <t>BABY NASAL DROPS 10ML</t>
  </si>
  <si>
    <t>FAST REL.NASAL SRPAY 10ML</t>
  </si>
  <si>
    <t>PED. NASAL DROP 10ML</t>
  </si>
  <si>
    <t>OTRIVIN S</t>
  </si>
  <si>
    <t>FRESH GEL 40GM</t>
  </si>
  <si>
    <t>FRESH GEL 70GM</t>
  </si>
  <si>
    <t>FRESH MINT 20GM</t>
  </si>
  <si>
    <t>FRESH MINT 40GM</t>
  </si>
  <si>
    <t>FRESH MINT 70GM</t>
  </si>
  <si>
    <t>RAPID RELIEF 40GM</t>
  </si>
  <si>
    <t>RAPID RELIEF 80GM</t>
  </si>
  <si>
    <t>TOOTH PASTE 150GM</t>
  </si>
  <si>
    <t>WHITENING 70GM</t>
  </si>
  <si>
    <t>T-MINIC</t>
  </si>
  <si>
    <t>GLAXO TEAM (CNS)</t>
  </si>
  <si>
    <t>ESPAZINE 1</t>
  </si>
  <si>
    <t>ESPAZINE 5</t>
  </si>
  <si>
    <t>ESPAZINE</t>
  </si>
  <si>
    <t>ICTACETAM</t>
  </si>
  <si>
    <t>LAMICTAL</t>
  </si>
  <si>
    <t>100 MG DISP.TAB 10TAB</t>
  </si>
  <si>
    <t>LAMICTAL 25</t>
  </si>
  <si>
    <t>MG DISP.TAB 14TAB</t>
  </si>
  <si>
    <t>LAMICTAL 50</t>
  </si>
  <si>
    <t>LAMICTAL 5</t>
  </si>
  <si>
    <t>MG DISP.TAB 10TAB</t>
  </si>
  <si>
    <t>LAMICTAL XR</t>
  </si>
  <si>
    <t>100 MG TAB 30TAB</t>
  </si>
  <si>
    <t>200 MG TAB 30TAB</t>
  </si>
  <si>
    <t>50 MG TAB 30TAB</t>
  </si>
  <si>
    <t>POVIZ SAFE</t>
  </si>
  <si>
    <t>SENITIZER 100ML</t>
  </si>
  <si>
    <t>SENITIZER 500ML</t>
  </si>
  <si>
    <t>GLAXO</t>
  </si>
  <si>
    <t>TEAM 1</t>
  </si>
  <si>
    <t>A</t>
  </si>
  <si>
    <t>BETNESOL</t>
  </si>
  <si>
    <t>INJ. 8*1ML</t>
  </si>
  <si>
    <t>BETNESOL N</t>
  </si>
  <si>
    <t>ORAL DROP 15ML</t>
  </si>
  <si>
    <t>CALPOL 250</t>
  </si>
  <si>
    <t>MG SUSP. 60ML</t>
  </si>
  <si>
    <t>CALPOL 500</t>
  </si>
  <si>
    <t>CALPOL 650</t>
  </si>
  <si>
    <t>CALPOL</t>
  </si>
  <si>
    <t>PAEDIATRIC DROP 15ML</t>
  </si>
  <si>
    <t>PAED.SUSP. 60ML</t>
  </si>
  <si>
    <t>CALPOL T</t>
  </si>
  <si>
    <t>CETZINE A</t>
  </si>
  <si>
    <t>CETZINE SYP</t>
  </si>
  <si>
    <t>COBADEX</t>
  </si>
  <si>
    <t>FORTE CAP 20CAP</t>
  </si>
  <si>
    <t>30CAP</t>
  </si>
  <si>
    <t>GLACE X CAP</t>
  </si>
  <si>
    <t>$ 10CAP</t>
  </si>
  <si>
    <t>NEOSPORIN H</t>
  </si>
  <si>
    <t>EAR DROP 5ML</t>
  </si>
  <si>
    <t>NEOSPORIN</t>
  </si>
  <si>
    <t>SKIN OINTMENT B 20GM</t>
  </si>
  <si>
    <t>PHEXIN 125</t>
  </si>
  <si>
    <t>MG REDISYP 60ML</t>
  </si>
  <si>
    <t>PHEXIN 250</t>
  </si>
  <si>
    <t>Continued..40</t>
  </si>
  <si>
    <t>No..40</t>
  </si>
  <si>
    <t>PHEXIN 500</t>
  </si>
  <si>
    <t>PHEXIN BD</t>
  </si>
  <si>
    <t>PHEXIN DROP</t>
  </si>
  <si>
    <t>PHEXIN DS</t>
  </si>
  <si>
    <t>PHEXIN KID</t>
  </si>
  <si>
    <t>PIRITON CS</t>
  </si>
  <si>
    <t>COUGH SUSP. 100ML</t>
  </si>
  <si>
    <t>PIRITON</t>
  </si>
  <si>
    <t>SHIELD</t>
  </si>
  <si>
    <t>OINTMENT 15GM</t>
  </si>
  <si>
    <t>ZEMETRIL</t>
  </si>
  <si>
    <t>500 MG TAB 6TAB</t>
  </si>
  <si>
    <t>ZENTEL 400</t>
  </si>
  <si>
    <t>ZENTEL</t>
  </si>
  <si>
    <t>SUSPENSION 10ML</t>
  </si>
  <si>
    <t>ZINETAC 150</t>
  </si>
  <si>
    <t>ZINETAC 300</t>
  </si>
  <si>
    <t>ZUPAR</t>
  </si>
  <si>
    <t>CAPTAB 10CAPT</t>
  </si>
  <si>
    <t>TEAM 2</t>
  </si>
  <si>
    <t>(DERMA 1) B</t>
  </si>
  <si>
    <t>FORTE TAB 20TAB</t>
  </si>
  <si>
    <t>DAPSONE 100</t>
  </si>
  <si>
    <t>MG TAB 1000TAB</t>
  </si>
  <si>
    <t>DERMOCALM</t>
  </si>
  <si>
    <t>DUOFILM</t>
  </si>
  <si>
    <t>EMODERM</t>
  </si>
  <si>
    <t>EUMOSONE</t>
  </si>
  <si>
    <t>EUMOSONE M</t>
  </si>
  <si>
    <t>FLUTIBACT</t>
  </si>
  <si>
    <t>FLUTIVATE</t>
  </si>
  <si>
    <t>FLUTIVATE E</t>
  </si>
  <si>
    <t>OINT. 20GM</t>
  </si>
  <si>
    <t>GRISOVIN FP</t>
  </si>
  <si>
    <t>NEOTREXATE</t>
  </si>
  <si>
    <t>TAB * 10TAB</t>
  </si>
  <si>
    <t>OILATUM BAR</t>
  </si>
  <si>
    <t>$ 100GM</t>
  </si>
  <si>
    <t>$ 50GM</t>
  </si>
  <si>
    <t>OILATUM</t>
  </si>
  <si>
    <t>KIDS BAR $ 50GM</t>
  </si>
  <si>
    <t>SASTID BAR</t>
  </si>
  <si>
    <t>50GM</t>
  </si>
  <si>
    <t>STELBID 2</t>
  </si>
  <si>
    <t>STIEPROX</t>
  </si>
  <si>
    <t>LIQUID 50ML</t>
  </si>
  <si>
    <t>T BACT</t>
  </si>
  <si>
    <t>T-BACT</t>
  </si>
  <si>
    <t>TENOVATE GN</t>
  </si>
  <si>
    <t>TENOVATE M</t>
  </si>
  <si>
    <t>TENOVATE NM</t>
  </si>
  <si>
    <t>TENOVATE</t>
  </si>
  <si>
    <t>SKIN CREAM 30GM</t>
  </si>
  <si>
    <t>VOZET 5 MG</t>
  </si>
  <si>
    <t>ZIMIG 250</t>
  </si>
  <si>
    <t>ZIMIG CREAM</t>
  </si>
  <si>
    <t>ZIMIVIR</t>
  </si>
  <si>
    <t>ZIMIVIR 500</t>
  </si>
  <si>
    <t>ZODERM E</t>
  </si>
  <si>
    <t>ZOVIRAX 200</t>
  </si>
  <si>
    <t>ZOVIRAX 400</t>
  </si>
  <si>
    <t>ZOVIRAX 800</t>
  </si>
  <si>
    <t>ZOVIRAX</t>
  </si>
  <si>
    <t>Continued..41</t>
  </si>
  <si>
    <t>No..41</t>
  </si>
  <si>
    <t>(DERMA 2) C</t>
  </si>
  <si>
    <t>ACNE AID</t>
  </si>
  <si>
    <t>BAR $ 100GM</t>
  </si>
  <si>
    <t>BAR $ 50GM</t>
  </si>
  <si>
    <t>WASH 60GM</t>
  </si>
  <si>
    <t>ANSOLAR GEL</t>
  </si>
  <si>
    <t>CREAM SPF 30 60GM</t>
  </si>
  <si>
    <t>ANSOLAR</t>
  </si>
  <si>
    <t>LOTION SPF 60 60ML</t>
  </si>
  <si>
    <t>BREVOXYL</t>
  </si>
  <si>
    <t>CREAMY WASH 50GM</t>
  </si>
  <si>
    <t>CREAM 40GM</t>
  </si>
  <si>
    <t>EMOLLIENT 100ML</t>
  </si>
  <si>
    <t>LOTION $ 100ML</t>
  </si>
  <si>
    <t>PHYSIOGEL</t>
  </si>
  <si>
    <t>AI CREAM 50GM</t>
  </si>
  <si>
    <t>AI LOTION 100ML</t>
  </si>
  <si>
    <t>CREAM 75GM</t>
  </si>
  <si>
    <t>SARNA</t>
  </si>
  <si>
    <t>LOTION $ 60GM</t>
  </si>
  <si>
    <t>SPECTRABAN</t>
  </si>
  <si>
    <t>SENSITIVE $ 30GM</t>
  </si>
  <si>
    <t>TOPGRAF</t>
  </si>
  <si>
    <t>0.03% OINT 10GM</t>
  </si>
  <si>
    <t>0.1% OINT 10GM</t>
  </si>
  <si>
    <t>TEAM 3</t>
  </si>
  <si>
    <t>D</t>
  </si>
  <si>
    <t>TEAM 4+5</t>
  </si>
  <si>
    <t>E</t>
  </si>
  <si>
    <t>ANGIOTEC</t>
  </si>
  <si>
    <t>BANOCIDE</t>
  </si>
  <si>
    <t>FORTE TAB 30TAB</t>
  </si>
  <si>
    <t>BECADEXAMIN</t>
  </si>
  <si>
    <t>CAP # 30CAP</t>
  </si>
  <si>
    <t>BETNOVATE C</t>
  </si>
  <si>
    <t>BETNOVATE</t>
  </si>
  <si>
    <t>GM CREAM 20GM</t>
  </si>
  <si>
    <t>BETNOVATE N</t>
  </si>
  <si>
    <t>BETNOVATE S</t>
  </si>
  <si>
    <t>BIDURET L</t>
  </si>
  <si>
    <t>CARZEC</t>
  </si>
  <si>
    <t>CARZEC 6.25</t>
  </si>
  <si>
    <t>CEFTUM 250</t>
  </si>
  <si>
    <t>MG CAPTAB 4TAB</t>
  </si>
  <si>
    <t>CEFTUM 500</t>
  </si>
  <si>
    <t>CELIN 500</t>
  </si>
  <si>
    <t>MG TAB 25TAB</t>
  </si>
  <si>
    <t>COBADEX CZS</t>
  </si>
  <si>
    <t>ELTROXIN</t>
  </si>
  <si>
    <t>125 MCG TAB 60TAB</t>
  </si>
  <si>
    <t>ELTROXIN 25</t>
  </si>
  <si>
    <t>MCG TAB 60TAB</t>
  </si>
  <si>
    <t>ELTROXIN 50</t>
  </si>
  <si>
    <t>MCG TAB 100TAB</t>
  </si>
  <si>
    <t>ELTROXIN 75</t>
  </si>
  <si>
    <t>MCG TAB 20TAB</t>
  </si>
  <si>
    <t>TAB 100TAB</t>
  </si>
  <si>
    <t>LILO 10 MG</t>
  </si>
  <si>
    <t>LILO 20 MG</t>
  </si>
  <si>
    <t>MODUS 10 MG</t>
  </si>
  <si>
    <t>OTINA EAR</t>
  </si>
  <si>
    <t>SEPTRAN</t>
  </si>
  <si>
    <t>ADULT TAB 10TAB</t>
  </si>
  <si>
    <t>SUPACEF 1.5</t>
  </si>
  <si>
    <t>URICOSTAT</t>
  </si>
  <si>
    <t>ZYLORIC 100</t>
  </si>
  <si>
    <t>ZYLORIC 300</t>
  </si>
  <si>
    <t>TEAM 6+7</t>
  </si>
  <si>
    <t>F</t>
  </si>
  <si>
    <t>AUGMENTIN</t>
  </si>
  <si>
    <t>1000 MG DUO TAB 10TAB</t>
  </si>
  <si>
    <t>Continued..42</t>
  </si>
  <si>
    <t>No..42</t>
  </si>
  <si>
    <t>1.2 GM IV 1VIAL</t>
  </si>
  <si>
    <t>625 MG DUO TAB 10TAB</t>
  </si>
  <si>
    <t>DDS SYP 30ML</t>
  </si>
  <si>
    <t>DUO DRY SYRUP 30ML</t>
  </si>
  <si>
    <t>AVAMYS</t>
  </si>
  <si>
    <t>NASAL SPRAY 10GM</t>
  </si>
  <si>
    <t>BENITEC 20</t>
  </si>
  <si>
    <t>BENITEC 40</t>
  </si>
  <si>
    <t>BENITEC A</t>
  </si>
  <si>
    <t>BENITEC H</t>
  </si>
  <si>
    <t>20 MG TAB 7TAB</t>
  </si>
  <si>
    <t>40TAB</t>
  </si>
  <si>
    <t>FEFOL</t>
  </si>
  <si>
    <t>SPANSULE CAP 15CAP</t>
  </si>
  <si>
    <t>FLIXONASE</t>
  </si>
  <si>
    <t>NASAL SPRAY 120MD</t>
  </si>
  <si>
    <t>FORTUM 250</t>
  </si>
  <si>
    <t>ROSUTEC 10</t>
  </si>
  <si>
    <t>ROSUTEC 20</t>
  </si>
  <si>
    <t>ROSUTEC 5</t>
  </si>
  <si>
    <t>TEAM 8 (RTF)</t>
  </si>
  <si>
    <t>H</t>
  </si>
  <si>
    <t>TEAM 8 PRIDE</t>
  </si>
  <si>
    <t>G</t>
  </si>
  <si>
    <t>METLEAD G 1</t>
  </si>
  <si>
    <t>METLEAD SR</t>
  </si>
  <si>
    <t>SERETIDE</t>
  </si>
  <si>
    <t>125 MCG EVOHALER 1PACK</t>
  </si>
  <si>
    <t>250 MCG EVOHALER 1PACK</t>
  </si>
  <si>
    <t>ACCUHALER 50/100 50/100</t>
  </si>
  <si>
    <t>ACCUHALER 50/250 28MTD</t>
  </si>
  <si>
    <t>ACCUHALER 50/250 50/250</t>
  </si>
  <si>
    <t>ACCUHALER 50/500 28MTD</t>
  </si>
  <si>
    <t>ACCUHALER 50/500 50/500</t>
  </si>
  <si>
    <t>VENTORLIN</t>
  </si>
  <si>
    <t>EXPT. 120ML</t>
  </si>
  <si>
    <t>MINI SPACER-DV 1PACK</t>
  </si>
  <si>
    <t>HIGLANCE</t>
  </si>
  <si>
    <t>CALCULAT D3</t>
  </si>
  <si>
    <t>CALCULATE</t>
  </si>
  <si>
    <t>TAMPIL 0.4</t>
  </si>
  <si>
    <t>MG TAB 10CAP</t>
  </si>
  <si>
    <t>TAMPIL D</t>
  </si>
  <si>
    <t>YOGABOSE</t>
  </si>
  <si>
    <t>0.2 MG TAB 15TAB</t>
  </si>
  <si>
    <t>0.3 MG TAB 15TAB</t>
  </si>
  <si>
    <t>YOGAMET GM</t>
  </si>
  <si>
    <t>1 FORTE TAB 15TAB</t>
  </si>
  <si>
    <t>2 FORTE TAB 15TAB</t>
  </si>
  <si>
    <t>YOGAMET GMP</t>
  </si>
  <si>
    <t>YOGAMET</t>
  </si>
  <si>
    <t>TRIO 1 MG TAB 10TAB</t>
  </si>
  <si>
    <t>TRIO 2 MG TAB 10TAB</t>
  </si>
  <si>
    <t>YOGAMIN M</t>
  </si>
  <si>
    <t>YOGAPROL 25</t>
  </si>
  <si>
    <t>YOGAPROL 50</t>
  </si>
  <si>
    <t>YOGAPROL AM</t>
  </si>
  <si>
    <t>YOGAROS 10</t>
  </si>
  <si>
    <t>YOGAROS 20</t>
  </si>
  <si>
    <t>YOGAROS 40</t>
  </si>
  <si>
    <t>Continued..43</t>
  </si>
  <si>
    <t>No..43</t>
  </si>
  <si>
    <t>YOGAROS 5</t>
  </si>
  <si>
    <t>YOGAROS</t>
  </si>
  <si>
    <t>YOGATEL 20</t>
  </si>
  <si>
    <t>YOGATEL 40</t>
  </si>
  <si>
    <t>YOGATEL 80</t>
  </si>
  <si>
    <t>YOGATEL AH</t>
  </si>
  <si>
    <t>YOGATEL AM</t>
  </si>
  <si>
    <t>YOGATEL CH</t>
  </si>
  <si>
    <t>YOGATEL H</t>
  </si>
  <si>
    <t>80 MG TAB 15TAB</t>
  </si>
  <si>
    <t>YOGAZAM 5</t>
  </si>
  <si>
    <t>INDIABULL (FEMIINEX)</t>
  </si>
  <si>
    <t>CYSTHEAL</t>
  </si>
  <si>
    <t>DARCIUM</t>
  </si>
  <si>
    <t>POWDER 1PACK</t>
  </si>
  <si>
    <t>EMEFREZE</t>
  </si>
  <si>
    <t>FEMIGRACE</t>
  </si>
  <si>
    <t>IBIGEST 100</t>
  </si>
  <si>
    <t>IBIGEST 200</t>
  </si>
  <si>
    <t>IBIGEST 300</t>
  </si>
  <si>
    <t>IBIGEST SR</t>
  </si>
  <si>
    <t>300 MG CAP 10CAP</t>
  </si>
  <si>
    <t>IBPRISTAL</t>
  </si>
  <si>
    <t>IRONEX HB</t>
  </si>
  <si>
    <t>IRONEX</t>
  </si>
  <si>
    <t>SACHETS 1SACH</t>
  </si>
  <si>
    <t>LYSENIUM</t>
  </si>
  <si>
    <t>NITROFEM SR</t>
  </si>
  <si>
    <t>NITROFEM</t>
  </si>
  <si>
    <t>STRONGMOM</t>
  </si>
  <si>
    <t>UROMUNE</t>
  </si>
  <si>
    <t>SOFTGEL CAP 10CAP</t>
  </si>
  <si>
    <t>VALENTINA</t>
  </si>
  <si>
    <t>INDIABULLS (CVD DIV.)</t>
  </si>
  <si>
    <t>IBCIL 10 MG</t>
  </si>
  <si>
    <t>IBCIL 20 MG</t>
  </si>
  <si>
    <t>IBCIL 5 MG</t>
  </si>
  <si>
    <t>IBCIL M 25</t>
  </si>
  <si>
    <t>IBCIL M 50</t>
  </si>
  <si>
    <t>IBCLOP A</t>
  </si>
  <si>
    <t>IBCLOP A 75</t>
  </si>
  <si>
    <t>MG CAP INBI</t>
  </si>
  <si>
    <t>IBDINE 5 MG</t>
  </si>
  <si>
    <t>IBFORMIN 1</t>
  </si>
  <si>
    <t>GM SR TAB 10TAB</t>
  </si>
  <si>
    <t>IBFORMIN</t>
  </si>
  <si>
    <t>500 MG SR TAB 10TAB</t>
  </si>
  <si>
    <t>IBFORMIN G</t>
  </si>
  <si>
    <t>IBGLIPTIN</t>
  </si>
  <si>
    <t>IBGLIPTIN M</t>
  </si>
  <si>
    <t>IBIMIDE 5</t>
  </si>
  <si>
    <t>IBMETO XR</t>
  </si>
  <si>
    <t>IBMIDE 10</t>
  </si>
  <si>
    <t>IBMIDE 20</t>
  </si>
  <si>
    <t>IBMIDE 5 MG</t>
  </si>
  <si>
    <t>IBOLME BETA</t>
  </si>
  <si>
    <t>IBOLME CD</t>
  </si>
  <si>
    <t>IBOLME CT</t>
  </si>
  <si>
    <t>Continued..44</t>
  </si>
  <si>
    <t>No..44</t>
  </si>
  <si>
    <t>IBOLME TRIO</t>
  </si>
  <si>
    <t>IBSTATIN 10</t>
  </si>
  <si>
    <t>IBSTATIN 20</t>
  </si>
  <si>
    <t>IBSTATIN 40</t>
  </si>
  <si>
    <t>IBSTATIN 5</t>
  </si>
  <si>
    <t>IBSTATIN A</t>
  </si>
  <si>
    <t>IBSTATIN AC</t>
  </si>
  <si>
    <t>IBSTATIN C</t>
  </si>
  <si>
    <t>IBSTATIN-F</t>
  </si>
  <si>
    <t>IBSTATIN F</t>
  </si>
  <si>
    <t>IBTEL 20 MG</t>
  </si>
  <si>
    <t>IBTEL 40 MG</t>
  </si>
  <si>
    <t>IBTEL AM 40</t>
  </si>
  <si>
    <t>IBTEL AM 80</t>
  </si>
  <si>
    <t>IBTEL CT 40</t>
  </si>
  <si>
    <t>IBTEL CT</t>
  </si>
  <si>
    <t>IBTEL CT 80</t>
  </si>
  <si>
    <t>IBTEL M 50</t>
  </si>
  <si>
    <t>IBTEL TRIO</t>
  </si>
  <si>
    <t>IBTOL 15 MG</t>
  </si>
  <si>
    <t>IBVILDA 50</t>
  </si>
  <si>
    <t>IBVILDA M</t>
  </si>
  <si>
    <t>IBVOG 0.2</t>
  </si>
  <si>
    <t>IBVOG 0.3</t>
  </si>
  <si>
    <t>IBVOG M 0.3</t>
  </si>
  <si>
    <t>IBZIL 40 MG</t>
  </si>
  <si>
    <t>IBZIL 80 MG</t>
  </si>
  <si>
    <t>ZENESTA 1</t>
  </si>
  <si>
    <t>ZENESTA 2</t>
  </si>
  <si>
    <t>ADAPERO GEL</t>
  </si>
  <si>
    <t>IBGLOW</t>
  </si>
  <si>
    <t>ULTRA CREAM 15GM</t>
  </si>
  <si>
    <t>IBILUL</t>
  </si>
  <si>
    <t>IBITRET 10</t>
  </si>
  <si>
    <t>IBITRET 20</t>
  </si>
  <si>
    <t>MANDISA</t>
  </si>
  <si>
    <t>FOAM FACE WASH 60ML</t>
  </si>
  <si>
    <t>MINOFINA 5%</t>
  </si>
  <si>
    <t>SOLUTION 60ML</t>
  </si>
  <si>
    <t>MINOPEP</t>
  </si>
  <si>
    <t>ANTI-HAIRFALL SHAMPOO 250ML</t>
  </si>
  <si>
    <t>MINOPEP EVA</t>
  </si>
  <si>
    <t>SOLUTION 90ML.</t>
  </si>
  <si>
    <t>HAIR &amp; SCALP CONDI. 100GM</t>
  </si>
  <si>
    <t>SERUM 60ML</t>
  </si>
  <si>
    <t>SOLUTION 90ML</t>
  </si>
  <si>
    <t>MOIMAX FOOT</t>
  </si>
  <si>
    <t>CARE CREAM 50GM</t>
  </si>
  <si>
    <t>MOIMAX</t>
  </si>
  <si>
    <t>MOISTURIZER 100GM</t>
  </si>
  <si>
    <t>MOIMAX OC</t>
  </si>
  <si>
    <t>GEL 50GM</t>
  </si>
  <si>
    <t>DAPSIB GEL</t>
  </si>
  <si>
    <t>HYDRAVO</t>
  </si>
  <si>
    <t>SKIN RENEWING MOIST. 50GM</t>
  </si>
  <si>
    <t>IBGLOW SKIN</t>
  </si>
  <si>
    <t>LIGHTENING CREAM 20GM</t>
  </si>
  <si>
    <t>IBISERT</t>
  </si>
  <si>
    <t>Continued..45</t>
  </si>
  <si>
    <t>No..45</t>
  </si>
  <si>
    <t>KETONITE</t>
  </si>
  <si>
    <t>GEL CREAM 30GM</t>
  </si>
  <si>
    <t>LA-MATISSE</t>
  </si>
  <si>
    <t>HAIR REVI.SERUM 60ML</t>
  </si>
  <si>
    <t>REPAIR RESCUE COND 100GM</t>
  </si>
  <si>
    <t>REPAIR RES.SHAMPOO 150ML</t>
  </si>
  <si>
    <t>LUMISE-C</t>
  </si>
  <si>
    <t>ANHYDROUS GEL 30GM</t>
  </si>
  <si>
    <t>LUMISE</t>
  </si>
  <si>
    <t>CLEANSER 100GM</t>
  </si>
  <si>
    <t>CLEANSER 150GM</t>
  </si>
  <si>
    <t>LUMISE-G</t>
  </si>
  <si>
    <t>LA-MATISSE SERUM 90ML</t>
  </si>
  <si>
    <t>RETIGLOW</t>
  </si>
  <si>
    <t>NIGHT SERUM 30ML</t>
  </si>
  <si>
    <t>SOFTSCREEN</t>
  </si>
  <si>
    <t>SUNCREEN GEL 50GM</t>
  </si>
  <si>
    <t>TINT GEL 50GM</t>
  </si>
  <si>
    <t>AMORFINE</t>
  </si>
  <si>
    <t>APRNEXT 30</t>
  </si>
  <si>
    <t>BILAZO 20</t>
  </si>
  <si>
    <t>CYCLONOX</t>
  </si>
  <si>
    <t>100 MG CAP 6CAP</t>
  </si>
  <si>
    <t>CYCLONOX 50</t>
  </si>
  <si>
    <t>MG CAP 6CAP</t>
  </si>
  <si>
    <t>GRISURE 500</t>
  </si>
  <si>
    <t>IBITRA 100</t>
  </si>
  <si>
    <t>IBITRA 200</t>
  </si>
  <si>
    <t>PSORAXIB</t>
  </si>
  <si>
    <t>LOTION 150ML</t>
  </si>
  <si>
    <t>INDIABULLS (INVICTA DIV)</t>
  </si>
  <si>
    <t>ACEBULL 100</t>
  </si>
  <si>
    <t>ACEBULL A</t>
  </si>
  <si>
    <t>ACEBULL SR</t>
  </si>
  <si>
    <t>IBICLAV 625</t>
  </si>
  <si>
    <t>IBICLAV DS</t>
  </si>
  <si>
    <t>IBIKAST L</t>
  </si>
  <si>
    <t>IBIKOF LS +</t>
  </si>
  <si>
    <t>IBIKOF LS</t>
  </si>
  <si>
    <t>IBIKOF</t>
  </si>
  <si>
    <t>IBVITAL</t>
  </si>
  <si>
    <t>ITRABULL</t>
  </si>
  <si>
    <t>LULIBULL</t>
  </si>
  <si>
    <t>PANTOBULL</t>
  </si>
  <si>
    <t>PANTOBULL D</t>
  </si>
  <si>
    <t>IBCEF 500</t>
  </si>
  <si>
    <t>IBIFLO 125</t>
  </si>
  <si>
    <t>NEXHALER 240MTD</t>
  </si>
  <si>
    <t>IBIFLO 250</t>
  </si>
  <si>
    <t>NEXCAPS 1NCA</t>
  </si>
  <si>
    <t>IBIFLO-S</t>
  </si>
  <si>
    <t>250 NEXCAPS 1NAC</t>
  </si>
  <si>
    <t>IBIFLO</t>
  </si>
  <si>
    <t>S-500 NEXCAPS 1NCA</t>
  </si>
  <si>
    <t>IBIKAST F</t>
  </si>
  <si>
    <t>IBIKAST LF</t>
  </si>
  <si>
    <t>IBINASE</t>
  </si>
  <si>
    <t>NASAL SPRAY 120MTD</t>
  </si>
  <si>
    <t>MG NEXCAPS 1NCA</t>
  </si>
  <si>
    <t>NEXAHALER</t>
  </si>
  <si>
    <t>MG NEXCAPS 10TAB</t>
  </si>
  <si>
    <t>IBINIDE R</t>
  </si>
  <si>
    <t>NEXPULE 2ML</t>
  </si>
  <si>
    <t>IBIRES I</t>
  </si>
  <si>
    <t>Continued..46</t>
  </si>
  <si>
    <t>No..46</t>
  </si>
  <si>
    <t>IBIRES L</t>
  </si>
  <si>
    <t>IBIRES</t>
  </si>
  <si>
    <t>NEXHALER 200MTD</t>
  </si>
  <si>
    <t>IBITROP</t>
  </si>
  <si>
    <t>NEXCAP 1NCA</t>
  </si>
  <si>
    <t>INDIABULLS (PEDIA DIV)</t>
  </si>
  <si>
    <t>ACTIBULL</t>
  </si>
  <si>
    <t>IBALERT M</t>
  </si>
  <si>
    <t>KID SYRUP 60ML</t>
  </si>
  <si>
    <t>IBIBULL 250</t>
  </si>
  <si>
    <t>IBIBULL</t>
  </si>
  <si>
    <t>IBIKAST-L</t>
  </si>
  <si>
    <t>IBIMOX BD</t>
  </si>
  <si>
    <t>SUSP. 30ML</t>
  </si>
  <si>
    <t>IBIMOX</t>
  </si>
  <si>
    <t>IBIMOX DS</t>
  </si>
  <si>
    <t>IBITUSS</t>
  </si>
  <si>
    <t>IBIZOLID</t>
  </si>
  <si>
    <t>100 MG SYRUP 30ML</t>
  </si>
  <si>
    <t>MEFBULL DS</t>
  </si>
  <si>
    <t>MEFBULL</t>
  </si>
  <si>
    <t>XIFBULL 100</t>
  </si>
  <si>
    <t>XIFBULL 50</t>
  </si>
  <si>
    <t>XIFBULL</t>
  </si>
  <si>
    <t>DISP.TAB 10TAB</t>
  </si>
  <si>
    <t>INDIABULLS (PRIMA DIV)</t>
  </si>
  <si>
    <t>ACTIBULL SP</t>
  </si>
  <si>
    <t>BIL-1 20 MG</t>
  </si>
  <si>
    <t>BIL-1 SYRUP</t>
  </si>
  <si>
    <t>ECORAB D</t>
  </si>
  <si>
    <t>ECORAB L</t>
  </si>
  <si>
    <t>ESTRAL-D</t>
  </si>
  <si>
    <t>TAB 21TAB</t>
  </si>
  <si>
    <t>IBFLORA</t>
  </si>
  <si>
    <t>SUSPESION 5ML</t>
  </si>
  <si>
    <t>IBFLUX</t>
  </si>
  <si>
    <t>IBIALERT 5</t>
  </si>
  <si>
    <t>IBIAPT</t>
  </si>
  <si>
    <t>IBIBULL IV</t>
  </si>
  <si>
    <t>IBIBULL-T</t>
  </si>
  <si>
    <t>IBICLEAR</t>
  </si>
  <si>
    <t>SOLUTION 180ML</t>
  </si>
  <si>
    <t>IBIDERM</t>
  </si>
  <si>
    <t>IBIFAX-C</t>
  </si>
  <si>
    <t>IBIFAX O IV</t>
  </si>
  <si>
    <t>IBIFAX O</t>
  </si>
  <si>
    <t>IBIFIX 200</t>
  </si>
  <si>
    <t>IBIFIX 400</t>
  </si>
  <si>
    <t>IBIMOX 625</t>
  </si>
  <si>
    <t>IBINUTRI</t>
  </si>
  <si>
    <t>IBIORAL GEL</t>
  </si>
  <si>
    <t>IBIORAL</t>
  </si>
  <si>
    <t>MOUTHWASH 100ML</t>
  </si>
  <si>
    <t>IBIPANTO D</t>
  </si>
  <si>
    <t>IBIPANTO</t>
  </si>
  <si>
    <t>IBIPOD 100</t>
  </si>
  <si>
    <t>IBIPOD 200</t>
  </si>
  <si>
    <t>IBIPOD 50</t>
  </si>
  <si>
    <t>Continued..47</t>
  </si>
  <si>
    <t>No..47</t>
  </si>
  <si>
    <t>IBIPOD CV</t>
  </si>
  <si>
    <t>DRY SYRUP 30ML</t>
  </si>
  <si>
    <t>IBIPROMPT</t>
  </si>
  <si>
    <t>IBITHRAL</t>
  </si>
  <si>
    <t>100 MG SYRUP 15ML</t>
  </si>
  <si>
    <t>200 MG SUSP. 30ML</t>
  </si>
  <si>
    <t>IBIZOLID IV</t>
  </si>
  <si>
    <t>300ML</t>
  </si>
  <si>
    <t>MAXBULL 100</t>
  </si>
  <si>
    <t>MAXBULL 25</t>
  </si>
  <si>
    <t>MAXBULL 50</t>
  </si>
  <si>
    <t>VOMIBULL</t>
  </si>
  <si>
    <t>ORAL SOLUTION 30ML</t>
  </si>
  <si>
    <t>AMLOVEL 2.5</t>
  </si>
  <si>
    <t>AMLOVEL 5</t>
  </si>
  <si>
    <t>AMLOVEL AT</t>
  </si>
  <si>
    <t>FEXINID M</t>
  </si>
  <si>
    <t>GLIPESTA 20</t>
  </si>
  <si>
    <t>GLIPESTA M</t>
  </si>
  <si>
    <t>IBITOR 10</t>
  </si>
  <si>
    <t>IBITOR 20</t>
  </si>
  <si>
    <t>IBITOR 40</t>
  </si>
  <si>
    <t>MEPHALIP</t>
  </si>
  <si>
    <t>METFAITH</t>
  </si>
  <si>
    <t>1000 TAB 10TAB</t>
  </si>
  <si>
    <t>METFAITH G</t>
  </si>
  <si>
    <t>METFAITH PG</t>
  </si>
  <si>
    <t>OMEVEST-D</t>
  </si>
  <si>
    <t>TELINDIA 20</t>
  </si>
  <si>
    <t>TELINDIA 40</t>
  </si>
  <si>
    <t>TELINDIA AM</t>
  </si>
  <si>
    <t>TELINDIA H</t>
  </si>
  <si>
    <t>VESTARYL</t>
  </si>
  <si>
    <t>JUNIOR SYRUP 60ML</t>
  </si>
  <si>
    <t>VESTARYL +</t>
  </si>
  <si>
    <t>JAGSONPAL PHARMACEUTICALS</t>
  </si>
  <si>
    <t>CYSTELIA 35</t>
  </si>
  <si>
    <t>MG TAB 21TAB</t>
  </si>
  <si>
    <t>DIVAGEST SR</t>
  </si>
  <si>
    <t>KRAMPOFF</t>
  </si>
  <si>
    <t>VERENA GEL</t>
  </si>
  <si>
    <t>40GM</t>
  </si>
  <si>
    <t>YULIPRIST</t>
  </si>
  <si>
    <t>JENBURKT PHARMACEUTICALS LTD.</t>
  </si>
  <si>
    <t>CARTISAFE D</t>
  </si>
  <si>
    <t>CARTISAFE</t>
  </si>
  <si>
    <t>Continued..48</t>
  </si>
  <si>
    <t>No..48</t>
  </si>
  <si>
    <t>EBERJEN</t>
  </si>
  <si>
    <t>EBERJEN M</t>
  </si>
  <si>
    <t>SOLUTION 40GM</t>
  </si>
  <si>
    <t>ECOPROT CH</t>
  </si>
  <si>
    <t>200GM</t>
  </si>
  <si>
    <t>ECOPROT</t>
  </si>
  <si>
    <t>K.E. 200GM</t>
  </si>
  <si>
    <t>GLUCOTROL</t>
  </si>
  <si>
    <t>MF TAB 10TAB</t>
  </si>
  <si>
    <t>ITRIBEN 100</t>
  </si>
  <si>
    <t>ITRIBEN 200</t>
  </si>
  <si>
    <t>LA VIRIL</t>
  </si>
  <si>
    <t>LULIJEN</t>
  </si>
  <si>
    <t>LUTRIBEN</t>
  </si>
  <si>
    <t>METMIN A</t>
  </si>
  <si>
    <t>NERVIJEN NP</t>
  </si>
  <si>
    <t>NERVIJEN P</t>
  </si>
  <si>
    <t>NERVIJEN</t>
  </si>
  <si>
    <t>PLUS INJ. 2ML</t>
  </si>
  <si>
    <t>NERVIJEN XT</t>
  </si>
  <si>
    <t>NERVIJEN CT TAB 10TAB</t>
  </si>
  <si>
    <t>NERVIJEN D CAP 10CAP</t>
  </si>
  <si>
    <t>NERVIJEN PLUS CAP 10CAP</t>
  </si>
  <si>
    <t>NEW NUMOX</t>
  </si>
  <si>
    <t>625 10TAB</t>
  </si>
  <si>
    <t>NEW TRIBEN</t>
  </si>
  <si>
    <t>XT CREAM 10GM</t>
  </si>
  <si>
    <t>NEW ZIX RP</t>
  </si>
  <si>
    <t>NUMOX LB</t>
  </si>
  <si>
    <t>OJEN E/E</t>
  </si>
  <si>
    <t>OJEN OZ</t>
  </si>
  <si>
    <t>OJEN PLUS</t>
  </si>
  <si>
    <t>OXICOJEN</t>
  </si>
  <si>
    <t>PIRIL DX</t>
  </si>
  <si>
    <t>PIRITEXYL</t>
  </si>
  <si>
    <t>BR EXPT. 100ML</t>
  </si>
  <si>
    <t>LS JUNIOR SYRUP 50ML</t>
  </si>
  <si>
    <t>LS SF SYRUP 100ML</t>
  </si>
  <si>
    <t>LS+ SYRUP 100ML</t>
  </si>
  <si>
    <t>LS SYRUP 100ML</t>
  </si>
  <si>
    <t>PLUS COUGH SYRUP 100ML</t>
  </si>
  <si>
    <t>POWERGESIC</t>
  </si>
  <si>
    <t>2X GEL 30GM</t>
  </si>
  <si>
    <t>MR TAB 10TAB</t>
  </si>
  <si>
    <t>PATCH 100MG 1PATCH</t>
  </si>
  <si>
    <t>PLUS GEL 30GM</t>
  </si>
  <si>
    <t>RABERA L</t>
  </si>
  <si>
    <t>TOPCAL M</t>
  </si>
  <si>
    <t>TOPCAL O</t>
  </si>
  <si>
    <t>TRAPIDOL D</t>
  </si>
  <si>
    <t>TRIBEN AD</t>
  </si>
  <si>
    <t>TRIBEN B</t>
  </si>
  <si>
    <t>TRIBEN CN</t>
  </si>
  <si>
    <t>TRIBEN</t>
  </si>
  <si>
    <t>TRIBEN EAR</t>
  </si>
  <si>
    <t>Continued..49</t>
  </si>
  <si>
    <t>No..49</t>
  </si>
  <si>
    <t>TRIBEN PLUS</t>
  </si>
  <si>
    <t>ZIX MR 8 MG</t>
  </si>
  <si>
    <t>ZIX MR OD</t>
  </si>
  <si>
    <t>ZIX R OD</t>
  </si>
  <si>
    <t>ZYDOL-P-DS</t>
  </si>
  <si>
    <t>SUSPESION 60ML</t>
  </si>
  <si>
    <t>ZYDOL P</t>
  </si>
  <si>
    <t>LIFECARE NEURO PRODUCT</t>
  </si>
  <si>
    <t>ALBOXID</t>
  </si>
  <si>
    <t>SOFTGEL 10CAP</t>
  </si>
  <si>
    <t>ASENXIT 0.5</t>
  </si>
  <si>
    <t>ASENXIT M</t>
  </si>
  <si>
    <t>ASLOX 10 MG</t>
  </si>
  <si>
    <t>ASLOX 25 MG</t>
  </si>
  <si>
    <t>CALNERVE</t>
  </si>
  <si>
    <t>DIGIVERT 16</t>
  </si>
  <si>
    <t>JOWELL 10</t>
  </si>
  <si>
    <t>JOWELL PLUS</t>
  </si>
  <si>
    <t>LORED 1 MG</t>
  </si>
  <si>
    <t>LORED 2 MG</t>
  </si>
  <si>
    <t>NERVOLON</t>
  </si>
  <si>
    <t>NILEPS 2 MG</t>
  </si>
  <si>
    <t>NILEPS 5 MG</t>
  </si>
  <si>
    <t>PALZOL-D</t>
  </si>
  <si>
    <t>PREBERT NT</t>
  </si>
  <si>
    <t>PROPOL TR</t>
  </si>
  <si>
    <t>40 MG CAP 10CAP</t>
  </si>
  <si>
    <t>QFLOX 20 MG</t>
  </si>
  <si>
    <t>QFLOX 60 MG</t>
  </si>
  <si>
    <t>QUITIN 100</t>
  </si>
  <si>
    <t>QUITIN 25</t>
  </si>
  <si>
    <t>QUITIN 50</t>
  </si>
  <si>
    <t>RIZE PLUS</t>
  </si>
  <si>
    <t>TOPPER 100</t>
  </si>
  <si>
    <t>TOPPER 25</t>
  </si>
  <si>
    <t>TOPPER 50</t>
  </si>
  <si>
    <t>LIFT LIFE BIOTECH PVT.LTD.</t>
  </si>
  <si>
    <t>PROTILIFE</t>
  </si>
  <si>
    <t>MANO PHARMA (ALTHEA)</t>
  </si>
  <si>
    <t>MANO PHARMA (CLASSIC)</t>
  </si>
  <si>
    <t>MANO PHARMA (RHYTHM)</t>
  </si>
  <si>
    <t>MANO PHARMA (SALI)</t>
  </si>
  <si>
    <t>MANO PHARMA (SYMPHONY)</t>
  </si>
  <si>
    <t>MANO PHARMA (SYNCHRONY)</t>
  </si>
  <si>
    <t>MANO PHRMA (HARMONY)</t>
  </si>
  <si>
    <t>Continued..50</t>
  </si>
  <si>
    <t>No..50</t>
  </si>
  <si>
    <t>MARKSANS (CEREBELLA CNS)</t>
  </si>
  <si>
    <t>DIVELLA ER</t>
  </si>
  <si>
    <t>GOLDEP SR</t>
  </si>
  <si>
    <t>ICTALAM 100</t>
  </si>
  <si>
    <t>LVT MARK</t>
  </si>
  <si>
    <t>METHOVIT</t>
  </si>
  <si>
    <t>BETA CAP 10CAP</t>
  </si>
  <si>
    <t>NIRSAN MD 1</t>
  </si>
  <si>
    <t>OLANZOTIC</t>
  </si>
  <si>
    <t>PREBELLA 75</t>
  </si>
  <si>
    <t>PREBELLA M</t>
  </si>
  <si>
    <t>QT 100 MG</t>
  </si>
  <si>
    <t>QT 25 MG</t>
  </si>
  <si>
    <t>QT-50 MG</t>
  </si>
  <si>
    <t>QT SR 200</t>
  </si>
  <si>
    <t>SERACOLIN</t>
  </si>
  <si>
    <t>SERACOLIN-P</t>
  </si>
  <si>
    <t>XL PARO</t>
  </si>
  <si>
    <t>XL PARO 25</t>
  </si>
  <si>
    <t>MED MANOR ORGANICS PVT.LTD.(GLORIA)</t>
  </si>
  <si>
    <t>ACNAY GEL</t>
  </si>
  <si>
    <t>ACNEREX BAR</t>
  </si>
  <si>
    <t>75GM</t>
  </si>
  <si>
    <t>ACNEREX</t>
  </si>
  <si>
    <t>FACE WASH 75GM</t>
  </si>
  <si>
    <t>BILAHIST</t>
  </si>
  <si>
    <t>FUSIMIN</t>
  </si>
  <si>
    <t>GLYMED BAR</t>
  </si>
  <si>
    <t>GLYMED</t>
  </si>
  <si>
    <t>LOTION 250ML</t>
  </si>
  <si>
    <t>KETO 4S</t>
  </si>
  <si>
    <t>KETO AZ</t>
  </si>
  <si>
    <t>SOLUTION 75ML</t>
  </si>
  <si>
    <t>KETO BAR</t>
  </si>
  <si>
    <t>KETO B</t>
  </si>
  <si>
    <t>KETO CREAM</t>
  </si>
  <si>
    <t>KETO GOLD</t>
  </si>
  <si>
    <t>PREMIUM 100GM</t>
  </si>
  <si>
    <t>KETO LOTION</t>
  </si>
  <si>
    <t>50ML</t>
  </si>
  <si>
    <t>KETO POWDER</t>
  </si>
  <si>
    <t>KOJIMED</t>
  </si>
  <si>
    <t>MEDICLIN</t>
  </si>
  <si>
    <t>SOAP 75GMS</t>
  </si>
  <si>
    <t>M-NEURON</t>
  </si>
  <si>
    <t>PSORALYS</t>
  </si>
  <si>
    <t>RABNOR O</t>
  </si>
  <si>
    <t>SETRABET B</t>
  </si>
  <si>
    <t>SETRABET</t>
  </si>
  <si>
    <t>CREAM 30GMS</t>
  </si>
  <si>
    <t>TRICHOTON</t>
  </si>
  <si>
    <t>AT TAB 10TAB</t>
  </si>
  <si>
    <t>TRIPCY PAIN</t>
  </si>
  <si>
    <t>RELIEF SPRAY 50GM</t>
  </si>
  <si>
    <t>TRU HAIR</t>
  </si>
  <si>
    <t>MED MANOR ORGANICS PVT.LTD.(MED MRNOR)</t>
  </si>
  <si>
    <t>Continued..51</t>
  </si>
  <si>
    <t>No..51</t>
  </si>
  <si>
    <t>CALORA</t>
  </si>
  <si>
    <t>LOTION 100ML 100ML</t>
  </si>
  <si>
    <t>KEFMED DS</t>
  </si>
  <si>
    <t>KETOMED +</t>
  </si>
  <si>
    <t>BAR 50GM</t>
  </si>
  <si>
    <t>KETONATE</t>
  </si>
  <si>
    <t>KETO SZ</t>
  </si>
  <si>
    <t>HAIR WASH 120ML</t>
  </si>
  <si>
    <t>KUFRIL D</t>
  </si>
  <si>
    <t>KUFRIL</t>
  </si>
  <si>
    <t>EXPECTORENT 100ML</t>
  </si>
  <si>
    <t>KUFRIL LS</t>
  </si>
  <si>
    <t>KUFRYL D</t>
  </si>
  <si>
    <t>LANTRAZ-100</t>
  </si>
  <si>
    <t>LANTRAZ-200</t>
  </si>
  <si>
    <t>MEDMOX CV</t>
  </si>
  <si>
    <t>457 SACHET 1PACK</t>
  </si>
  <si>
    <t>DS SYP 30ML</t>
  </si>
  <si>
    <t>PARAWEL 325</t>
  </si>
  <si>
    <t>PARAWEL</t>
  </si>
  <si>
    <t>PERMED BAR</t>
  </si>
  <si>
    <t>PERMED GEL</t>
  </si>
  <si>
    <t>PERMED</t>
  </si>
  <si>
    <t>SKINN C</t>
  </si>
  <si>
    <t>SOAP 75GM</t>
  </si>
  <si>
    <t>TENDERSOFT</t>
  </si>
  <si>
    <t>BAR 75GM</t>
  </si>
  <si>
    <t>TRICHOTONE</t>
  </si>
  <si>
    <t>ZINCOLD</t>
  </si>
  <si>
    <t>JR.TAB 10TAB</t>
  </si>
  <si>
    <t>PLUS SYRUP 60ML</t>
  </si>
  <si>
    <t>MED MANOR ORGANICS PVT.LTD.(MED SUN)</t>
  </si>
  <si>
    <t>TRAVAIL H</t>
  </si>
  <si>
    <t>KIT 1KIT</t>
  </si>
  <si>
    <t>MEHTA &amp; SONS.</t>
  </si>
  <si>
    <t>NEUROBION</t>
  </si>
  <si>
    <t>MICRO A(B &amp; B)</t>
  </si>
  <si>
    <t>ALLERCET DC</t>
  </si>
  <si>
    <t>ALLERCET</t>
  </si>
  <si>
    <t>PEDTAB 10TAB</t>
  </si>
  <si>
    <t>BACTOCLAV</t>
  </si>
  <si>
    <t>DRY SYP (COM.PACK) 30ML</t>
  </si>
  <si>
    <t>DS 457 MG SYP 30ML</t>
  </si>
  <si>
    <t>NEUROCETAM</t>
  </si>
  <si>
    <t>800 MG TAB 10TAB</t>
  </si>
  <si>
    <t>INJ. 15ML</t>
  </si>
  <si>
    <t>OSTONEX D3</t>
  </si>
  <si>
    <t>PHYTORAL</t>
  </si>
  <si>
    <t>PULMOCEF</t>
  </si>
  <si>
    <t>Continued..52</t>
  </si>
  <si>
    <t>No..52</t>
  </si>
  <si>
    <t>PULMOCEF CV</t>
  </si>
  <si>
    <t>250 MG TAB 4TAB</t>
  </si>
  <si>
    <t>500 MG TAB 4TAB</t>
  </si>
  <si>
    <t>PULMOCEF LZ</t>
  </si>
  <si>
    <t>SACROLYTE</t>
  </si>
  <si>
    <t>SACHET 1SCH.</t>
  </si>
  <si>
    <t>ZOLPID 10</t>
  </si>
  <si>
    <t>MICRO B CARSYON-2</t>
  </si>
  <si>
    <t>AMLOZAAR H</t>
  </si>
  <si>
    <t>AMLOZAAR</t>
  </si>
  <si>
    <t>ANGIZAAR 25</t>
  </si>
  <si>
    <t>ANGIZAAR 50</t>
  </si>
  <si>
    <t>ANGIZAAR H</t>
  </si>
  <si>
    <t>DIANORM 80</t>
  </si>
  <si>
    <t>DIANORM M</t>
  </si>
  <si>
    <t>OD TAB 10TAB</t>
  </si>
  <si>
    <t>DIANORM OD</t>
  </si>
  <si>
    <t>DIANORM</t>
  </si>
  <si>
    <t>TOTAL 30 MG TAB 10TAB</t>
  </si>
  <si>
    <t>TOTAL 60 MG TAB 10TAB</t>
  </si>
  <si>
    <t>HIPRIL A</t>
  </si>
  <si>
    <t>PIONORM 15</t>
  </si>
  <si>
    <t>PIONORM M</t>
  </si>
  <si>
    <t>TURBOVAS 10</t>
  </si>
  <si>
    <t>TURBOVAS 20</t>
  </si>
  <si>
    <t>TURBOVAS 40</t>
  </si>
  <si>
    <t>TURBOVAS 5</t>
  </si>
  <si>
    <t>TURBOVAS</t>
  </si>
  <si>
    <t>TURBOVAS CV</t>
  </si>
  <si>
    <t>TURBOVAS F</t>
  </si>
  <si>
    <t>GOLD 20 MG TAB 10TAB</t>
  </si>
  <si>
    <t>VILPOWER M</t>
  </si>
  <si>
    <t>VITAMER EA</t>
  </si>
  <si>
    <t>VOGLINORM</t>
  </si>
  <si>
    <t>GM 1/0.3 MG TAB 10TAB</t>
  </si>
  <si>
    <t>GM 1 MG TAB 10TAB</t>
  </si>
  <si>
    <t>GM 1 MG TAB 15TAB</t>
  </si>
  <si>
    <t>GM 2/0.3 MG TAB 10TAB</t>
  </si>
  <si>
    <t>GM 2 MG TAB 15TAB</t>
  </si>
  <si>
    <t>GM FORTE 2 MG TAB 10TAB</t>
  </si>
  <si>
    <t>VOGLINORM M</t>
  </si>
  <si>
    <t>ZILARTA 40</t>
  </si>
  <si>
    <t>ZILARTA 80</t>
  </si>
  <si>
    <t>ZILARTA CT</t>
  </si>
  <si>
    <t>MICRO B CARSYON-3</t>
  </si>
  <si>
    <t>CARVIDON MR</t>
  </si>
  <si>
    <t>CARVIDON OD</t>
  </si>
  <si>
    <t>NEBILONG</t>
  </si>
  <si>
    <t>NEBILONG AM</t>
  </si>
  <si>
    <t>NEBILONG H</t>
  </si>
  <si>
    <t>NULONG 10</t>
  </si>
  <si>
    <t>NULONG 5 MG</t>
  </si>
  <si>
    <t>NULONG OL</t>
  </si>
  <si>
    <t>NULONG TRIO</t>
  </si>
  <si>
    <t>Continued..53</t>
  </si>
  <si>
    <t>No..53</t>
  </si>
  <si>
    <t>OLMAT 20 MG</t>
  </si>
  <si>
    <t>OLMAT 40 MG</t>
  </si>
  <si>
    <t>OLMAT AM 20</t>
  </si>
  <si>
    <t>OLMAT AM 40</t>
  </si>
  <si>
    <t>OLMAT AM H</t>
  </si>
  <si>
    <t>OLMAT CT 20</t>
  </si>
  <si>
    <t>OLMAT CT 40</t>
  </si>
  <si>
    <t>OLMAT H 40</t>
  </si>
  <si>
    <t>OLMAT MT 25</t>
  </si>
  <si>
    <t>OLMAT MT 50</t>
  </si>
  <si>
    <t>OLMAT TRIO</t>
  </si>
  <si>
    <t>RESVINOL</t>
  </si>
  <si>
    <t>GOLD CAP 15CAP</t>
  </si>
  <si>
    <t>TRIPRIDE LP</t>
  </si>
  <si>
    <t>MICRO C CARSYON</t>
  </si>
  <si>
    <t>AMLONG 10</t>
  </si>
  <si>
    <t>AMLONG 2.5</t>
  </si>
  <si>
    <t>AMLONG 5 MG</t>
  </si>
  <si>
    <t>AMLONG A 25</t>
  </si>
  <si>
    <t>AMLONG A</t>
  </si>
  <si>
    <t>AMLONG H</t>
  </si>
  <si>
    <t>AMLONG MT</t>
  </si>
  <si>
    <t>25 MG TAB 7TAB</t>
  </si>
  <si>
    <t>50 MG TAB 7TAB</t>
  </si>
  <si>
    <t>AMLONG TL</t>
  </si>
  <si>
    <t>ANGIPLAT</t>
  </si>
  <si>
    <t>2.5 MG TAB 25TAB</t>
  </si>
  <si>
    <t>6.5 MG TAB 25TAB</t>
  </si>
  <si>
    <t>AVAS 10 MG</t>
  </si>
  <si>
    <t>AVAS 20 MG</t>
  </si>
  <si>
    <t>AVAS 40 MG</t>
  </si>
  <si>
    <t>AVAS 5 MG</t>
  </si>
  <si>
    <t>AVAS CV 10</t>
  </si>
  <si>
    <t>AVAS CV 20</t>
  </si>
  <si>
    <t>CALOSOFT AF</t>
  </si>
  <si>
    <t>MOXILONG</t>
  </si>
  <si>
    <t>PLAGERINE A</t>
  </si>
  <si>
    <t>PLAGERINE</t>
  </si>
  <si>
    <t>S-AMLONG</t>
  </si>
  <si>
    <t>TELPLUS</t>
  </si>
  <si>
    <t>TORSILONG</t>
  </si>
  <si>
    <t>TORSILONG 5</t>
  </si>
  <si>
    <t>MICRO D(CARDI CARE)</t>
  </si>
  <si>
    <t>AMIODAR 100</t>
  </si>
  <si>
    <t>AMIODAR 200</t>
  </si>
  <si>
    <t>ARBITEL 20</t>
  </si>
  <si>
    <t>ARBITEL 40</t>
  </si>
  <si>
    <t>ARBITEL 80</t>
  </si>
  <si>
    <t>ARBITEL AM</t>
  </si>
  <si>
    <t>ARBITEL AMH</t>
  </si>
  <si>
    <t>ARBITEL AV</t>
  </si>
  <si>
    <t>Continued..54</t>
  </si>
  <si>
    <t>No..54</t>
  </si>
  <si>
    <t>ARBITEL CT</t>
  </si>
  <si>
    <t>ARBITEL H</t>
  </si>
  <si>
    <t>ARBITEL MT</t>
  </si>
  <si>
    <t>ARBITEL</t>
  </si>
  <si>
    <t>TRIO 25 MG TAB 10TAB</t>
  </si>
  <si>
    <t>TRIO 50 MG TAB 10TAB</t>
  </si>
  <si>
    <t>ASTIN 10 MG</t>
  </si>
  <si>
    <t>ASTIN 20 MG</t>
  </si>
  <si>
    <t>ASTIN 40 MG</t>
  </si>
  <si>
    <t>ASTIN CV 10</t>
  </si>
  <si>
    <t>ASTIN CV 20</t>
  </si>
  <si>
    <t>ASTIN D 10</t>
  </si>
  <si>
    <t>ASTIN D 20</t>
  </si>
  <si>
    <t>BENLONG 4</t>
  </si>
  <si>
    <t>BENLONG 8</t>
  </si>
  <si>
    <t>CARTINEX</t>
  </si>
  <si>
    <t>CARVIPRESS</t>
  </si>
  <si>
    <t>CHANNEL 30</t>
  </si>
  <si>
    <t>CHANNEL 60</t>
  </si>
  <si>
    <t>CHANNEL SR</t>
  </si>
  <si>
    <t>120 MG CAP 10CAP</t>
  </si>
  <si>
    <t>90 MG CAP 10CAP</t>
  </si>
  <si>
    <t>DABILONG</t>
  </si>
  <si>
    <t>110 MG CAP 10CAP</t>
  </si>
  <si>
    <t>DABILONG 75</t>
  </si>
  <si>
    <t>HOPACE 10</t>
  </si>
  <si>
    <t>HOPACE 1.25</t>
  </si>
  <si>
    <t>HOPACE 2.5</t>
  </si>
  <si>
    <t>HOPACE 5 MG</t>
  </si>
  <si>
    <t>HOPACE H 5</t>
  </si>
  <si>
    <t>HOPACE H</t>
  </si>
  <si>
    <t>HOPACE MT</t>
  </si>
  <si>
    <t>METAPRO AM</t>
  </si>
  <si>
    <t>METAPRO CL</t>
  </si>
  <si>
    <t>METAPRO XL</t>
  </si>
  <si>
    <t>NITROFIX 10</t>
  </si>
  <si>
    <t>NITROFIX 20</t>
  </si>
  <si>
    <t>NITROFIX SR</t>
  </si>
  <si>
    <t>TORSINEX 10</t>
  </si>
  <si>
    <t>TORSINEX 20</t>
  </si>
  <si>
    <t>TORSINEX</t>
  </si>
  <si>
    <t>FORTE 10 MG TAB 10TAB</t>
  </si>
  <si>
    <t>FORTE 20 MG TAB 10TAB</t>
  </si>
  <si>
    <t>FORTE 5 MG TAB 10TAB</t>
  </si>
  <si>
    <t>VILPOWER 50</t>
  </si>
  <si>
    <t>MICRO E CDERMA</t>
  </si>
  <si>
    <t>Continued..55</t>
  </si>
  <si>
    <t>No..55</t>
  </si>
  <si>
    <t>CUTIWASH</t>
  </si>
  <si>
    <t>FACE WASH 60ML</t>
  </si>
  <si>
    <t>SOFT FACE WASH 60ML</t>
  </si>
  <si>
    <t>SOFT F/W GEL 100GM</t>
  </si>
  <si>
    <t>DENSUEX</t>
  </si>
  <si>
    <t>HAIR SERUM 60ML</t>
  </si>
  <si>
    <t>I-PHYTORAL</t>
  </si>
  <si>
    <t>NUTRICAP H</t>
  </si>
  <si>
    <t>SOFTGEL 15CAP</t>
  </si>
  <si>
    <t>NUTRICAP S</t>
  </si>
  <si>
    <t>ONETONE</t>
  </si>
  <si>
    <t>0.3% CREAM 20GM</t>
  </si>
  <si>
    <t>PLUS CREAM 20GM</t>
  </si>
  <si>
    <t>PHYTORAL B</t>
  </si>
  <si>
    <t>LOTION 75ML</t>
  </si>
  <si>
    <t>PHYTORAL SP</t>
  </si>
  <si>
    <t>PHYTORAL XL</t>
  </si>
  <si>
    <t>TRIWHITE</t>
  </si>
  <si>
    <t>MICRO E VISION {SKIN}</t>
  </si>
  <si>
    <t>AZIDERM 10%</t>
  </si>
  <si>
    <t>AZIDERM 15%</t>
  </si>
  <si>
    <t>AZIDERM 20%</t>
  </si>
  <si>
    <t>BETAGEL</t>
  </si>
  <si>
    <t>BETAGEL G</t>
  </si>
  <si>
    <t>CALOSOFT</t>
  </si>
  <si>
    <t>PLUS LOTION 50ML</t>
  </si>
  <si>
    <t>COVERIT 2%</t>
  </si>
  <si>
    <t>COVERIT 5%</t>
  </si>
  <si>
    <t>FINTRIX 500</t>
  </si>
  <si>
    <t>GLYCO 12</t>
  </si>
  <si>
    <t>GLYCO 6</t>
  </si>
  <si>
    <t>GLYCO A</t>
  </si>
  <si>
    <t>HERPERAX</t>
  </si>
  <si>
    <t>SKIN OINT 5GM</t>
  </si>
  <si>
    <t>KOJIVIT GEL</t>
  </si>
  <si>
    <t>KOJIVIT</t>
  </si>
  <si>
    <t>PLUS CREAM 30GM</t>
  </si>
  <si>
    <t>ULTRA GEL 30GM</t>
  </si>
  <si>
    <t>LORINOL 10</t>
  </si>
  <si>
    <t>LORINOL MD</t>
  </si>
  <si>
    <t>L-TRIX</t>
  </si>
  <si>
    <t>MICROBACT</t>
  </si>
  <si>
    <t>MINOLOX 100</t>
  </si>
  <si>
    <t>MINOLOX 50</t>
  </si>
  <si>
    <t>MONOGAURD</t>
  </si>
  <si>
    <t>MONOGUARD-B</t>
  </si>
  <si>
    <t>MONOGUARD</t>
  </si>
  <si>
    <t>NILAC A GEL</t>
  </si>
  <si>
    <t>NILAC GEL</t>
  </si>
  <si>
    <t>NUSOFT SOAP</t>
  </si>
  <si>
    <t>1BAR</t>
  </si>
  <si>
    <t>OXIDON PLUS</t>
  </si>
  <si>
    <t>CAP 10CAP 35</t>
  </si>
  <si>
    <t>PHOTOBAN 30</t>
  </si>
  <si>
    <t>AQUAGEL 100GM</t>
  </si>
  <si>
    <t>AQUAGEL 60GM</t>
  </si>
  <si>
    <t>PHOTOBAN 50</t>
  </si>
  <si>
    <t>Continued..56</t>
  </si>
  <si>
    <t>No..56</t>
  </si>
  <si>
    <t>SECALIA</t>
  </si>
  <si>
    <t>TRIVATE MX</t>
  </si>
  <si>
    <t>OINTMENT 20GM</t>
  </si>
  <si>
    <t>MICRO F (DIABETIC TASK FORCE)</t>
  </si>
  <si>
    <t>DIAPRIDE 1</t>
  </si>
  <si>
    <t>DIAPRIDE 2</t>
  </si>
  <si>
    <t>DIAPRIDE M</t>
  </si>
  <si>
    <t>1 FORTE TAB 30TAB</t>
  </si>
  <si>
    <t>DIAPRIDE M1</t>
  </si>
  <si>
    <t>HV TAB 10TAB</t>
  </si>
  <si>
    <t>LV TAB 15TAB</t>
  </si>
  <si>
    <t>1 MG TAB 15TAB</t>
  </si>
  <si>
    <t>2 FORTE TAB 30TAB</t>
  </si>
  <si>
    <t>DIAPRIDE M2</t>
  </si>
  <si>
    <t>2 MG TAB 15TAB</t>
  </si>
  <si>
    <t>DIAPRIDE M3</t>
  </si>
  <si>
    <t>3 FORTE TAB 30TAB</t>
  </si>
  <si>
    <t>DIAPRIDE M4</t>
  </si>
  <si>
    <t>4 FORTE TAB 30TAB</t>
  </si>
  <si>
    <t>DIARICH</t>
  </si>
  <si>
    <t>DIBIZIDE M</t>
  </si>
  <si>
    <t>MECONERV</t>
  </si>
  <si>
    <t>MELCOVIT</t>
  </si>
  <si>
    <t>GOLD CAP $ 10CAP</t>
  </si>
  <si>
    <t>MELMET 1000</t>
  </si>
  <si>
    <t>MG SR TAB 15TAB</t>
  </si>
  <si>
    <t>MELMET 500</t>
  </si>
  <si>
    <t>MG SR TAB 20TAB</t>
  </si>
  <si>
    <t>PREGATOR</t>
  </si>
  <si>
    <t>TENEPRIDE</t>
  </si>
  <si>
    <t>20 MG TAB 30TAB</t>
  </si>
  <si>
    <t>TENEPRIDE M</t>
  </si>
  <si>
    <t>TRIPRIDE 1</t>
  </si>
  <si>
    <t>TRIPRIDE 2</t>
  </si>
  <si>
    <t>TRIPRIDE</t>
  </si>
  <si>
    <t>TRIPRIDE HV</t>
  </si>
  <si>
    <t>TRIPRIDE LV</t>
  </si>
  <si>
    <t>VILDAPRIDE</t>
  </si>
  <si>
    <t>M 1000 MG TAB 10TAB</t>
  </si>
  <si>
    <t>M 500 MG TAB 10TAB</t>
  </si>
  <si>
    <t>MICRO G HEALTHCARE</t>
  </si>
  <si>
    <t>MOX CV 91.4</t>
  </si>
  <si>
    <t>MG DROP 10ML</t>
  </si>
  <si>
    <t>OSTOGARD GM</t>
  </si>
  <si>
    <t>MICRO H LABS LTD.</t>
  </si>
  <si>
    <t>BUCAY</t>
  </si>
  <si>
    <t>CARIPILL</t>
  </si>
  <si>
    <t>DOLO 120 MG</t>
  </si>
  <si>
    <t>Continued..57</t>
  </si>
  <si>
    <t>No..57</t>
  </si>
  <si>
    <t>DOLO 250 MG</t>
  </si>
  <si>
    <t>DOLO 500 MG</t>
  </si>
  <si>
    <t>DOLO 650 MG</t>
  </si>
  <si>
    <t>DOLO DROP</t>
  </si>
  <si>
    <t>DOLO MF SYP</t>
  </si>
  <si>
    <t>DOLOTUSS SF</t>
  </si>
  <si>
    <t>SYP 100ML.</t>
  </si>
  <si>
    <t>EBAST 10 MG</t>
  </si>
  <si>
    <t>EBAST 20 MG</t>
  </si>
  <si>
    <t>EBAST DC</t>
  </si>
  <si>
    <t>ETIZEP 0.5</t>
  </si>
  <si>
    <t>GRAMOCEF L</t>
  </si>
  <si>
    <t>GRAMOCEF O</t>
  </si>
  <si>
    <t>50 ORAL SUSP. 30ML</t>
  </si>
  <si>
    <t>IREX SYRUP</t>
  </si>
  <si>
    <t>150ML</t>
  </si>
  <si>
    <t>MICRODOX</t>
  </si>
  <si>
    <t>SILYBON 140</t>
  </si>
  <si>
    <t>SILYBON 70</t>
  </si>
  <si>
    <t>SILYBON SYP</t>
  </si>
  <si>
    <t>MICRO H LABS2</t>
  </si>
  <si>
    <t>DOLOWIN</t>
  </si>
  <si>
    <t>DOLOWIN MR</t>
  </si>
  <si>
    <t>SPAS TAB 10TAB</t>
  </si>
  <si>
    <t>DOLOWIN SR</t>
  </si>
  <si>
    <t>ESOFAG 40</t>
  </si>
  <si>
    <t>ESOFAG D</t>
  </si>
  <si>
    <t>ESOFAG L</t>
  </si>
  <si>
    <t>GRAMOCEF CV</t>
  </si>
  <si>
    <t>GRAMOCEF OF</t>
  </si>
  <si>
    <t>LINOSEPT</t>
  </si>
  <si>
    <t>NORDYS 200</t>
  </si>
  <si>
    <t>NORDYS 400</t>
  </si>
  <si>
    <t>NORDYS 550</t>
  </si>
  <si>
    <t>USIBON 150</t>
  </si>
  <si>
    <t>USIBON 300</t>
  </si>
  <si>
    <t>MICRO I NOVA</t>
  </si>
  <si>
    <t>AZILIDE 100</t>
  </si>
  <si>
    <t>MG REDI.SUSP. 15ML</t>
  </si>
  <si>
    <t>AZILIDE 200</t>
  </si>
  <si>
    <t>MG REDI.SUSP 15ML</t>
  </si>
  <si>
    <t>AZILIDE 250</t>
  </si>
  <si>
    <t>AZILIDE 500</t>
  </si>
  <si>
    <t>AZILIDE DT</t>
  </si>
  <si>
    <t>AZILIDE XL</t>
  </si>
  <si>
    <t>200 MG REDIMED 30ML</t>
  </si>
  <si>
    <t>BILAST M</t>
  </si>
  <si>
    <t>CALNIFIT</t>
  </si>
  <si>
    <t>DOLOPAR 125</t>
  </si>
  <si>
    <t>DOLOPAR 250</t>
  </si>
  <si>
    <t>MG SUSPENSION 60ML</t>
  </si>
  <si>
    <t>DOLOPAR 650</t>
  </si>
  <si>
    <t>DOLOPAR</t>
  </si>
  <si>
    <t>DOLOPAR MDS</t>
  </si>
  <si>
    <t>DOLOPAR M</t>
  </si>
  <si>
    <t>Continued..58</t>
  </si>
  <si>
    <t>No..58</t>
  </si>
  <si>
    <t>FEROX XT</t>
  </si>
  <si>
    <t>GINKOBA M</t>
  </si>
  <si>
    <t>HICET DC</t>
  </si>
  <si>
    <t>MICROCEF</t>
  </si>
  <si>
    <t>100 MG ORAL SUSP 30ML</t>
  </si>
  <si>
    <t>MICROCEF 50</t>
  </si>
  <si>
    <t>MG ORAL SUSP. 30ML</t>
  </si>
  <si>
    <t>MICROCEF CV</t>
  </si>
  <si>
    <t>100 MG DT 10TAB</t>
  </si>
  <si>
    <t>CV-50 DRY SYP 30ML</t>
  </si>
  <si>
    <t>MICROCEF O</t>
  </si>
  <si>
    <t>PANTOTAB</t>
  </si>
  <si>
    <t>RABEOZ TAB</t>
  </si>
  <si>
    <t>VENTRYL D</t>
  </si>
  <si>
    <t>VENTRYL</t>
  </si>
  <si>
    <t>EXPT. S 60ML</t>
  </si>
  <si>
    <t>VENTRYL LS</t>
  </si>
  <si>
    <t>MICRO J VISION</t>
  </si>
  <si>
    <t>ALCAFT EYE</t>
  </si>
  <si>
    <t>BFN EYE</t>
  </si>
  <si>
    <t>CORNIGEL</t>
  </si>
  <si>
    <t>EYE OINT 5GM</t>
  </si>
  <si>
    <t>FBN EYE</t>
  </si>
  <si>
    <t>FLUMACE EYE</t>
  </si>
  <si>
    <t>LOPRES 0.5%</t>
  </si>
  <si>
    <t>LUBREX DS</t>
  </si>
  <si>
    <t>LUBREX EYE</t>
  </si>
  <si>
    <t>LUBREX UNO</t>
  </si>
  <si>
    <t>EYE DROP 5*0.4ML</t>
  </si>
  <si>
    <t>MICRONAC PF</t>
  </si>
  <si>
    <t>MISOPT EYE</t>
  </si>
  <si>
    <t>MOISTANE</t>
  </si>
  <si>
    <t>MOXIGRAM D</t>
  </si>
  <si>
    <t>MOXIGRAM</t>
  </si>
  <si>
    <t>MOXIGRAM KT</t>
  </si>
  <si>
    <t>MOXIGRAM LX</t>
  </si>
  <si>
    <t>NEXTANE</t>
  </si>
  <si>
    <t>SOLUTION 10ML</t>
  </si>
  <si>
    <t>OFLACIN DX</t>
  </si>
  <si>
    <t>E/E DROP 10ML</t>
  </si>
  <si>
    <t>OFLACIN EYE</t>
  </si>
  <si>
    <t>RAPIDON OD</t>
  </si>
  <si>
    <t>TRAVO EYE</t>
  </si>
  <si>
    <t>DROP 3ML</t>
  </si>
  <si>
    <t>TRAVO Z EYE</t>
  </si>
  <si>
    <t>MICRO K VISION (LUMIRA DIV)</t>
  </si>
  <si>
    <t>BETABRIM</t>
  </si>
  <si>
    <t>BETAFREE</t>
  </si>
  <si>
    <t>EPITANE</t>
  </si>
  <si>
    <t>EXTRAGAT</t>
  </si>
  <si>
    <t>EXTRALUBE</t>
  </si>
  <si>
    <t>FLURISONE</t>
  </si>
  <si>
    <t>FLURISONE T</t>
  </si>
  <si>
    <t>LAPROST EYE</t>
  </si>
  <si>
    <t>LEVOBACT</t>
  </si>
  <si>
    <t>0.5% EYE DROP 5ML</t>
  </si>
  <si>
    <t>LORINOL EYE</t>
  </si>
  <si>
    <t>MICROGAT</t>
  </si>
  <si>
    <t>MICRONAC</t>
  </si>
  <si>
    <t>OPTOCIN EYE</t>
  </si>
  <si>
    <t>TREHALUBE</t>
  </si>
  <si>
    <t>MICRO L SYNAPSE</t>
  </si>
  <si>
    <t>DOTHIP 25</t>
  </si>
  <si>
    <t>DOTHIP 50</t>
  </si>
  <si>
    <t>DOTHIP 75</t>
  </si>
  <si>
    <t>LEVACETAM</t>
  </si>
  <si>
    <t>LICOTAR 100</t>
  </si>
  <si>
    <t>LICOTAR 50</t>
  </si>
  <si>
    <t>MICROLIV</t>
  </si>
  <si>
    <t>MIRAZEP 15</t>
  </si>
  <si>
    <t>NEURICA-BT</t>
  </si>
  <si>
    <t>NEURICA M</t>
  </si>
  <si>
    <t>NEURICA NT</t>
  </si>
  <si>
    <t>NICERBIUM</t>
  </si>
  <si>
    <t>OLAN 10 MG</t>
  </si>
  <si>
    <t>OLAN 5 MG</t>
  </si>
  <si>
    <t>PETRIL 0.5</t>
  </si>
  <si>
    <t>PETRIL 1 MG</t>
  </si>
  <si>
    <t>PETRIL 2 MG</t>
  </si>
  <si>
    <t>PETRIL BETA</t>
  </si>
  <si>
    <t>PETRIL MD</t>
  </si>
  <si>
    <t>PETRIL PLUS</t>
  </si>
  <si>
    <t>RISPOND 1</t>
  </si>
  <si>
    <t>RISPOND 2</t>
  </si>
  <si>
    <t>RISPOND</t>
  </si>
  <si>
    <t>PLUS LS TAB 10TAB</t>
  </si>
  <si>
    <t>S CELEPRA</t>
  </si>
  <si>
    <t>S CELEPRA 5</t>
  </si>
  <si>
    <t>VALPRID CR</t>
  </si>
  <si>
    <t>VERSIDEP</t>
  </si>
  <si>
    <t>ZOVANE 20</t>
  </si>
  <si>
    <t>ZOVANE 40</t>
  </si>
  <si>
    <t>Continued..59</t>
  </si>
  <si>
    <t>No..59</t>
  </si>
  <si>
    <t>MICRO M SYNCRO</t>
  </si>
  <si>
    <t>MAXPRIDE</t>
  </si>
  <si>
    <t>MAXPRIDE 50</t>
  </si>
  <si>
    <t>NEUROVIN</t>
  </si>
  <si>
    <t>PANEX CR</t>
  </si>
  <si>
    <t>PANEX CR 25</t>
  </si>
  <si>
    <t>SYCLOP 100</t>
  </si>
  <si>
    <t>ZOTRAL 50</t>
  </si>
  <si>
    <t>MICRO N NUTRICA</t>
  </si>
  <si>
    <t>BIOVITAL</t>
  </si>
  <si>
    <t>GOLD TAB 15TAB</t>
  </si>
  <si>
    <t>30PC</t>
  </si>
  <si>
    <t>MICRO O EROS</t>
  </si>
  <si>
    <t>MONTRAL KID</t>
  </si>
  <si>
    <t>MONTRAL</t>
  </si>
  <si>
    <t>PANTOCAR 40</t>
  </si>
  <si>
    <t>PANTOCAR D</t>
  </si>
  <si>
    <t>RITE O CEF</t>
  </si>
  <si>
    <t>SALBID LS</t>
  </si>
  <si>
    <t>MSN LAB.LTD (CV 1 DIV.)</t>
  </si>
  <si>
    <t>AZILURA 40</t>
  </si>
  <si>
    <t>AZILURA 80</t>
  </si>
  <si>
    <t>FIGO MS 0.5</t>
  </si>
  <si>
    <t>ILET B 1 MG</t>
  </si>
  <si>
    <t>ILET B 2 MG</t>
  </si>
  <si>
    <t>ILET BP 1</t>
  </si>
  <si>
    <t>ILET BP 2</t>
  </si>
  <si>
    <t>ILET TRIO 1</t>
  </si>
  <si>
    <t>ILET TRIO 2</t>
  </si>
  <si>
    <t>LDNIL 10 MG</t>
  </si>
  <si>
    <t>LDNIL F 10</t>
  </si>
  <si>
    <t>PAH 20 MG</t>
  </si>
  <si>
    <t>PULMONEXT</t>
  </si>
  <si>
    <t>PULMONEXT 5</t>
  </si>
  <si>
    <t>KIT 20TAB</t>
  </si>
  <si>
    <t>RAN CV 1000</t>
  </si>
  <si>
    <t>RAN CV 500</t>
  </si>
  <si>
    <t>ROSUR 10 MG</t>
  </si>
  <si>
    <t>ROSUR 20 MG</t>
  </si>
  <si>
    <t>ROSUR 40 MG</t>
  </si>
  <si>
    <t>ROSUR 5 MG</t>
  </si>
  <si>
    <t>ROSUR ASP</t>
  </si>
  <si>
    <t>ROSUR CV</t>
  </si>
  <si>
    <t>ROSUR F 10</t>
  </si>
  <si>
    <t>ROSUR GOLD</t>
  </si>
  <si>
    <t>SAFETELMI</t>
  </si>
  <si>
    <t>AM TAB 10TAB</t>
  </si>
  <si>
    <t>CT 40 MG TAB 10TAB</t>
  </si>
  <si>
    <t>Continued..60</t>
  </si>
  <si>
    <t>No..60</t>
  </si>
  <si>
    <t>CT 80 MG TAB 10TAB</t>
  </si>
  <si>
    <t>SAFETELMI H</t>
  </si>
  <si>
    <t>TOLVAT 15</t>
  </si>
  <si>
    <t>TOLVAT 30</t>
  </si>
  <si>
    <t>VILU 50 MG</t>
  </si>
  <si>
    <t>VILUMET</t>
  </si>
  <si>
    <t>VILUMET 500</t>
  </si>
  <si>
    <t>MSN LAB.LTD (CV 2 DIV)</t>
  </si>
  <si>
    <t>DABIFIB 110</t>
  </si>
  <si>
    <t>DABIFIB 150</t>
  </si>
  <si>
    <t>DABIFIB 75</t>
  </si>
  <si>
    <t>EPNONE 25</t>
  </si>
  <si>
    <t>EPNONE 50</t>
  </si>
  <si>
    <t>EPNONE T 10</t>
  </si>
  <si>
    <t>MG TAB 10+10TAB</t>
  </si>
  <si>
    <t>EPNONE T 20</t>
  </si>
  <si>
    <t>MACITENT 10</t>
  </si>
  <si>
    <t>METONCE 25</t>
  </si>
  <si>
    <t>METONCE 50</t>
  </si>
  <si>
    <t>METONCE AM</t>
  </si>
  <si>
    <t>PULMOFIB</t>
  </si>
  <si>
    <t>267 MG TAB 10TAB</t>
  </si>
  <si>
    <t>801 MG TAB 10TAB</t>
  </si>
  <si>
    <t>RIOCI 0.5</t>
  </si>
  <si>
    <t>RIOCI 1.5</t>
  </si>
  <si>
    <t>RIOCI 1 MG</t>
  </si>
  <si>
    <t>RIOCI 2.5</t>
  </si>
  <si>
    <t>RIOCI 2 MG</t>
  </si>
  <si>
    <t>TADOVAS 20</t>
  </si>
  <si>
    <t>TIARE 90 MG</t>
  </si>
  <si>
    <t>MSN LAB.LTD. (CNS DIV.)</t>
  </si>
  <si>
    <t>ALMOTAN</t>
  </si>
  <si>
    <t>12.5 MG TAB 4TAB</t>
  </si>
  <si>
    <t>6.25 MG TAB 4TAB</t>
  </si>
  <si>
    <t>AMIMIND 100</t>
  </si>
  <si>
    <t>AMIMIND 200</t>
  </si>
  <si>
    <t>AMIMIND 400</t>
  </si>
  <si>
    <t>ATONEXT 10</t>
  </si>
  <si>
    <t>ATONEXT 18</t>
  </si>
  <si>
    <t>ATONEXT 25</t>
  </si>
  <si>
    <t>ATONEXT 40</t>
  </si>
  <si>
    <t>BYPOL 250</t>
  </si>
  <si>
    <t>BYPOL 500</t>
  </si>
  <si>
    <t>BYPOL OD</t>
  </si>
  <si>
    <t>DESILAM 10</t>
  </si>
  <si>
    <t>DESILAM 5</t>
  </si>
  <si>
    <t>DESILAM</t>
  </si>
  <si>
    <t>GABANYT</t>
  </si>
  <si>
    <t>SEMI 10'TAB</t>
  </si>
  <si>
    <t>LEVILEX 250</t>
  </si>
  <si>
    <t>LEVILEX 500</t>
  </si>
  <si>
    <t>LEVILEX</t>
  </si>
  <si>
    <t>LURATA 40</t>
  </si>
  <si>
    <t>LURATA 80</t>
  </si>
  <si>
    <t>MS 120 MG</t>
  </si>
  <si>
    <t>MS 240 MG</t>
  </si>
  <si>
    <t>NAPROXIDIM</t>
  </si>
  <si>
    <t>OTZUP 10 MG</t>
  </si>
  <si>
    <t>OTZUP 15 MG</t>
  </si>
  <si>
    <t>Continued..61</t>
  </si>
  <si>
    <t>No..61</t>
  </si>
  <si>
    <t>OTZUP 2.5</t>
  </si>
  <si>
    <t>OTZUP 5 MG</t>
  </si>
  <si>
    <t>OTZUP 7.5</t>
  </si>
  <si>
    <t>RINEXT 1 MG</t>
  </si>
  <si>
    <t>RINEXT 2 MG</t>
  </si>
  <si>
    <t>RINEXT 3 MG</t>
  </si>
  <si>
    <t>SERNEXT 100</t>
  </si>
  <si>
    <t>SERNEXT 25</t>
  </si>
  <si>
    <t>SERNEXT 50</t>
  </si>
  <si>
    <t>TAPFREE ER</t>
  </si>
  <si>
    <t>TAPFREE</t>
  </si>
  <si>
    <t>MONO 100 MG TAB 15TAB</t>
  </si>
  <si>
    <t>MONO 50 MG TAB 15TAB</t>
  </si>
  <si>
    <t>TERU # MS</t>
  </si>
  <si>
    <t>14 TAB 10TAB</t>
  </si>
  <si>
    <t>TERU # MS 7</t>
  </si>
  <si>
    <t>TOLREST SR</t>
  </si>
  <si>
    <t>TOLSAMA 15</t>
  </si>
  <si>
    <t>TOLSAMA 30</t>
  </si>
  <si>
    <t>VILODON 20</t>
  </si>
  <si>
    <t>VILODON 40</t>
  </si>
  <si>
    <t>MSN LAB.LTD. (MAIN DIV.)</t>
  </si>
  <si>
    <t>CEFIGHT CV</t>
  </si>
  <si>
    <t>DDR 30 MG</t>
  </si>
  <si>
    <t>DDR 60 MG</t>
  </si>
  <si>
    <t>ENZASE</t>
  </si>
  <si>
    <t>10000 MG CAP 10CAP</t>
  </si>
  <si>
    <t>ENZASE 20</t>
  </si>
  <si>
    <t>25000 MG CAP 10CAP</t>
  </si>
  <si>
    <t>FAVILOW 200</t>
  </si>
  <si>
    <t>FEBUDAY 40</t>
  </si>
  <si>
    <t>FEBUDAY 80</t>
  </si>
  <si>
    <t>FLOXSAFE</t>
  </si>
  <si>
    <t>GUTWASH SYP</t>
  </si>
  <si>
    <t>REJULOX C</t>
  </si>
  <si>
    <t>REJULOX OD</t>
  </si>
  <si>
    <t>RIFEASY 200</t>
  </si>
  <si>
    <t>RIFEASY 400</t>
  </si>
  <si>
    <t>RIFEASY 550</t>
  </si>
  <si>
    <t>RUTO WEL D</t>
  </si>
  <si>
    <t>RUTO-WEL</t>
  </si>
  <si>
    <t>SUBTILIS</t>
  </si>
  <si>
    <t>TAPAL 100</t>
  </si>
  <si>
    <t>TAPAL 50 MG</t>
  </si>
  <si>
    <t>TAPAL 75 MG</t>
  </si>
  <si>
    <t>TAPAL D GEL</t>
  </si>
  <si>
    <t>TAPAL ER</t>
  </si>
  <si>
    <t>TAPAL ER 50</t>
  </si>
  <si>
    <t>VITASAFE</t>
  </si>
  <si>
    <t>NEW SOFT CAP 10CAP</t>
  </si>
  <si>
    <t>MSN LAB.LTD. (NEPHRO DIV)</t>
  </si>
  <si>
    <t>ABURA 250</t>
  </si>
  <si>
    <t>MG TAB 120TAB</t>
  </si>
  <si>
    <t>ABURA 500</t>
  </si>
  <si>
    <t>MG TAB 60TAB</t>
  </si>
  <si>
    <t>MIRABIG 25</t>
  </si>
  <si>
    <t>MIRABIG 50</t>
  </si>
  <si>
    <t>Continued..62</t>
  </si>
  <si>
    <t>No..62</t>
  </si>
  <si>
    <t>MIRABIG S</t>
  </si>
  <si>
    <t>NOCRISTA 40</t>
  </si>
  <si>
    <t>NOCRISTA 80</t>
  </si>
  <si>
    <t>SILOTRIF 8</t>
  </si>
  <si>
    <t>SILOTRIF D</t>
  </si>
  <si>
    <t>8 MG TAB 10+10TAB</t>
  </si>
  <si>
    <t>VESILIFE</t>
  </si>
  <si>
    <t>10MG 10TAB</t>
  </si>
  <si>
    <t>VESILIFE 5</t>
  </si>
  <si>
    <t>ORCHID (CRITICAL CARE)</t>
  </si>
  <si>
    <t>ORDAIN (ENTENZ DIV.)</t>
  </si>
  <si>
    <t>CERUKLIN</t>
  </si>
  <si>
    <t>EAR DROP 10ML</t>
  </si>
  <si>
    <t>RENICOL EYE</t>
  </si>
  <si>
    <t>RENIDEX EYE</t>
  </si>
  <si>
    <t>SCABANCA C</t>
  </si>
  <si>
    <t>2% LOTION 100ML</t>
  </si>
  <si>
    <t>ORDAIN (ESPERZ DIV.)</t>
  </si>
  <si>
    <t>COMPLETE TD</t>
  </si>
  <si>
    <t>GOLD CAP 10CAP</t>
  </si>
  <si>
    <t>DIAPILL D3</t>
  </si>
  <si>
    <t>EPALRICA MP</t>
  </si>
  <si>
    <t>EPALRICA M</t>
  </si>
  <si>
    <t>HOMOCYST</t>
  </si>
  <si>
    <t>TMG TAB 10TAB</t>
  </si>
  <si>
    <t>MEGABID NT</t>
  </si>
  <si>
    <t>NEUROMIN CT</t>
  </si>
  <si>
    <t>NEUROMIN EA</t>
  </si>
  <si>
    <t>NEUROMIN</t>
  </si>
  <si>
    <t>NEUROMIN M</t>
  </si>
  <si>
    <t>CT TAB 10TAB</t>
  </si>
  <si>
    <t>NEUROMIN OD</t>
  </si>
  <si>
    <t>COMPLETE TD SYRUP 200ML</t>
  </si>
  <si>
    <t>COMPLETE TD TAB 15TAB</t>
  </si>
  <si>
    <t>NEW DIAPILL</t>
  </si>
  <si>
    <t>PREBID PLUS</t>
  </si>
  <si>
    <t>PROSTOL D3</t>
  </si>
  <si>
    <t>THIAMIN</t>
  </si>
  <si>
    <t>THIAMIN RH</t>
  </si>
  <si>
    <t>THIAMIN R</t>
  </si>
  <si>
    <t>ORDAIN (ESPRITZ DIV.)</t>
  </si>
  <si>
    <t>APRESOL</t>
  </si>
  <si>
    <t>ECOTEL 20</t>
  </si>
  <si>
    <t>ECOTEL 40</t>
  </si>
  <si>
    <t>ECOTEL A</t>
  </si>
  <si>
    <t>ECOTEL CC</t>
  </si>
  <si>
    <t>ECOTEL CH</t>
  </si>
  <si>
    <t>ECOTEL H</t>
  </si>
  <si>
    <t>METGLI 1 MG</t>
  </si>
  <si>
    <t>METGLI 2</t>
  </si>
  <si>
    <t>METGLI SR 1</t>
  </si>
  <si>
    <t>METGLI SR 2</t>
  </si>
  <si>
    <t>METGLI V 1</t>
  </si>
  <si>
    <t>Continued..63</t>
  </si>
  <si>
    <t>No..63</t>
  </si>
  <si>
    <t>METGLI V 2</t>
  </si>
  <si>
    <t>ORDILAN</t>
  </si>
  <si>
    <t>ORDILAN T</t>
  </si>
  <si>
    <t>RESTOPRESS</t>
  </si>
  <si>
    <t>SHELLOUT</t>
  </si>
  <si>
    <t>THIARX 100</t>
  </si>
  <si>
    <t>THIARX 50</t>
  </si>
  <si>
    <t>TRIBOSE 0.3</t>
  </si>
  <si>
    <t>TRIGLI 1 MG</t>
  </si>
  <si>
    <t>TRIGLI 2 MG</t>
  </si>
  <si>
    <t>TRIGLI LS 1</t>
  </si>
  <si>
    <t>TRIGLI LS 2</t>
  </si>
  <si>
    <t>ORDAIN (NUREX)</t>
  </si>
  <si>
    <t>ACOPERIST</t>
  </si>
  <si>
    <t>AMNIUP EF</t>
  </si>
  <si>
    <t>TAB 2TAB</t>
  </si>
  <si>
    <t>ARMIST</t>
  </si>
  <si>
    <t>NASAL SPRAY 9.8ML</t>
  </si>
  <si>
    <t>CINDRATE</t>
  </si>
  <si>
    <t>8TAB</t>
  </si>
  <si>
    <t>GALTO PLUS</t>
  </si>
  <si>
    <t>GASTROBACT</t>
  </si>
  <si>
    <t>BC CAP 4CAP</t>
  </si>
  <si>
    <t>LIVOPILL B</t>
  </si>
  <si>
    <t>LIVOPILL DS</t>
  </si>
  <si>
    <t>LIVOPILL</t>
  </si>
  <si>
    <t>HEPA SYRUP 200ML</t>
  </si>
  <si>
    <t>LIVOPILL UD</t>
  </si>
  <si>
    <t>LYSICON V</t>
  </si>
  <si>
    <t>MISONAC SR</t>
  </si>
  <si>
    <t>MUCOCLAV</t>
  </si>
  <si>
    <t>NEUROPILL</t>
  </si>
  <si>
    <t>NT 100 MG TAB 10TAB</t>
  </si>
  <si>
    <t>NT TAB 10TAB</t>
  </si>
  <si>
    <t>ORPRO DM</t>
  </si>
  <si>
    <t>OVAFUZE INO</t>
  </si>
  <si>
    <t>PODOX CV</t>
  </si>
  <si>
    <t>PODOX DRY</t>
  </si>
  <si>
    <t>SPERFUZE</t>
  </si>
  <si>
    <t>SRGEST 200</t>
  </si>
  <si>
    <t>SRGEST 300</t>
  </si>
  <si>
    <t>STABLANZ 8</t>
  </si>
  <si>
    <t>STABLANZ PV</t>
  </si>
  <si>
    <t>STABLANZ</t>
  </si>
  <si>
    <t>SUCARLCOAT</t>
  </si>
  <si>
    <t>O SYRUP 200ML</t>
  </si>
  <si>
    <t>SUCRALCOAT</t>
  </si>
  <si>
    <t>ANO 20GM</t>
  </si>
  <si>
    <t>O SYP 100ML</t>
  </si>
  <si>
    <t>TYMPLIN C</t>
  </si>
  <si>
    <t>VPH CAP</t>
  </si>
  <si>
    <t>14CAP</t>
  </si>
  <si>
    <t>XIFAPILL</t>
  </si>
  <si>
    <t>550 MG TAB 10TAB</t>
  </si>
  <si>
    <t>XYMEPILL DS</t>
  </si>
  <si>
    <t>XYMEPILL</t>
  </si>
  <si>
    <t>Continued..64</t>
  </si>
  <si>
    <t>No..64</t>
  </si>
  <si>
    <t>ZYTOLIX P</t>
  </si>
  <si>
    <t>COUGH SYRUP 60ML</t>
  </si>
  <si>
    <t>ORDAIN (OPTHAL DIV.)</t>
  </si>
  <si>
    <t>ALLERBEP</t>
  </si>
  <si>
    <t>CARE TEARS</t>
  </si>
  <si>
    <t>GEL 15ML</t>
  </si>
  <si>
    <t>DECOMIC EYE</t>
  </si>
  <si>
    <t>DECOMIC</t>
  </si>
  <si>
    <t>PLUS EYE DROPS 10ML</t>
  </si>
  <si>
    <t>EMFODEX EYE</t>
  </si>
  <si>
    <t>EMFOZEN EYE</t>
  </si>
  <si>
    <t>EMFOZEN LP</t>
  </si>
  <si>
    <t>I ZEN FORTE</t>
  </si>
  <si>
    <t>KLARNEP EYE</t>
  </si>
  <si>
    <t>PATALO DS</t>
  </si>
  <si>
    <t>ORDAIN (PERZISTA DIV.)</t>
  </si>
  <si>
    <t>PHARMANOVA (GTF DIV.)</t>
  </si>
  <si>
    <t>PHARMANOVA (OSTEOID DIV.)</t>
  </si>
  <si>
    <t>BONEBASE K2</t>
  </si>
  <si>
    <t>BONEBASE</t>
  </si>
  <si>
    <t>MILK TAB 15TAB</t>
  </si>
  <si>
    <t>PLUS CAP 15CAP</t>
  </si>
  <si>
    <t>BREACT</t>
  </si>
  <si>
    <t>PROTEIN POWDER 200GM</t>
  </si>
  <si>
    <t>CORAILE 1.5</t>
  </si>
  <si>
    <t>CORAILE-250</t>
  </si>
  <si>
    <t>CORAILE 500</t>
  </si>
  <si>
    <t>D3 BASE 60K</t>
  </si>
  <si>
    <t>CAP 12TAB</t>
  </si>
  <si>
    <t>ETOFINE 120</t>
  </si>
  <si>
    <t>ETOFINE MR</t>
  </si>
  <si>
    <t>FIT-NS</t>
  </si>
  <si>
    <t>FLEXINOVA</t>
  </si>
  <si>
    <t>UC CAP 10CAP</t>
  </si>
  <si>
    <t>MAXTONIN</t>
  </si>
  <si>
    <t>NASAL SPRAY 6ML</t>
  </si>
  <si>
    <t>NITROTAP</t>
  </si>
  <si>
    <t>NOVAFECT</t>
  </si>
  <si>
    <t>1.5 GM INJ. 1.5GM</t>
  </si>
  <si>
    <t>RABEOZ D</t>
  </si>
  <si>
    <t>SENSEIT GEL</t>
  </si>
  <si>
    <t>SENSIET</t>
  </si>
  <si>
    <t>TOLBY-DS</t>
  </si>
  <si>
    <t>PHARMANOVA SPECIALTIES PVT.LTD.</t>
  </si>
  <si>
    <t>BEXTRIN P</t>
  </si>
  <si>
    <t>BEXTRIN</t>
  </si>
  <si>
    <t>TOTAL CAP 10CAP</t>
  </si>
  <si>
    <t>BONBASE</t>
  </si>
  <si>
    <t>BONEBASE D3</t>
  </si>
  <si>
    <t>F-40 CAP 10CAP</t>
  </si>
  <si>
    <t>M-40 CAP 10CAP</t>
  </si>
  <si>
    <t>Continued..65</t>
  </si>
  <si>
    <t>No..65</t>
  </si>
  <si>
    <t>FIT-NS GOLD</t>
  </si>
  <si>
    <t>LIFOL IQ</t>
  </si>
  <si>
    <t>MARVELLA</t>
  </si>
  <si>
    <t>MIFEONE 10</t>
  </si>
  <si>
    <t>MG CAP 14CAP</t>
  </si>
  <si>
    <t>MIFEONE 25</t>
  </si>
  <si>
    <t>MINOSHINE M</t>
  </si>
  <si>
    <t>MINOSHINE</t>
  </si>
  <si>
    <t>NAEVA 200</t>
  </si>
  <si>
    <t>NAEVA 300</t>
  </si>
  <si>
    <t>NAEVA 400</t>
  </si>
  <si>
    <t>NAEVA SR</t>
  </si>
  <si>
    <t>400 MG CAP 10CAP</t>
  </si>
  <si>
    <t>NAUVOM OD</t>
  </si>
  <si>
    <t>12CAP</t>
  </si>
  <si>
    <t>PROSTIUM E</t>
  </si>
  <si>
    <t>CAP 14CAP</t>
  </si>
  <si>
    <t>PROSTIUM ES</t>
  </si>
  <si>
    <t>SMARTOVA</t>
  </si>
  <si>
    <t>SMARTOVA 50</t>
  </si>
  <si>
    <t>SMARTOVA-DN</t>
  </si>
  <si>
    <t>SMARTOVA L</t>
  </si>
  <si>
    <t>SMARTOVA M</t>
  </si>
  <si>
    <t>PURE 100 TAB 5TAB</t>
  </si>
  <si>
    <t>PURE 50 TAB 10TAB</t>
  </si>
  <si>
    <t>PROTEC (CIPLA LTD)</t>
  </si>
  <si>
    <t>RANBAXY (OTC DIV.)</t>
  </si>
  <si>
    <t>ABZORB</t>
  </si>
  <si>
    <t>DULCOFLEX</t>
  </si>
  <si>
    <t>NATURAL TAB 10TAB</t>
  </si>
  <si>
    <t>GARLIC</t>
  </si>
  <si>
    <t>PEARLS 100TAB</t>
  </si>
  <si>
    <t>OLESAN OIL</t>
  </si>
  <si>
    <t>PEPFIZ</t>
  </si>
  <si>
    <t>LEMON SACHET 4.94GM</t>
  </si>
  <si>
    <t>ORANGE SACHET 4.94GM</t>
  </si>
  <si>
    <t>ORANGE TAB 2TAB</t>
  </si>
  <si>
    <t>PEPMELT</t>
  </si>
  <si>
    <t>LEMON SACHET 2GM</t>
  </si>
  <si>
    <t>ORANGE SACHET 2GM</t>
  </si>
  <si>
    <t>REVITAL H</t>
  </si>
  <si>
    <t>WOMAN TAB 10TAB</t>
  </si>
  <si>
    <t>WOMAN TAB 30TAB</t>
  </si>
  <si>
    <t>REVITAL</t>
  </si>
  <si>
    <t>VOLINI</t>
  </si>
  <si>
    <t>ACTIVE GEL 12GM</t>
  </si>
  <si>
    <t>ACTIVE GEL 5GM</t>
  </si>
  <si>
    <t>VOLINI BALM</t>
  </si>
  <si>
    <t>VOLINI GEL</t>
  </si>
  <si>
    <t>36GM</t>
  </si>
  <si>
    <t>4GM</t>
  </si>
  <si>
    <t>VOLINI MAXX</t>
  </si>
  <si>
    <t>GEL 30GM</t>
  </si>
  <si>
    <t>Continued..66</t>
  </si>
  <si>
    <t>No..66</t>
  </si>
  <si>
    <t>SPRAY 1*25GM.</t>
  </si>
  <si>
    <t>SPRAY 1*55GM.</t>
  </si>
  <si>
    <t>SPRAY 100GM</t>
  </si>
  <si>
    <t>SPRAY 60GM</t>
  </si>
  <si>
    <t>RANBAXY (REACH OUT)</t>
  </si>
  <si>
    <t>DOLAMIDE</t>
  </si>
  <si>
    <t>SPORIDEX</t>
  </si>
  <si>
    <t>250 MG DISTAB 10TAB</t>
  </si>
  <si>
    <t>ZANOCIN 200</t>
  </si>
  <si>
    <t>ZANOCIN OD</t>
  </si>
  <si>
    <t>400 MG TAB 5TAB</t>
  </si>
  <si>
    <t>RANBAXY A (RESPIRATORY)</t>
  </si>
  <si>
    <t>CHERICOF</t>
  </si>
  <si>
    <t>CHERICOF LS</t>
  </si>
  <si>
    <t>CHERICOF SF</t>
  </si>
  <si>
    <t>SYP 50ML</t>
  </si>
  <si>
    <t>GRAMOGYL</t>
  </si>
  <si>
    <t>LOXOF 250</t>
  </si>
  <si>
    <t>LOXOF 500</t>
  </si>
  <si>
    <t>LOXOF 750</t>
  </si>
  <si>
    <t>LOXOF AZ</t>
  </si>
  <si>
    <t>500 MG TAB 5TAB</t>
  </si>
  <si>
    <t>LOXOF</t>
  </si>
  <si>
    <t>LOXOF OZ</t>
  </si>
  <si>
    <t>MOXCLAV</t>
  </si>
  <si>
    <t>1000 MG TAB 4TAB</t>
  </si>
  <si>
    <t>156.25 ORAL SUSP 30ML</t>
  </si>
  <si>
    <t>MOXCLAV 375</t>
  </si>
  <si>
    <t>MOXCLAV 625</t>
  </si>
  <si>
    <t>MOXCLAV BD</t>
  </si>
  <si>
    <t>228.5 MG SUSP 30ML</t>
  </si>
  <si>
    <t>MOXCLAV DS</t>
  </si>
  <si>
    <t>457 DISTAB 10TAB</t>
  </si>
  <si>
    <t>457 MG DISTAB 6TAB</t>
  </si>
  <si>
    <t>457 MG SUSP. 30ML</t>
  </si>
  <si>
    <t>NUTRIKIT</t>
  </si>
  <si>
    <t>RESPI CAP 10CAP</t>
  </si>
  <si>
    <t>REFZIL O</t>
  </si>
  <si>
    <t>125 MG SUSP. 30ML</t>
  </si>
  <si>
    <t>250 MG SUSP. 30ML</t>
  </si>
  <si>
    <t>REFZIL O 50</t>
  </si>
  <si>
    <t>ROMILAST 10</t>
  </si>
  <si>
    <t>ROMILAST 4</t>
  </si>
  <si>
    <t>ROMILAST 5</t>
  </si>
  <si>
    <t>ROMILAST B</t>
  </si>
  <si>
    <t>ROMILAST FX</t>
  </si>
  <si>
    <t>ROMILAST L</t>
  </si>
  <si>
    <t>SUPRIMOX</t>
  </si>
  <si>
    <t>PLUS 500 MG CAP 10CAP</t>
  </si>
  <si>
    <t>TUFPRO</t>
  </si>
  <si>
    <t>SUSPENSION 10*5ML</t>
  </si>
  <si>
    <t>SUSPENSION 5ML</t>
  </si>
  <si>
    <t>SUSPENSSION 60ML</t>
  </si>
  <si>
    <t>ZOFER 2 ML</t>
  </si>
  <si>
    <t>ZOFER 4 MG</t>
  </si>
  <si>
    <t>ZOFER 4 ML</t>
  </si>
  <si>
    <t>INJ. 4ML</t>
  </si>
  <si>
    <t>ZOFER 8 MG</t>
  </si>
  <si>
    <t>ZOFER MD 4</t>
  </si>
  <si>
    <t>Continued..67</t>
  </si>
  <si>
    <t>No..67</t>
  </si>
  <si>
    <t>ZOFER MD 8</t>
  </si>
  <si>
    <t>ZOFER SYRUP</t>
  </si>
  <si>
    <t>RANBAXY D (MAXXIM)</t>
  </si>
  <si>
    <t>BILASURE 20</t>
  </si>
  <si>
    <t>LUCAZOLE</t>
  </si>
  <si>
    <t>MOX 125 MG</t>
  </si>
  <si>
    <t>KIDTAB 15TAB</t>
  </si>
  <si>
    <t>MOX 250 MG</t>
  </si>
  <si>
    <t>MOX 500 MG</t>
  </si>
  <si>
    <t>MOX CV</t>
  </si>
  <si>
    <t>MOX CV 625</t>
  </si>
  <si>
    <t>MOX CV BD</t>
  </si>
  <si>
    <t>228.5 MG SUSPENSION 30ML</t>
  </si>
  <si>
    <t>MOX CV DS</t>
  </si>
  <si>
    <t>457 MG SUSPENSION 30ML</t>
  </si>
  <si>
    <t>MOX P 250</t>
  </si>
  <si>
    <t>MOX P 500</t>
  </si>
  <si>
    <t>MOX REDIMIX</t>
  </si>
  <si>
    <t>125 MG SUSP. 60ML</t>
  </si>
  <si>
    <t>250 MG SUSP. 60ML</t>
  </si>
  <si>
    <t>PROENTRA</t>
  </si>
  <si>
    <t>250 MG SACHET 1SACH</t>
  </si>
  <si>
    <t>ZOLE F SKIN</t>
  </si>
  <si>
    <t>ZOLE IT 100</t>
  </si>
  <si>
    <t>ZOLE-IT 100</t>
  </si>
  <si>
    <t>ZOLE IT 200</t>
  </si>
  <si>
    <t>ZOLE-IT 200</t>
  </si>
  <si>
    <t>ZOLE SKIN</t>
  </si>
  <si>
    <t>RANBAXY E (REXCEL)</t>
  </si>
  <si>
    <t>RANBAXY F (CROSLANDS LIFE)</t>
  </si>
  <si>
    <t>ALCROS 100</t>
  </si>
  <si>
    <t>ALCROS 200</t>
  </si>
  <si>
    <t>ALCROSS 100</t>
  </si>
  <si>
    <t>ALCROSS 200</t>
  </si>
  <si>
    <t>ALTRADAY</t>
  </si>
  <si>
    <t>CRIXAN 250</t>
  </si>
  <si>
    <t>ETROBAX 120</t>
  </si>
  <si>
    <t>ETROBAX 60</t>
  </si>
  <si>
    <t>ETROBAX 90</t>
  </si>
  <si>
    <t>FARONEM 200</t>
  </si>
  <si>
    <t>FARONEM ER</t>
  </si>
  <si>
    <t>IDROFOS</t>
  </si>
  <si>
    <t>150MG TAB 3TAB</t>
  </si>
  <si>
    <t>31TAB</t>
  </si>
  <si>
    <t>MOBISWIFT D</t>
  </si>
  <si>
    <t>OSTOSHINE</t>
  </si>
  <si>
    <t>ROLES 20 MG</t>
  </si>
  <si>
    <t>SPORIT GG</t>
  </si>
  <si>
    <t>TYDOL 100</t>
  </si>
  <si>
    <t>TYDOL 50 MG</t>
  </si>
  <si>
    <t>VOLITRA APS</t>
  </si>
  <si>
    <t>SOLUTION 30ML</t>
  </si>
  <si>
    <t>VOLITRA-ENZO TAB 10TAB</t>
  </si>
  <si>
    <t>VOLITRA +</t>
  </si>
  <si>
    <t>SPRAY 55GM</t>
  </si>
  <si>
    <t>Continued..68</t>
  </si>
  <si>
    <t>No..68</t>
  </si>
  <si>
    <t>RANBAXY G (GTF)</t>
  </si>
  <si>
    <t>ROSE LABS LTD.</t>
  </si>
  <si>
    <t>S.G.(CNS FOCUS)</t>
  </si>
  <si>
    <t>S.G.(PAIN FOCUS)</t>
  </si>
  <si>
    <t>SERDIA PHARMACEUTICALS (I)LTD.</t>
  </si>
  <si>
    <t>ARCALION</t>
  </si>
  <si>
    <t>CORALAN 5</t>
  </si>
  <si>
    <t>CORALAN 7.5</t>
  </si>
  <si>
    <t>COVERSYL 2</t>
  </si>
  <si>
    <t>COVERSYL 4</t>
  </si>
  <si>
    <t>COVERSYL 8</t>
  </si>
  <si>
    <t>COVERSYL AM</t>
  </si>
  <si>
    <t>4/10 MG TAB 10TAB</t>
  </si>
  <si>
    <t>4/5 MG TAB 10TAB</t>
  </si>
  <si>
    <t>8/10 MG TAB 10TAB</t>
  </si>
  <si>
    <t>8/5 MG TAB 10TAB</t>
  </si>
  <si>
    <t>COVERSYL</t>
  </si>
  <si>
    <t>PLUS HD TAB 10TAB</t>
  </si>
  <si>
    <t>DAFLON 1000</t>
  </si>
  <si>
    <t>DAFLON 500</t>
  </si>
  <si>
    <t>DIAMICRON</t>
  </si>
  <si>
    <t>XR 60 MG TAB 14TAB</t>
  </si>
  <si>
    <t>XR MEX 500 MG TAB 14TAB</t>
  </si>
  <si>
    <t>FLAVEDON MR</t>
  </si>
  <si>
    <t>NATRILAM 10</t>
  </si>
  <si>
    <t>NATRILAM</t>
  </si>
  <si>
    <t>NATRILAM 5</t>
  </si>
  <si>
    <t>NATRILIX SR</t>
  </si>
  <si>
    <t>TRIPLIXAM</t>
  </si>
  <si>
    <t>TRIVASTAL</t>
  </si>
  <si>
    <t>LA TAB 10TAB</t>
  </si>
  <si>
    <t>SHAMAC HEALTH CARE PVT.LTD</t>
  </si>
  <si>
    <t>MACGLIM M1</t>
  </si>
  <si>
    <t>MACGLIM M 1</t>
  </si>
  <si>
    <t>MACGLIM M2</t>
  </si>
  <si>
    <t>MACGLIM M 2</t>
  </si>
  <si>
    <t>MACVOG 0.2</t>
  </si>
  <si>
    <t>MD TAB 10TAB</t>
  </si>
  <si>
    <t>MACVOG 0.3</t>
  </si>
  <si>
    <t>MACVOG GM 1</t>
  </si>
  <si>
    <t>MACVOG GM 2</t>
  </si>
  <si>
    <t>MACVOG M</t>
  </si>
  <si>
    <t>NEUROSTEP</t>
  </si>
  <si>
    <t>ROSUPRIME</t>
  </si>
  <si>
    <t>ROSUPRIME A</t>
  </si>
  <si>
    <t>TELMIBET 40</t>
  </si>
  <si>
    <t>TELMIBET 80</t>
  </si>
  <si>
    <t>TELMIBET AM</t>
  </si>
  <si>
    <t>TELMIBET H</t>
  </si>
  <si>
    <t>TELMIBET</t>
  </si>
  <si>
    <t>STIEFEL INDIA PVT.LTD.(ELDER)</t>
  </si>
  <si>
    <t>Continued..69</t>
  </si>
  <si>
    <t>No..69</t>
  </si>
  <si>
    <t>STIEFEL INDIAN PVT.LTD.</t>
  </si>
  <si>
    <t>MENACTRA 1</t>
  </si>
  <si>
    <t>DOSE 1VIAL</t>
  </si>
  <si>
    <t>STRIDES SHASUN (NEUERA PSYC.)</t>
  </si>
  <si>
    <t>NEUGALIN 50</t>
  </si>
  <si>
    <t>NEUGALIN A</t>
  </si>
  <si>
    <t>NUTRIKIT NS</t>
  </si>
  <si>
    <t>OLANEX 10</t>
  </si>
  <si>
    <t>OLANEX 2.5</t>
  </si>
  <si>
    <t>OLANEX 5 MG</t>
  </si>
  <si>
    <t>OLANEX 7.5</t>
  </si>
  <si>
    <t>OLANEX PLUS</t>
  </si>
  <si>
    <t>OPIPREX 100</t>
  </si>
  <si>
    <t>OPIPREX 50</t>
  </si>
  <si>
    <t>OTOGESIC</t>
  </si>
  <si>
    <t>PROLINA OG</t>
  </si>
  <si>
    <t>RAMITAX 8</t>
  </si>
  <si>
    <t>RARICAP 100</t>
  </si>
  <si>
    <t>SERLIFT 100</t>
  </si>
  <si>
    <t>SERLIFT 25</t>
  </si>
  <si>
    <t>SERLIFT 50</t>
  </si>
  <si>
    <t>SOBRIUM 10</t>
  </si>
  <si>
    <t>SOBRIUM 5</t>
  </si>
  <si>
    <t>SOREST 100</t>
  </si>
  <si>
    <t>SOREST 50</t>
  </si>
  <si>
    <t>SPECTRA 10</t>
  </si>
  <si>
    <t>SPECTRA 25</t>
  </si>
  <si>
    <t>SPECTRA 75</t>
  </si>
  <si>
    <t>VENLA XR</t>
  </si>
  <si>
    <t>VENLA XR 75</t>
  </si>
  <si>
    <t>VIBREX 20</t>
  </si>
  <si>
    <t>VIBREX 40</t>
  </si>
  <si>
    <t>STRIDES SHASUN A (NEUERA NEUROLOFY)</t>
  </si>
  <si>
    <t>LEVROXA</t>
  </si>
  <si>
    <t>1000 MG TAB 10 TAB</t>
  </si>
  <si>
    <t>LEVROXA 250</t>
  </si>
  <si>
    <t>LEVROXA 500</t>
  </si>
  <si>
    <t>NEUGALIN 75</t>
  </si>
  <si>
    <t>NEUGALIN M</t>
  </si>
  <si>
    <t>OLANEX F</t>
  </si>
  <si>
    <t>OLANEX IT</t>
  </si>
  <si>
    <t>OLANEX IT 5</t>
  </si>
  <si>
    <t>SELZIC 150</t>
  </si>
  <si>
    <t>SELZIC 300</t>
  </si>
  <si>
    <t>SELZIC 450</t>
  </si>
  <si>
    <t>SELZIC 600</t>
  </si>
  <si>
    <t>SELZIC OD</t>
  </si>
  <si>
    <t>900 MG TAB 10TAB</t>
  </si>
  <si>
    <t>SOLZAM 10</t>
  </si>
  <si>
    <t>SOLZAM 5 MG</t>
  </si>
  <si>
    <t>SOLZAM MD</t>
  </si>
  <si>
    <t>SOLZAM MD 5</t>
  </si>
  <si>
    <t>SUN (AVESTA)</t>
  </si>
  <si>
    <t>Continued..70</t>
  </si>
  <si>
    <t>No..70</t>
  </si>
  <si>
    <t>BRINOLAR</t>
  </si>
  <si>
    <t>BRINZOTIM</t>
  </si>
  <si>
    <t>CAREPROST</t>
  </si>
  <si>
    <t>PLUS EYE DROP 10ML</t>
  </si>
  <si>
    <t>COMBIPAT</t>
  </si>
  <si>
    <t>STERILE OPTHAL 5ML</t>
  </si>
  <si>
    <t>CYCLOMUNE</t>
  </si>
  <si>
    <t>0.1% DROP 10ML</t>
  </si>
  <si>
    <t>EYEMIST EYE</t>
  </si>
  <si>
    <t>EYEMIST</t>
  </si>
  <si>
    <t>FORTE EYE DROP 5ML</t>
  </si>
  <si>
    <t>EYEMIST GEL</t>
  </si>
  <si>
    <t>GATILOX HS</t>
  </si>
  <si>
    <t>I-SITE PLUS</t>
  </si>
  <si>
    <t>KETLUR DROP</t>
  </si>
  <si>
    <t>KETLUR LS</t>
  </si>
  <si>
    <t>LOTEPRED</t>
  </si>
  <si>
    <t>LOTEPRED LS</t>
  </si>
  <si>
    <t>0.2% EYE DROP 5ML</t>
  </si>
  <si>
    <t>LOTEPRED T</t>
  </si>
  <si>
    <t>NEPALACT</t>
  </si>
  <si>
    <t>NEW I-SITE</t>
  </si>
  <si>
    <t>TIMOLET</t>
  </si>
  <si>
    <t>0.5% W/V EYE DROP 5ML</t>
  </si>
  <si>
    <t>TIMOLET OD</t>
  </si>
  <si>
    <t>0.5% EYE DROP 3ML</t>
  </si>
  <si>
    <t>WINOLAP DS</t>
  </si>
  <si>
    <t>EYE DROP 2.5ML</t>
  </si>
  <si>
    <t>WINOLAP EYE</t>
  </si>
  <si>
    <t>SUN (MILMEL)</t>
  </si>
  <si>
    <t>BRIMOLOL</t>
  </si>
  <si>
    <t>DIAMOX 250</t>
  </si>
  <si>
    <t>FLUPRED EYE</t>
  </si>
  <si>
    <t>GLYTEARS</t>
  </si>
  <si>
    <t>LATOCOM CF</t>
  </si>
  <si>
    <t>LATOCOM EYE</t>
  </si>
  <si>
    <t>LATOPROST</t>
  </si>
  <si>
    <t>RT EYE DROP 5ML</t>
  </si>
  <si>
    <t>MEGABROM</t>
  </si>
  <si>
    <t>MIL EYE</t>
  </si>
  <si>
    <t>MILFLODEX</t>
  </si>
  <si>
    <t>MILFLOX DF</t>
  </si>
  <si>
    <t>MILFLOX DM</t>
  </si>
  <si>
    <t>MILFLOX EYE</t>
  </si>
  <si>
    <t>MILFLOX</t>
  </si>
  <si>
    <t>PLUS 0.4% EYE DROP 5ML</t>
  </si>
  <si>
    <t>NATAMET EYE</t>
  </si>
  <si>
    <t>NORMO TEARS</t>
  </si>
  <si>
    <t>OCEPRED EYE</t>
  </si>
  <si>
    <t>PREDMET EYE</t>
  </si>
  <si>
    <t>SYNCA EYE</t>
  </si>
  <si>
    <t>TEARDROPS</t>
  </si>
  <si>
    <t>TOBA DM</t>
  </si>
  <si>
    <t>TOBA EYE</t>
  </si>
  <si>
    <t>TOBA F EYE</t>
  </si>
  <si>
    <t>SUN (ORTF)</t>
  </si>
  <si>
    <t>SUN A(AKUNA)</t>
  </si>
  <si>
    <t>AQUAZIDE</t>
  </si>
  <si>
    <t>AQUAZIDE 25</t>
  </si>
  <si>
    <t>CLOPILET 75</t>
  </si>
  <si>
    <t>CLOPILET A</t>
  </si>
  <si>
    <t>D ROZAVEL</t>
  </si>
  <si>
    <t>Continued..71</t>
  </si>
  <si>
    <t>No..71</t>
  </si>
  <si>
    <t>EFIPLAT 10</t>
  </si>
  <si>
    <t>EPLEHEF 25</t>
  </si>
  <si>
    <t>EPLEHEF 50</t>
  </si>
  <si>
    <t>FEBUGET 40</t>
  </si>
  <si>
    <t>FEBUGET 80</t>
  </si>
  <si>
    <t>GLYPRIDE 1</t>
  </si>
  <si>
    <t>GLYPRIDE 2</t>
  </si>
  <si>
    <t>MONOSPRIN</t>
  </si>
  <si>
    <t>MONOTRATE</t>
  </si>
  <si>
    <t>OD 25 MG TAB 10TAB</t>
  </si>
  <si>
    <t>OD 50 MG TAB 10TAB</t>
  </si>
  <si>
    <t>SR 30 MG TAB 10TAB</t>
  </si>
  <si>
    <t>SR 60 MG TAB 10TAB</t>
  </si>
  <si>
    <t>PRAZOPRESS</t>
  </si>
  <si>
    <t>ROZAGOLD 10</t>
  </si>
  <si>
    <t>ROZAGOLD 20</t>
  </si>
  <si>
    <t>ROZALET 10</t>
  </si>
  <si>
    <t>ROZALET 20</t>
  </si>
  <si>
    <t>ROZAVEL 10</t>
  </si>
  <si>
    <t>ROZAVEL 20</t>
  </si>
  <si>
    <t>ROZAVEL 40</t>
  </si>
  <si>
    <t>ROZAVEL 5</t>
  </si>
  <si>
    <t>ROZAVEL A</t>
  </si>
  <si>
    <t>ROZAVEL EZ</t>
  </si>
  <si>
    <t>ROZAVEL F</t>
  </si>
  <si>
    <t>ROZAVEL F 5</t>
  </si>
  <si>
    <t>SUN A(ARIAN)</t>
  </si>
  <si>
    <t>ALFENCE 10</t>
  </si>
  <si>
    <t>GLUCORED</t>
  </si>
  <si>
    <t>ISTAMET</t>
  </si>
  <si>
    <t>ISTAMET XR</t>
  </si>
  <si>
    <t>CP TAB 14TAB</t>
  </si>
  <si>
    <t>ISTAVEL 100</t>
  </si>
  <si>
    <t>ISTAVEL 50</t>
  </si>
  <si>
    <t>20TAB</t>
  </si>
  <si>
    <t>LOTENSYL 10</t>
  </si>
  <si>
    <t>LOTENSYL 20</t>
  </si>
  <si>
    <t>LOTENSYL AT</t>
  </si>
  <si>
    <t>METHIMEZ 10</t>
  </si>
  <si>
    <t>METHIMEZ 5</t>
  </si>
  <si>
    <t>TRIGLUCORED FORTE TAB 10TAB</t>
  </si>
  <si>
    <t>PIOGLUCORED</t>
  </si>
  <si>
    <t>PROLOMET AM</t>
  </si>
  <si>
    <t>PROLOMET R</t>
  </si>
  <si>
    <t>PROLOMET XL</t>
  </si>
  <si>
    <t>REPACE 25</t>
  </si>
  <si>
    <t>REPACE 50</t>
  </si>
  <si>
    <t>Continued..72</t>
  </si>
  <si>
    <t>No..72</t>
  </si>
  <si>
    <t>REPACE AF</t>
  </si>
  <si>
    <t>REPACE A</t>
  </si>
  <si>
    <t>REPACE H</t>
  </si>
  <si>
    <t>REPALOL H</t>
  </si>
  <si>
    <t>TIGATEL 20</t>
  </si>
  <si>
    <t>TIGATEL 40</t>
  </si>
  <si>
    <t>TIGATEL 80</t>
  </si>
  <si>
    <t>TIGATEL AM</t>
  </si>
  <si>
    <t>TIGATEL H</t>
  </si>
  <si>
    <t>TRIGLUCORED</t>
  </si>
  <si>
    <t>FORTE 7.5 MG TAB 10TAB</t>
  </si>
  <si>
    <t>TRILOPACE</t>
  </si>
  <si>
    <t>SUN B(AVIOR)</t>
  </si>
  <si>
    <t>ANGIZEM 30</t>
  </si>
  <si>
    <t>ANGIZEM 60</t>
  </si>
  <si>
    <t>ANGIZEM CD</t>
  </si>
  <si>
    <t>180 MG CAP 10CAP</t>
  </si>
  <si>
    <t>ANGIZEM DP</t>
  </si>
  <si>
    <t>AZTOR EZ</t>
  </si>
  <si>
    <t>EZENTIA 10</t>
  </si>
  <si>
    <t>IROVEL 150</t>
  </si>
  <si>
    <t>IROVEL 300</t>
  </si>
  <si>
    <t>IROVEL H</t>
  </si>
  <si>
    <t>METOSARTAN</t>
  </si>
  <si>
    <t>TRICLAZONE 40 MG TAB 10TAB</t>
  </si>
  <si>
    <t>TRICLAZONE 80 MG TAB 10TAB</t>
  </si>
  <si>
    <t>OXRA 10 MG</t>
  </si>
  <si>
    <t>OXRA 5 MG</t>
  </si>
  <si>
    <t>OXRAMET</t>
  </si>
  <si>
    <t>5/1000 MG TAB 14TAB</t>
  </si>
  <si>
    <t>OXRAMET XR</t>
  </si>
  <si>
    <t>10/1000 MG TAB 7TAB</t>
  </si>
  <si>
    <t>10/500 MG TAB 7TAB</t>
  </si>
  <si>
    <t>PIOGLIT 15</t>
  </si>
  <si>
    <t>PIOGLIT 30</t>
  </si>
  <si>
    <t>PIOGLIT 7.5</t>
  </si>
  <si>
    <t>PIOGLIT MF</t>
  </si>
  <si>
    <t>XL 2.5 MG TAB 14TAB</t>
  </si>
  <si>
    <t>XL 2.5 MG TAB 30TAB</t>
  </si>
  <si>
    <t>XL 5 MG TAB 14TAB</t>
  </si>
  <si>
    <t>XL 5 MG TAB 30TAB</t>
  </si>
  <si>
    <t>THALITEL 40</t>
  </si>
  <si>
    <t>THALITEL 80</t>
  </si>
  <si>
    <t>TRIVOLIB 1</t>
  </si>
  <si>
    <t>TRIVOLIB 2</t>
  </si>
  <si>
    <t>TRIVOLIB</t>
  </si>
  <si>
    <t>SUN C(AZURA)</t>
  </si>
  <si>
    <t>AXCER 60 MG</t>
  </si>
  <si>
    <t>AXCER 90 MG</t>
  </si>
  <si>
    <t>TAB 1BOTT</t>
  </si>
  <si>
    <t>BETATROP</t>
  </si>
  <si>
    <t>FIBATOR 5</t>
  </si>
  <si>
    <t>FIBATOR EZ</t>
  </si>
  <si>
    <t>Continued..73</t>
  </si>
  <si>
    <t>No..73</t>
  </si>
  <si>
    <t>FIBATOR LS</t>
  </si>
  <si>
    <t>GEMER 0.5</t>
  </si>
  <si>
    <t>GEMER 1 MG</t>
  </si>
  <si>
    <t>GEMER 2 MG</t>
  </si>
  <si>
    <t>GEMER 3 MG</t>
  </si>
  <si>
    <t>GEMER 4 MG</t>
  </si>
  <si>
    <t>GEMER DS 1</t>
  </si>
  <si>
    <t>GEMER DS 2</t>
  </si>
  <si>
    <t>GEMER DS 3</t>
  </si>
  <si>
    <t>GEMER DS 4</t>
  </si>
  <si>
    <t>GEMER FORTE</t>
  </si>
  <si>
    <t>GEMER P1</t>
  </si>
  <si>
    <t>GEMER P2</t>
  </si>
  <si>
    <t>METGEM 1 GM</t>
  </si>
  <si>
    <t>METGEM 500</t>
  </si>
  <si>
    <t>RANOZEX 1</t>
  </si>
  <si>
    <t>REVLAMER</t>
  </si>
  <si>
    <t>VOLIBO 0.2</t>
  </si>
  <si>
    <t>VOLIBO 0.3</t>
  </si>
  <si>
    <t>VOLIBO M</t>
  </si>
  <si>
    <t>SUN C(CORONUS)</t>
  </si>
  <si>
    <t>CARDIVAS</t>
  </si>
  <si>
    <t>CARDIVAS 25</t>
  </si>
  <si>
    <t>CARDIVAS CR</t>
  </si>
  <si>
    <t>INAPURE 5</t>
  </si>
  <si>
    <t>SUN D (UROLOGY)</t>
  </si>
  <si>
    <t>DARILONG</t>
  </si>
  <si>
    <t>NAFTOMAX 50</t>
  </si>
  <si>
    <t>NAFTOMAX 75</t>
  </si>
  <si>
    <t>SILDURA 4</t>
  </si>
  <si>
    <t>SILDURA 8</t>
  </si>
  <si>
    <t>SILODAL 4</t>
  </si>
  <si>
    <t>SILODAL 8</t>
  </si>
  <si>
    <t>SILODAL D 4</t>
  </si>
  <si>
    <t>SILODAL D 8</t>
  </si>
  <si>
    <t>SOLITEN 5</t>
  </si>
  <si>
    <t>SOLITRAL 50</t>
  </si>
  <si>
    <t>TROFAME XR</t>
  </si>
  <si>
    <t>TROPAN 2.5</t>
  </si>
  <si>
    <t>TROPAN 5 MG</t>
  </si>
  <si>
    <t>UROTEL XL 2</t>
  </si>
  <si>
    <t>UROTEL XL 4</t>
  </si>
  <si>
    <t>SUN D(INCA)</t>
  </si>
  <si>
    <t>CABERLIN</t>
  </si>
  <si>
    <t>0.25 MG TAB 4TAB</t>
  </si>
  <si>
    <t>0.5 MG TAB 4TAB</t>
  </si>
  <si>
    <t>CONSEVEL</t>
  </si>
  <si>
    <t>FREEDASE 30</t>
  </si>
  <si>
    <t>LETROZ 2.5</t>
  </si>
  <si>
    <t>Continued..74</t>
  </si>
  <si>
    <t>No..74</t>
  </si>
  <si>
    <t>MAXOZA L</t>
  </si>
  <si>
    <t>SACHETS 5GM</t>
  </si>
  <si>
    <t>MAXOZA</t>
  </si>
  <si>
    <t>NORMOZ DS</t>
  </si>
  <si>
    <t>OVARES PLUS</t>
  </si>
  <si>
    <t>OVARES SR</t>
  </si>
  <si>
    <t>PILOMAX 5</t>
  </si>
  <si>
    <t>PROHANCE</t>
  </si>
  <si>
    <t>MOM CHOC.POWDER 200GM</t>
  </si>
  <si>
    <t>MOM CHO.POWDER 400GM</t>
  </si>
  <si>
    <t>SUN E(ORTUS)</t>
  </si>
  <si>
    <t>BIO EXIDIL</t>
  </si>
  <si>
    <t>BRISTAA</t>
  </si>
  <si>
    <t>ADVANCED CREAM 20GM</t>
  </si>
  <si>
    <t>CREAM 1PACK</t>
  </si>
  <si>
    <t>INTENSE CREAM 20GM</t>
  </si>
  <si>
    <t>CWIN CREAM</t>
  </si>
  <si>
    <t>C WIN</t>
  </si>
  <si>
    <t>DAZIT 10 MG</t>
  </si>
  <si>
    <t>DAZIT 5 MG</t>
  </si>
  <si>
    <t>DEXOMET</t>
  </si>
  <si>
    <t>0.25% CREAM 20GM</t>
  </si>
  <si>
    <t>EXEL CREAM</t>
  </si>
  <si>
    <t>EXEL GN</t>
  </si>
  <si>
    <t>EXEL M</t>
  </si>
  <si>
    <t>CREAM 16GM</t>
  </si>
  <si>
    <t>EXIZOL</t>
  </si>
  <si>
    <t>SHAMPOO 50ML</t>
  </si>
  <si>
    <t>I-WIN 100</t>
  </si>
  <si>
    <t>I WIN 200</t>
  </si>
  <si>
    <t>I-WIN 200</t>
  </si>
  <si>
    <t>NEURONOX</t>
  </si>
  <si>
    <t>VIAL 100UNI</t>
  </si>
  <si>
    <t>PASITREX C</t>
  </si>
  <si>
    <t>PASITREX</t>
  </si>
  <si>
    <t>PHOTOSTABLE</t>
  </si>
  <si>
    <t>GEL 75GM</t>
  </si>
  <si>
    <t>GOLD 50 LOTION 50GM</t>
  </si>
  <si>
    <t>INSTA GEL 50GM</t>
  </si>
  <si>
    <t>RESTOFOS 70</t>
  </si>
  <si>
    <t>SEBIFIN 250</t>
  </si>
  <si>
    <t>SEBIFIN</t>
  </si>
  <si>
    <t>DUSTING POWDER 30GM</t>
  </si>
  <si>
    <t>SOTRET 10</t>
  </si>
  <si>
    <t>SOTRET 20</t>
  </si>
  <si>
    <t>SOTRET 30</t>
  </si>
  <si>
    <t>VALTOVAL 1</t>
  </si>
  <si>
    <t>GM TAB 3TAB</t>
  </si>
  <si>
    <t>VALTOVAL</t>
  </si>
  <si>
    <t>ZEMPRED 16</t>
  </si>
  <si>
    <t>ZEMPRED 4</t>
  </si>
  <si>
    <t>ZEMPRED 8</t>
  </si>
  <si>
    <t>SUN F(RADIANT)</t>
  </si>
  <si>
    <t>AB PHYLLINE</t>
  </si>
  <si>
    <t>N TAB 10TAB</t>
  </si>
  <si>
    <t>SR 200 MG TAB 10TAB</t>
  </si>
  <si>
    <t>AVESSA 250</t>
  </si>
  <si>
    <t>MG INHALER 1PACK</t>
  </si>
  <si>
    <t>OCTACAPS 30CAP</t>
  </si>
  <si>
    <t>COMBITIDE</t>
  </si>
  <si>
    <t>125 MG INHALER 120MD</t>
  </si>
  <si>
    <t>250 MG INHALER 120MD</t>
  </si>
  <si>
    <t>250 MG OCTACAPS 30OCT</t>
  </si>
  <si>
    <t>FOMTIDE 100</t>
  </si>
  <si>
    <t>FOMTIDE 200</t>
  </si>
  <si>
    <t>Continued..75</t>
  </si>
  <si>
    <t>No..75</t>
  </si>
  <si>
    <t>MG OCTACAPS 30OCT</t>
  </si>
  <si>
    <t>FOMTIDE 400</t>
  </si>
  <si>
    <t>MONTEK 10</t>
  </si>
  <si>
    <t>MONTEK 5 MG</t>
  </si>
  <si>
    <t>MONTEK AB</t>
  </si>
  <si>
    <t>MONTEK BL</t>
  </si>
  <si>
    <t>MONTEK LC</t>
  </si>
  <si>
    <t>NEZACT</t>
  </si>
  <si>
    <t>POWDER NASAL SPRAY 8GM</t>
  </si>
  <si>
    <t>NEZAFLO</t>
  </si>
  <si>
    <t>NASAL SPRAY 1PACK</t>
  </si>
  <si>
    <t>NEZALAST</t>
  </si>
  <si>
    <t>OCTAHALER</t>
  </si>
  <si>
    <t>DEVICE 1PACK</t>
  </si>
  <si>
    <t>PICNOVIT</t>
  </si>
  <si>
    <t>SYMBIVA 200</t>
  </si>
  <si>
    <t>INHALER</t>
  </si>
  <si>
    <t>WINOLAP 5</t>
  </si>
  <si>
    <t>WINOLAP</t>
  </si>
  <si>
    <t>ZOVAIR 160</t>
  </si>
  <si>
    <t>MG OCTACAPS 30CAP</t>
  </si>
  <si>
    <t>SUN G(SIRIUS)</t>
  </si>
  <si>
    <t>CITOPAM 20</t>
  </si>
  <si>
    <t>GRAVITOR SR</t>
  </si>
  <si>
    <t>GRAVITOR</t>
  </si>
  <si>
    <t>LACOSET 100</t>
  </si>
  <si>
    <t>LACOSET 50</t>
  </si>
  <si>
    <t>MAXGALIN</t>
  </si>
  <si>
    <t>MAXGALIN 50</t>
  </si>
  <si>
    <t>MAXGALIN 75</t>
  </si>
  <si>
    <t>MAXGALIN ER</t>
  </si>
  <si>
    <t>MAXGALIN M</t>
  </si>
  <si>
    <t>ER 150 MG TAB 10TAB</t>
  </si>
  <si>
    <t>ER 75 MG TAB 10TAB'</t>
  </si>
  <si>
    <t>MAXGALIP AT</t>
  </si>
  <si>
    <t>OLEANZ 10</t>
  </si>
  <si>
    <t>OLEANZ 2.5</t>
  </si>
  <si>
    <t>OLEANZ 5 MG</t>
  </si>
  <si>
    <t>OLEANZ 7.5</t>
  </si>
  <si>
    <t>OLEANZ</t>
  </si>
  <si>
    <t>INJECTION 5ML</t>
  </si>
  <si>
    <t>OLEANZ PLUS</t>
  </si>
  <si>
    <t>OLEANZ RT</t>
  </si>
  <si>
    <t>OLEANZ RT 5</t>
  </si>
  <si>
    <t>ROPARK 0.25</t>
  </si>
  <si>
    <t>ROPARK 0.5</t>
  </si>
  <si>
    <t>ROPARK 1 MG</t>
  </si>
  <si>
    <t>ROPARK 2 MG</t>
  </si>
  <si>
    <t>ROPARK XL 1</t>
  </si>
  <si>
    <t>ROPARK XL 2</t>
  </si>
  <si>
    <t>STROCIT 2</t>
  </si>
  <si>
    <t>ML INJ. 1VIAL</t>
  </si>
  <si>
    <t>STROCIT 500</t>
  </si>
  <si>
    <t>STROCIT</t>
  </si>
  <si>
    <t>ORAL DROP 30ML</t>
  </si>
  <si>
    <t>SUMINAT 25</t>
  </si>
  <si>
    <t>Continued..76</t>
  </si>
  <si>
    <t>No..76</t>
  </si>
  <si>
    <t>SUMINAT 50</t>
  </si>
  <si>
    <t>TETRAFOL 1</t>
  </si>
  <si>
    <t>TETRAFOL</t>
  </si>
  <si>
    <t>NAC TAB 10TAB</t>
  </si>
  <si>
    <t>THEALIFE</t>
  </si>
  <si>
    <t>ZEPTOL 100</t>
  </si>
  <si>
    <t>ZEPTOL 200</t>
  </si>
  <si>
    <t>ZEPTOL CR</t>
  </si>
  <si>
    <t>ZIPSYDON 20</t>
  </si>
  <si>
    <t>ZIPSYDON 40</t>
  </si>
  <si>
    <t>ZOSERT 100</t>
  </si>
  <si>
    <t>ZOSERT 25</t>
  </si>
  <si>
    <t>ZOSERT 50</t>
  </si>
  <si>
    <t>SUN H(SENORA)</t>
  </si>
  <si>
    <t>ANOFER SP</t>
  </si>
  <si>
    <t>CABGOLIN</t>
  </si>
  <si>
    <t>CANSOFT CL</t>
  </si>
  <si>
    <t>SUPP 3SUP</t>
  </si>
  <si>
    <t>DOLIMA D3</t>
  </si>
  <si>
    <t>CAP 8CAP</t>
  </si>
  <si>
    <t>1CAP</t>
  </si>
  <si>
    <t>KRIMSON 35</t>
  </si>
  <si>
    <t>NEXT ANOFER</t>
  </si>
  <si>
    <t>NOVEFOS</t>
  </si>
  <si>
    <t>SACHET 1SACH.</t>
  </si>
  <si>
    <t>SUSTEN 100</t>
  </si>
  <si>
    <t>SUSTEN 200</t>
  </si>
  <si>
    <t>MG INJ. 2ML</t>
  </si>
  <si>
    <t>SUSTEN GEL</t>
  </si>
  <si>
    <t>8.0% 1PACK</t>
  </si>
  <si>
    <t>SUSTEN SR</t>
  </si>
  <si>
    <t>TRAPIC 500</t>
  </si>
  <si>
    <t>TRAPIC 650</t>
  </si>
  <si>
    <t>TRAPIC E</t>
  </si>
  <si>
    <t>TRAPIC MF</t>
  </si>
  <si>
    <t>SUN H(SPECTRA)</t>
  </si>
  <si>
    <t>AQSUSTEN 25</t>
  </si>
  <si>
    <t>DRONIS 20</t>
  </si>
  <si>
    <t>MG TAB 24TAB</t>
  </si>
  <si>
    <t>DRONIS 30</t>
  </si>
  <si>
    <t>FERTISURE F</t>
  </si>
  <si>
    <t>FERTISURE M</t>
  </si>
  <si>
    <t>LABEBET 100</t>
  </si>
  <si>
    <t>LETOVAL 2.5</t>
  </si>
  <si>
    <t>SPEEEDRAL</t>
  </si>
  <si>
    <t>HEALTH SUPP.CAP 10CAP</t>
  </si>
  <si>
    <t>SUSTEN 300</t>
  </si>
  <si>
    <t>SUSTEN 400</t>
  </si>
  <si>
    <t>SUSTEN VT</t>
  </si>
  <si>
    <t>100 MG INS. 6INS.</t>
  </si>
  <si>
    <t>200 MG INS. 10INS</t>
  </si>
  <si>
    <t>ZITOTEC 200</t>
  </si>
  <si>
    <t>SUN I (MAIN)</t>
  </si>
  <si>
    <t>ALCOLIV 500</t>
  </si>
  <si>
    <t>Continued..77</t>
  </si>
  <si>
    <t>No..77</t>
  </si>
  <si>
    <t>ETOSHINE</t>
  </si>
  <si>
    <t>120 MG TAB 10TAB</t>
  </si>
  <si>
    <t>ETOSHINE 60</t>
  </si>
  <si>
    <t>ETOSHINE 90</t>
  </si>
  <si>
    <t>ETOSHINE MR</t>
  </si>
  <si>
    <t>ETOSHINE NP</t>
  </si>
  <si>
    <t>FAMOCID 20</t>
  </si>
  <si>
    <t>FAMOCID 40</t>
  </si>
  <si>
    <t>LOFECAM 8</t>
  </si>
  <si>
    <t>LUMIA 2K</t>
  </si>
  <si>
    <t>LUMIA 60 K</t>
  </si>
  <si>
    <t>MEBIZ SR</t>
  </si>
  <si>
    <t>HEPTAGON TAB 10TAB</t>
  </si>
  <si>
    <t>PANTOCID 20</t>
  </si>
  <si>
    <t>PANTOCID 40</t>
  </si>
  <si>
    <t>PANTOCID 80</t>
  </si>
  <si>
    <t>PANTOCID D</t>
  </si>
  <si>
    <t>PANTOCID</t>
  </si>
  <si>
    <t>DSR CAP 15CAP</t>
  </si>
  <si>
    <t>PANTOCID IV</t>
  </si>
  <si>
    <t>40MG 1VIAL</t>
  </si>
  <si>
    <t>PANTOCID L</t>
  </si>
  <si>
    <t>TIZAN 2 MG</t>
  </si>
  <si>
    <t>SUN I (SYGNUS)</t>
  </si>
  <si>
    <t>ACTAPRO 100</t>
  </si>
  <si>
    <t>BUDEZ CR</t>
  </si>
  <si>
    <t>FLAVOJOINT</t>
  </si>
  <si>
    <t>FLEXURA D</t>
  </si>
  <si>
    <t>6KIT</t>
  </si>
  <si>
    <t>LACTIFIBER</t>
  </si>
  <si>
    <t>GRANEULES 180GM 180GM</t>
  </si>
  <si>
    <t>GRANULES 90GM 90GM</t>
  </si>
  <si>
    <t>SACHETS 1CSCH.</t>
  </si>
  <si>
    <t>LUBOWEL 24</t>
  </si>
  <si>
    <t>LUBOWEL 8</t>
  </si>
  <si>
    <t>MESACOL 800</t>
  </si>
  <si>
    <t>MESACOL CR</t>
  </si>
  <si>
    <t>1 GM SACHETS 1SACH.</t>
  </si>
  <si>
    <t>2 GM SACHETS 1SACH.</t>
  </si>
  <si>
    <t>MESACOL OD</t>
  </si>
  <si>
    <t>MESACOL</t>
  </si>
  <si>
    <t>SUPPOSITORY 5SUPP.</t>
  </si>
  <si>
    <t>NEUGABA 75</t>
  </si>
  <si>
    <t>NEUGABA ER</t>
  </si>
  <si>
    <t>NEUGABA M</t>
  </si>
  <si>
    <t>OCTRIDE 100</t>
  </si>
  <si>
    <t>MG AMP. 1AMP.</t>
  </si>
  <si>
    <t>OCTRIDE 50</t>
  </si>
  <si>
    <t>OSTOSPRAY</t>
  </si>
  <si>
    <t>FOR INTERANASAL 1PACK</t>
  </si>
  <si>
    <t>SUPERIA DSR</t>
  </si>
  <si>
    <t>SUPERIA L</t>
  </si>
  <si>
    <t>URSOCOL 150</t>
  </si>
  <si>
    <t>URSOCOL 300</t>
  </si>
  <si>
    <t>URSOCOL SR</t>
  </si>
  <si>
    <t>450 MG CAP 10CAP</t>
  </si>
  <si>
    <t>450 MG TAB 15TAB</t>
  </si>
  <si>
    <t>VSL#3 LITE</t>
  </si>
  <si>
    <t>SUN J(SYMBIOSIS)</t>
  </si>
  <si>
    <t>ADMENTA 10</t>
  </si>
  <si>
    <t>ADMENTA 5</t>
  </si>
  <si>
    <t>BENFOMET</t>
  </si>
  <si>
    <t>CHLORPROMAZINE 50 MG TAB 10TAB</t>
  </si>
  <si>
    <t>DONAMEM 10</t>
  </si>
  <si>
    <t>DONAMEM 5</t>
  </si>
  <si>
    <t>DONAMEM</t>
  </si>
  <si>
    <t>ELIWEL 10</t>
  </si>
  <si>
    <t>ELIWEL 25</t>
  </si>
  <si>
    <t>FLURILEPT</t>
  </si>
  <si>
    <t>TAB SUNF</t>
  </si>
  <si>
    <t>FLUVOXIN</t>
  </si>
  <si>
    <t>FLUVOXIN 50</t>
  </si>
  <si>
    <t>FLUVOXIN CR</t>
  </si>
  <si>
    <t>ILOSURE 4</t>
  </si>
  <si>
    <t>ILOSURE 6</t>
  </si>
  <si>
    <t>LEVIPIL 1</t>
  </si>
  <si>
    <t>GM TAB 10TAN</t>
  </si>
  <si>
    <t>LEVIPIL 250</t>
  </si>
  <si>
    <t>LEVIPIL 500</t>
  </si>
  <si>
    <t>LEVIPIL 750</t>
  </si>
  <si>
    <t>LEVIPIL</t>
  </si>
  <si>
    <t>LEVIPIL XR</t>
  </si>
  <si>
    <t>MIRTAZ 15</t>
  </si>
  <si>
    <t>MIRTAZ 30</t>
  </si>
  <si>
    <t>MIRTAZ 7.5</t>
  </si>
  <si>
    <t>NEXIPRIDE</t>
  </si>
  <si>
    <t>PRAMIPEX</t>
  </si>
  <si>
    <t>0.125 MG TAB 10TAB</t>
  </si>
  <si>
    <t>PRAMIPEX 1</t>
  </si>
  <si>
    <t>PRAMIPEX ER</t>
  </si>
  <si>
    <t>0.375 MG TAB 10TAB</t>
  </si>
  <si>
    <t>0.75 MG TAB 10TAB</t>
  </si>
  <si>
    <t>1.5 MG TAB 10TAB</t>
  </si>
  <si>
    <t>PROLINATE</t>
  </si>
  <si>
    <t>25 MG INJ. 1ML</t>
  </si>
  <si>
    <t>QUTIPIN 100</t>
  </si>
  <si>
    <t>QUTIPIN 200</t>
  </si>
  <si>
    <t>QUTIPIN 25</t>
  </si>
  <si>
    <t>QUTIPIN 300</t>
  </si>
  <si>
    <t>QUTIPIN 50</t>
  </si>
  <si>
    <t>QUTIPIN SR</t>
  </si>
  <si>
    <t>Continued..78</t>
  </si>
  <si>
    <t>No..78</t>
  </si>
  <si>
    <t>RIDAZIN 50</t>
  </si>
  <si>
    <t>SENORM LA</t>
  </si>
  <si>
    <t>50 MG INJ. 1INJ.</t>
  </si>
  <si>
    <t>SKELEBENZ</t>
  </si>
  <si>
    <t>TOFICALM</t>
  </si>
  <si>
    <t>TOFICALM 50</t>
  </si>
  <si>
    <t>TRAZALON 25</t>
  </si>
  <si>
    <t>TRAZALON 50</t>
  </si>
  <si>
    <t>TRAZINE H</t>
  </si>
  <si>
    <t>SUN K(SYNERGY)</t>
  </si>
  <si>
    <t>ASENAPT 10</t>
  </si>
  <si>
    <t>ASENAPT 5</t>
  </si>
  <si>
    <t>DUZELA 20</t>
  </si>
  <si>
    <t>DUZELA 30</t>
  </si>
  <si>
    <t>DUZELA 40</t>
  </si>
  <si>
    <t>DUZELA 60</t>
  </si>
  <si>
    <t>DUZELA M 20</t>
  </si>
  <si>
    <t>DUZELA M 30</t>
  </si>
  <si>
    <t>ENCORATE</t>
  </si>
  <si>
    <t>CHRONO 200 MG TA 10TAB</t>
  </si>
  <si>
    <t>CHRONO 300 MG TA 10TAB</t>
  </si>
  <si>
    <t>CHRONO 400 MG TAB 10TA</t>
  </si>
  <si>
    <t>CHRONO 500 MG TA 10TAB</t>
  </si>
  <si>
    <t>CHRONO 600 MG TAB 10TAB</t>
  </si>
  <si>
    <t>GABANTIN</t>
  </si>
  <si>
    <t>GABANTIN NT</t>
  </si>
  <si>
    <t>LOBAZEM MD</t>
  </si>
  <si>
    <t>LONAZEP</t>
  </si>
  <si>
    <t>0.25 MG TAB 15TAB</t>
  </si>
  <si>
    <t>LONAZEP 0.5</t>
  </si>
  <si>
    <t>LONAZEP 1</t>
  </si>
  <si>
    <t>LONAZEP 2</t>
  </si>
  <si>
    <t>LONAZEP MD</t>
  </si>
  <si>
    <t>MACORATE CR</t>
  </si>
  <si>
    <t>NEXITO 10</t>
  </si>
  <si>
    <t>NEXITO 20</t>
  </si>
  <si>
    <t>NEXITO 5 MG</t>
  </si>
  <si>
    <t>NEXITO</t>
  </si>
  <si>
    <t>NEXITO LS</t>
  </si>
  <si>
    <t>NEXITO PLUS</t>
  </si>
  <si>
    <t>OPIPROL 100</t>
  </si>
  <si>
    <t>OPIPROL 50</t>
  </si>
  <si>
    <t>RETENSE OD</t>
  </si>
  <si>
    <t>RIZANET 10</t>
  </si>
  <si>
    <t>RIZANET 5</t>
  </si>
  <si>
    <t>Continued..79</t>
  </si>
  <si>
    <t>No..79</t>
  </si>
  <si>
    <t>SULPITAC</t>
  </si>
  <si>
    <t>SULPITAC 50</t>
  </si>
  <si>
    <t>SULPITAC OD</t>
  </si>
  <si>
    <t>SULPITEC</t>
  </si>
  <si>
    <t>SYNDOPA 110</t>
  </si>
  <si>
    <t>SYNDOPA 275</t>
  </si>
  <si>
    <t>SYNDOPA CR</t>
  </si>
  <si>
    <t>SYNDOPA</t>
  </si>
  <si>
    <t>TRIGABANTIN</t>
  </si>
  <si>
    <t>VILANO 20</t>
  </si>
  <si>
    <t>VILANO 40</t>
  </si>
  <si>
    <t>ZONISEP 100</t>
  </si>
  <si>
    <t>ZONISEP 25</t>
  </si>
  <si>
    <t>ZONISEP 50</t>
  </si>
  <si>
    <t>SUN L(SYMENTA)</t>
  </si>
  <si>
    <t>AMIXIDE H</t>
  </si>
  <si>
    <t>ANXOZAP 10</t>
  </si>
  <si>
    <t>ANXOZAP 15</t>
  </si>
  <si>
    <t>ANXOZAP 30</t>
  </si>
  <si>
    <t>ARPIZOL 10</t>
  </si>
  <si>
    <t>ARPIZOL 15</t>
  </si>
  <si>
    <t>ARPIZOL 5</t>
  </si>
  <si>
    <t>ATTENTROL</t>
  </si>
  <si>
    <t>18 MG CAP 10CAP</t>
  </si>
  <si>
    <t>BUPRON SR</t>
  </si>
  <si>
    <t>BUPRON XL</t>
  </si>
  <si>
    <t>CLOFRANIL</t>
  </si>
  <si>
    <t>DICORATE ER</t>
  </si>
  <si>
    <t>1 GM TAB 10TAB</t>
  </si>
  <si>
    <t>DONETAZ ODS</t>
  </si>
  <si>
    <t>10 MG SACH. 10SACH.</t>
  </si>
  <si>
    <t>5 MG SACH. 10SACH</t>
  </si>
  <si>
    <t>DONETAZ SR</t>
  </si>
  <si>
    <t>11.5 MG TAB 10TAB</t>
  </si>
  <si>
    <t>23 MG TAB 10TAB</t>
  </si>
  <si>
    <t>D VENIZ 100</t>
  </si>
  <si>
    <t>MG TAB 10TAN</t>
  </si>
  <si>
    <t>D VENIZ 50</t>
  </si>
  <si>
    <t>D-VENIZEP</t>
  </si>
  <si>
    <t>LITHOSUN</t>
  </si>
  <si>
    <t>LITHOSUN SR</t>
  </si>
  <si>
    <t>LOBAZAM 10</t>
  </si>
  <si>
    <t>LOBAZAM 2.5</t>
  </si>
  <si>
    <t>LOBAZAM 5</t>
  </si>
  <si>
    <t>LOBAZAM 7.5</t>
  </si>
  <si>
    <t>MAXMALA 50</t>
  </si>
  <si>
    <t>MAXMALA</t>
  </si>
  <si>
    <t>Continued..80</t>
  </si>
  <si>
    <t>No..80</t>
  </si>
  <si>
    <t>MODALERT</t>
  </si>
  <si>
    <t>NAXDOM 250</t>
  </si>
  <si>
    <t>NAXDOM 500</t>
  </si>
  <si>
    <t>PRODEP 10</t>
  </si>
  <si>
    <t>PRODEP 20</t>
  </si>
  <si>
    <t>PRODEP 60</t>
  </si>
  <si>
    <t>RIVAMER 1.5</t>
  </si>
  <si>
    <t>RIVAMER 3</t>
  </si>
  <si>
    <t>SIZODON 1</t>
  </si>
  <si>
    <t>SIZODON 2</t>
  </si>
  <si>
    <t>SIZODON 3</t>
  </si>
  <si>
    <t>SIZODON 4</t>
  </si>
  <si>
    <t>SIZODON</t>
  </si>
  <si>
    <t>SIZODON LS</t>
  </si>
  <si>
    <t>SIZODON MD</t>
  </si>
  <si>
    <t>SYNCAPONE</t>
  </si>
  <si>
    <t>SUN M(SOLARES)</t>
  </si>
  <si>
    <t>BETAVERT 16</t>
  </si>
  <si>
    <t>BETAVERT 24</t>
  </si>
  <si>
    <t>BETAVERT OD</t>
  </si>
  <si>
    <t>24 MG TAB 10TAB</t>
  </si>
  <si>
    <t>48 MG TAB 10TAB</t>
  </si>
  <si>
    <t>BETAVERT</t>
  </si>
  <si>
    <t>DEPOPRED</t>
  </si>
  <si>
    <t>DESLOR 5 MG</t>
  </si>
  <si>
    <t>DULANE 20</t>
  </si>
  <si>
    <t>DULANE 30</t>
  </si>
  <si>
    <t>DULANE M 20</t>
  </si>
  <si>
    <t>EZACT 120</t>
  </si>
  <si>
    <t>EZACT 60 MG</t>
  </si>
  <si>
    <t>EZACT 90 MG</t>
  </si>
  <si>
    <t>EZACT MR</t>
  </si>
  <si>
    <t>FEBUTAZ 40</t>
  </si>
  <si>
    <t>FEBUTAZ 80</t>
  </si>
  <si>
    <t>GRANISET 1</t>
  </si>
  <si>
    <t>LESURIDE</t>
  </si>
  <si>
    <t>MPS TAB 10TAB</t>
  </si>
  <si>
    <t>LESURIDE OD</t>
  </si>
  <si>
    <t>MON DESLOR</t>
  </si>
  <si>
    <t>PANLIPASE</t>
  </si>
  <si>
    <t>PEGFIBER</t>
  </si>
  <si>
    <t>GRANULES 1PCS</t>
  </si>
  <si>
    <t>PEGMOVE</t>
  </si>
  <si>
    <t>POWDER 119GM</t>
  </si>
  <si>
    <t>PREP 1BOX</t>
  </si>
  <si>
    <t>PREDMET 16</t>
  </si>
  <si>
    <t>PREDMET 4</t>
  </si>
  <si>
    <t>PREDMET 8</t>
  </si>
  <si>
    <t>SILBOSTIN</t>
  </si>
  <si>
    <t>SNEPDOL OD</t>
  </si>
  <si>
    <t>SOMPRAZ 20</t>
  </si>
  <si>
    <t>Continued..81</t>
  </si>
  <si>
    <t>No..81</t>
  </si>
  <si>
    <t>SOMPRAZ 40</t>
  </si>
  <si>
    <t>SOMPRAZ D</t>
  </si>
  <si>
    <t>20 MG CAP 15CAP</t>
  </si>
  <si>
    <t>40 MG CAP 15CAP</t>
  </si>
  <si>
    <t>SOMPRAZ HP</t>
  </si>
  <si>
    <t>KIT 6TAB</t>
  </si>
  <si>
    <t>SOMPRAZ IT</t>
  </si>
  <si>
    <t>SOMPRAZ L</t>
  </si>
  <si>
    <t>THIOACT 4</t>
  </si>
  <si>
    <t>THIOACT 8</t>
  </si>
  <si>
    <t>THIOACT D 4</t>
  </si>
  <si>
    <t>THIOACT D 8</t>
  </si>
  <si>
    <t>SUNRNB (CROSSLANDS CL )</t>
  </si>
  <si>
    <t>ABZORB BAR</t>
  </si>
  <si>
    <t>ACROTAC 10</t>
  </si>
  <si>
    <t>ACROTAC 25</t>
  </si>
  <si>
    <t>ANABOOM AD</t>
  </si>
  <si>
    <t>ANABOOM</t>
  </si>
  <si>
    <t>ANTI HAIR FALL SERUM 60ML</t>
  </si>
  <si>
    <t>ANASURE 5%</t>
  </si>
  <si>
    <t>DIPROBATE G</t>
  </si>
  <si>
    <t>DIPROBATE</t>
  </si>
  <si>
    <t>RD CREAM 30GM</t>
  </si>
  <si>
    <t>DIPROBATE S</t>
  </si>
  <si>
    <t>EFLORA</t>
  </si>
  <si>
    <t>FUCIBET</t>
  </si>
  <si>
    <t>FUCIDIN</t>
  </si>
  <si>
    <t>FUCIDIN H</t>
  </si>
  <si>
    <t>FUNGICROS</t>
  </si>
  <si>
    <t>IVERMECTOL</t>
  </si>
  <si>
    <t>12 MG TAB 2TAB</t>
  </si>
  <si>
    <t>MICROBENZ</t>
  </si>
  <si>
    <t>3.5% AQEUOS GEL 15GM</t>
  </si>
  <si>
    <t>5.5% AQUEOUS GEL 15GM</t>
  </si>
  <si>
    <t>MOISTUREX</t>
  </si>
  <si>
    <t>CLENZ 100ML</t>
  </si>
  <si>
    <t>SOFT CREAM 100GM</t>
  </si>
  <si>
    <t>SOFT CREAM 300GM.</t>
  </si>
  <si>
    <t>SOFT LOTION 100ML</t>
  </si>
  <si>
    <t>SYNDET BAR 100GM</t>
  </si>
  <si>
    <t>MOITUREX</t>
  </si>
  <si>
    <t>WASH 200ML</t>
  </si>
  <si>
    <t>NEUGATRIP</t>
  </si>
  <si>
    <t>NEW XTRAGLO</t>
  </si>
  <si>
    <t>ONCOTREX 10</t>
  </si>
  <si>
    <t>ONCOTREX</t>
  </si>
  <si>
    <t>ONCOTREX 5</t>
  </si>
  <si>
    <t>SUPATRAT C</t>
  </si>
  <si>
    <t>SUPATRET</t>
  </si>
  <si>
    <t>0.04% GEL 20GM</t>
  </si>
  <si>
    <t>0.1% GEL 20GM</t>
  </si>
  <si>
    <t>TECZINE 10</t>
  </si>
  <si>
    <t>TECZINE 5</t>
  </si>
  <si>
    <t>TECZINE M</t>
  </si>
  <si>
    <t>TECZINE</t>
  </si>
  <si>
    <t>Continued..82</t>
  </si>
  <si>
    <t>No..82</t>
  </si>
  <si>
    <t>SUNRNB (RIGEL DIV.)</t>
  </si>
  <si>
    <t>BILASHINE</t>
  </si>
  <si>
    <t>MINOZ 100</t>
  </si>
  <si>
    <t>MINOZ 50 MG</t>
  </si>
  <si>
    <t>MINOZ BPO</t>
  </si>
  <si>
    <t>MINOZ ER 45</t>
  </si>
  <si>
    <t>MINOZ ER 65</t>
  </si>
  <si>
    <t>MINOZ OD</t>
  </si>
  <si>
    <t>100 MG CAP 4CAP</t>
  </si>
  <si>
    <t>PDLAST 30</t>
  </si>
  <si>
    <t>SUNCROS 26</t>
  </si>
  <si>
    <t>SPF AQUAGEL 100GM</t>
  </si>
  <si>
    <t>SPF GEL 100GM</t>
  </si>
  <si>
    <t>SPF LOTION 100ML</t>
  </si>
  <si>
    <t>SUNCROS 50</t>
  </si>
  <si>
    <t>AQUALOTION 60ML</t>
  </si>
  <si>
    <t>SUNCROS</t>
  </si>
  <si>
    <t>SOFT 50 SPF GEL 50GM</t>
  </si>
  <si>
    <t>SOFT GEL 20GM</t>
  </si>
  <si>
    <t>SOFT LOTION 60ML</t>
  </si>
  <si>
    <t>TINT LOTION 48ML</t>
  </si>
  <si>
    <t>XERINA</t>
  </si>
  <si>
    <t>XERINA SOFT</t>
  </si>
  <si>
    <t>LOTION 100GM</t>
  </si>
  <si>
    <t>YUGARD</t>
  </si>
  <si>
    <t>YUGARD EYE</t>
  </si>
  <si>
    <t>TROIKAA (ACME LIFE SCIENCE)</t>
  </si>
  <si>
    <t>BIFOSA 35</t>
  </si>
  <si>
    <t>BIFOSA 70</t>
  </si>
  <si>
    <t>DICLOTROY</t>
  </si>
  <si>
    <t>AQ INJ. 1ML</t>
  </si>
  <si>
    <t>QPS PLUS SPRAY 30ML</t>
  </si>
  <si>
    <t>DILTIGESIC</t>
  </si>
  <si>
    <t>ORGANOGEL 30GM</t>
  </si>
  <si>
    <t>DYNAPAR LD</t>
  </si>
  <si>
    <t>DYNAPAR S</t>
  </si>
  <si>
    <t>NIFECAINE</t>
  </si>
  <si>
    <t>NITROGESIC</t>
  </si>
  <si>
    <t>NUROTROY SR</t>
  </si>
  <si>
    <t>PHLEBOSOL</t>
  </si>
  <si>
    <t>QPS GLASS BOTT. TRKP</t>
  </si>
  <si>
    <t>PODOBACT</t>
  </si>
  <si>
    <t>RHINOCOBAL</t>
  </si>
  <si>
    <t>NASAL SPRAY 2.3ML</t>
  </si>
  <si>
    <t>TESS TUBE</t>
  </si>
  <si>
    <t>XYKAA BD</t>
  </si>
  <si>
    <t>XYKAA</t>
  </si>
  <si>
    <t>EXTEND 1000 MG TAB 10TAB</t>
  </si>
  <si>
    <t>EXTEND TAB 10TAB</t>
  </si>
  <si>
    <t>XYKAA MR 4</t>
  </si>
  <si>
    <t>XYKAA MR 8</t>
  </si>
  <si>
    <t>XYKAA PLUS</t>
  </si>
  <si>
    <t>XYKAA RAPID</t>
  </si>
  <si>
    <t>650 MG TAB 10TAB</t>
  </si>
  <si>
    <t>XYKAA TD</t>
  </si>
  <si>
    <t>ZYROTRAM P</t>
  </si>
  <si>
    <t>RAPID TAB 10TAB</t>
  </si>
  <si>
    <t>TROIKAA A(AURA)</t>
  </si>
  <si>
    <t>EURYTHMIC</t>
  </si>
  <si>
    <t>Continued..83</t>
  </si>
  <si>
    <t>No..83</t>
  </si>
  <si>
    <t>FENO TG</t>
  </si>
  <si>
    <t>LESSKAA 10</t>
  </si>
  <si>
    <t>LIQUI D3</t>
  </si>
  <si>
    <t>MYONIT</t>
  </si>
  <si>
    <t>INSTA TAB 30TAB</t>
  </si>
  <si>
    <t>MYONIT SR</t>
  </si>
  <si>
    <t>2.6 MG TAB 25TAB</t>
  </si>
  <si>
    <t>6.4 MG TAB 25TAB</t>
  </si>
  <si>
    <t>ORLITROY</t>
  </si>
  <si>
    <t>ORLITROY 60</t>
  </si>
  <si>
    <t>ROSUKAA 10</t>
  </si>
  <si>
    <t>ROSUKAA 20</t>
  </si>
  <si>
    <t>ROSUKAA 40</t>
  </si>
  <si>
    <t>ROSUKAA 5</t>
  </si>
  <si>
    <t>ROSUKAA A</t>
  </si>
  <si>
    <t>10/75 MG CAP 10CAP</t>
  </si>
  <si>
    <t>20/150 MG CAP 10CAP</t>
  </si>
  <si>
    <t>ROSUKAA F</t>
  </si>
  <si>
    <t>ROSUKAA</t>
  </si>
  <si>
    <t>TELMIKAA 20</t>
  </si>
  <si>
    <t>TELMIKAA 40</t>
  </si>
  <si>
    <t>TELMIKAA 80</t>
  </si>
  <si>
    <t>TELMIKAA</t>
  </si>
  <si>
    <t>AMH TAB 10TAB</t>
  </si>
  <si>
    <t>TELMIKAA AM</t>
  </si>
  <si>
    <t>TELMIKAA CT</t>
  </si>
  <si>
    <t>TELMIKAA H</t>
  </si>
  <si>
    <t>TELMIKAA MT</t>
  </si>
  <si>
    <t>TROYACE-SP</t>
  </si>
  <si>
    <t>TROYNURON</t>
  </si>
  <si>
    <t>AL CAP 10CAP</t>
  </si>
  <si>
    <t>ZYLTAN 25</t>
  </si>
  <si>
    <t>ZYLTAN 50</t>
  </si>
  <si>
    <t>ZYLTAN H</t>
  </si>
  <si>
    <t>TROIKAA PHARMA (MAIN)</t>
  </si>
  <si>
    <t>DYNAPAR EC</t>
  </si>
  <si>
    <t>DYNAPAR GEL</t>
  </si>
  <si>
    <t>DYNAPAR</t>
  </si>
  <si>
    <t>DYNAPAR MR</t>
  </si>
  <si>
    <t>DYNAPAR QPS</t>
  </si>
  <si>
    <t>PLUS SOLUTION 15ML</t>
  </si>
  <si>
    <t>PLUS SOLUTION 30ML</t>
  </si>
  <si>
    <t>DYNAPAR SR</t>
  </si>
  <si>
    <t>NASO B12</t>
  </si>
  <si>
    <t>OPTOGEST SR</t>
  </si>
  <si>
    <t>PPTROY D</t>
  </si>
  <si>
    <t>RECHARJE</t>
  </si>
  <si>
    <t>TROYCAL 500</t>
  </si>
  <si>
    <t>TROYCAL CT</t>
  </si>
  <si>
    <t>TROYSLIM</t>
  </si>
  <si>
    <t>TROYSLIM 60</t>
  </si>
  <si>
    <t>TROYSONE</t>
  </si>
  <si>
    <t>100 MG INJ. 1VIAL</t>
  </si>
  <si>
    <t>TROYVIT D3</t>
  </si>
  <si>
    <t>USV ( PHARMA MULTI SPECIALITY)</t>
  </si>
  <si>
    <t>Continued..84</t>
  </si>
  <si>
    <t>No..84</t>
  </si>
  <si>
    <t>JALRA M</t>
  </si>
  <si>
    <t>50/850 MG TAB USVJ</t>
  </si>
  <si>
    <t>TRIPLE A</t>
  </si>
  <si>
    <t>CAL FD TAB 10TAB</t>
  </si>
  <si>
    <t>ANOVATE</t>
  </si>
  <si>
    <t>DEROBIN</t>
  </si>
  <si>
    <t>DOXY 1 L DR</t>
  </si>
  <si>
    <t>GYNAE CVP</t>
  </si>
  <si>
    <t>MVI INJ.</t>
  </si>
  <si>
    <t>NURIL 10 MG</t>
  </si>
  <si>
    <t>NURIL 2.5</t>
  </si>
  <si>
    <t>NURIL 5 MG</t>
  </si>
  <si>
    <t>ZOSTA 10 MG</t>
  </si>
  <si>
    <t>ZOSTA 20 MG</t>
  </si>
  <si>
    <t>ZOSTA 5 MG</t>
  </si>
  <si>
    <t>USV (CLASSIC COR.)</t>
  </si>
  <si>
    <t>AMLOPIN 10</t>
  </si>
  <si>
    <t>AMLOPIN 2.5</t>
  </si>
  <si>
    <t>AMLOPIN 5</t>
  </si>
  <si>
    <t>AMLOPIN M</t>
  </si>
  <si>
    <t>DIATAAL CAP</t>
  </si>
  <si>
    <t>$ 15CAP</t>
  </si>
  <si>
    <t>DIATAAL D</t>
  </si>
  <si>
    <t>GLYCOMET 1</t>
  </si>
  <si>
    <t>GLYCOMET</t>
  </si>
  <si>
    <t>GLYCOMET SR</t>
  </si>
  <si>
    <t>500 MG TAB 20TAB</t>
  </si>
  <si>
    <t>JALRA 50 MG</t>
  </si>
  <si>
    <t>PEVESCA 75</t>
  </si>
  <si>
    <t>PEVESCA</t>
  </si>
  <si>
    <t>ROSEDAY</t>
  </si>
  <si>
    <t>SR PEVESCA</t>
  </si>
  <si>
    <t>PLUS 150 MG TAB 10TAB</t>
  </si>
  <si>
    <t>PLUS 75 MG TAB 10TAB</t>
  </si>
  <si>
    <t>TRIGLYNSE</t>
  </si>
  <si>
    <t>V1 MG TAB 10TAB</t>
  </si>
  <si>
    <t>V2 MG TAB 10TAB</t>
  </si>
  <si>
    <t>ANGISPAN TR</t>
  </si>
  <si>
    <t>2.5 MG CAP * 25CAP</t>
  </si>
  <si>
    <t>6.5 MG CAP * 25CAP</t>
  </si>
  <si>
    <t>ECOSPRIN</t>
  </si>
  <si>
    <t>GOLD 10 MG CAP 15CAP</t>
  </si>
  <si>
    <t>GOLD 10 MG FORTE CAP 10CAP</t>
  </si>
  <si>
    <t>GOLD 20 MG CAP 15CAP</t>
  </si>
  <si>
    <t>Continued..85</t>
  </si>
  <si>
    <t>No..85</t>
  </si>
  <si>
    <t>LIPICARD</t>
  </si>
  <si>
    <t>160 MG TAB 10TAB</t>
  </si>
  <si>
    <t>LIPICARD AV</t>
  </si>
  <si>
    <t>METZOK 100</t>
  </si>
  <si>
    <t>METZOK 12.5</t>
  </si>
  <si>
    <t>METZOK 25</t>
  </si>
  <si>
    <t>METZOK 50</t>
  </si>
  <si>
    <t>PIOZ 15 MG</t>
  </si>
  <si>
    <t>PIOZ 30 MG</t>
  </si>
  <si>
    <t>PIOZ 7.5 MG</t>
  </si>
  <si>
    <t>PIOZ MF 15</t>
  </si>
  <si>
    <t>PIOZ MF 30</t>
  </si>
  <si>
    <t>PIOZ MF 7.5</t>
  </si>
  <si>
    <t>PIOZ MF G 1</t>
  </si>
  <si>
    <t>PIOZ MF G 2</t>
  </si>
  <si>
    <t>ROSEDAY 10</t>
  </si>
  <si>
    <t>ROSEDAY 20</t>
  </si>
  <si>
    <t>ROSEDAY 40</t>
  </si>
  <si>
    <t>ROSEDAY 5</t>
  </si>
  <si>
    <t>ROSEDAY A</t>
  </si>
  <si>
    <t>10 FORTE TAB 10TAB</t>
  </si>
  <si>
    <t>20 FORTE CAP 10CAP</t>
  </si>
  <si>
    <t>ROSEDAY CV</t>
  </si>
  <si>
    <t>ROSEDAY EZ</t>
  </si>
  <si>
    <t>ROSEDAY F</t>
  </si>
  <si>
    <t>ROSEDAY F 5</t>
  </si>
  <si>
    <t>150 MG TAB 14TAB</t>
  </si>
  <si>
    <t>325 MG TAB 14TAB</t>
  </si>
  <si>
    <t>ECOSPRIN 75</t>
  </si>
  <si>
    <t>TRIO FORTE 1 MG TAB 10TAB</t>
  </si>
  <si>
    <t>TRIO FORTE 2 MG TAB 10TAB</t>
  </si>
  <si>
    <t>OLMETRACK</t>
  </si>
  <si>
    <t>CT 12.5 MG TAB 10TAB</t>
  </si>
  <si>
    <t>CT 40/12.5 MG TAB 10TAB</t>
  </si>
  <si>
    <t>CT 6.25 MG TAB 10TAB</t>
  </si>
  <si>
    <t>OLMETRACK H</t>
  </si>
  <si>
    <t>TRIGLYCOMET</t>
  </si>
  <si>
    <t>VOBOSE 0.2</t>
  </si>
  <si>
    <t>VOBOSE 0.3</t>
  </si>
  <si>
    <t>VOBOSE M</t>
  </si>
  <si>
    <t>USV (CORVETTE)</t>
  </si>
  <si>
    <t>CLOPIGREL</t>
  </si>
  <si>
    <t>DUOTROL SR</t>
  </si>
  <si>
    <t>GLYCOMET GP</t>
  </si>
  <si>
    <t>0.5 MG FORTE TAB 10TAB</t>
  </si>
  <si>
    <t>1/850 MG TAB 10TAB</t>
  </si>
  <si>
    <t>Continued..86</t>
  </si>
  <si>
    <t>No..86</t>
  </si>
  <si>
    <t>2/850 MG TAB 10TAB</t>
  </si>
  <si>
    <t>3/850 MG TAB 10TAB</t>
  </si>
  <si>
    <t>3 FORTE TAB 10TAB</t>
  </si>
  <si>
    <t>4 FORTE TAB 10TAB</t>
  </si>
  <si>
    <t>TRIO 1/0.3 MG TAB 10TAB</t>
  </si>
  <si>
    <t>TRIO 2/0.3 MG TAB 10TAB</t>
  </si>
  <si>
    <t>GP 0.5 MG</t>
  </si>
  <si>
    <t>GP 1 MG TAB</t>
  </si>
  <si>
    <t>GP 2 MG TAB</t>
  </si>
  <si>
    <t>GP 3 MG TAB</t>
  </si>
  <si>
    <t>GP 4 MG TAB</t>
  </si>
  <si>
    <t>MASHYNE OD</t>
  </si>
  <si>
    <t>POLYTORVA</t>
  </si>
  <si>
    <t>2.5 MG KIT 1KIT</t>
  </si>
  <si>
    <t>POLYTORVA 5</t>
  </si>
  <si>
    <t>MG KIT 1KIT</t>
  </si>
  <si>
    <t>ZABESTA 2.5</t>
  </si>
  <si>
    <t>ZABESTA 5</t>
  </si>
  <si>
    <t>ZABESTA AM</t>
  </si>
  <si>
    <t>ZABESTA XLO</t>
  </si>
  <si>
    <t>ZABESTA X</t>
  </si>
  <si>
    <t>ERYTOP A</t>
  </si>
  <si>
    <t>ERYTOP GEL</t>
  </si>
  <si>
    <t>ERYTOP</t>
  </si>
  <si>
    <t>LOTION 25ML</t>
  </si>
  <si>
    <t>FENTOZAC</t>
  </si>
  <si>
    <t>CAPSULES 1 CAP</t>
  </si>
  <si>
    <t>FOLCURE 5D</t>
  </si>
  <si>
    <t>FOLCURE 5</t>
  </si>
  <si>
    <t>MASHYNE</t>
  </si>
  <si>
    <t>MASHYNE 60K</t>
  </si>
  <si>
    <t>NIZER GEL</t>
  </si>
  <si>
    <t>PROSPAN</t>
  </si>
  <si>
    <t>COUGH SYRUP 100ML</t>
  </si>
  <si>
    <t>CAL D CAP 10CAP</t>
  </si>
  <si>
    <t>CAL FORTE CAP 10CAP</t>
  </si>
  <si>
    <t>CAL TAB 10TAB</t>
  </si>
  <si>
    <t>UTIZAP</t>
  </si>
  <si>
    <t>VIBACT DRY</t>
  </si>
  <si>
    <t>VIBACT DS</t>
  </si>
  <si>
    <t>VIBACT</t>
  </si>
  <si>
    <t>SACHETS 0.5GM</t>
  </si>
  <si>
    <t>VIBACT ZN</t>
  </si>
  <si>
    <t>SACHETS 15GM</t>
  </si>
  <si>
    <t>VISYNERAL</t>
  </si>
  <si>
    <t>DROP $ 15ML</t>
  </si>
  <si>
    <t>SYP $ 100ML</t>
  </si>
  <si>
    <t>VISYNERAL Z</t>
  </si>
  <si>
    <t>SYRUP $ 100ML</t>
  </si>
  <si>
    <t>AZILDAY 40</t>
  </si>
  <si>
    <t>AZILDAY 80</t>
  </si>
  <si>
    <t>D RISE 2000</t>
  </si>
  <si>
    <t>D RISE 60K</t>
  </si>
  <si>
    <t>Continued..87</t>
  </si>
  <si>
    <t>No..87</t>
  </si>
  <si>
    <t>D RISE K2</t>
  </si>
  <si>
    <t>D RISE</t>
  </si>
  <si>
    <t>D RISE SURE</t>
  </si>
  <si>
    <t>SACH. 1SCH</t>
  </si>
  <si>
    <t>ECOSPRIN AV</t>
  </si>
  <si>
    <t>150/20 MG TAB 10TAB</t>
  </si>
  <si>
    <t>150 MG CAP 15CAP</t>
  </si>
  <si>
    <t>75/20 MG CAP 10CAP</t>
  </si>
  <si>
    <t>EXELYTE</t>
  </si>
  <si>
    <t>ORAL SALINE LAX. 2*45ML</t>
  </si>
  <si>
    <t>GLYNASE MF</t>
  </si>
  <si>
    <t>GLYNASE XL</t>
  </si>
  <si>
    <t>GLYNASE TAB 10TAB</t>
  </si>
  <si>
    <t>SULISENT</t>
  </si>
  <si>
    <t>THE</t>
  </si>
  <si>
    <t>TRIGLYNASE 1 MG FORTE TAB 10TAB</t>
  </si>
  <si>
    <t>TRIGLYNASE 1 MG TAB 10TAB</t>
  </si>
  <si>
    <t>TRIGLYNASE 2 MG FORTE TAB 10TAB</t>
  </si>
  <si>
    <t>TRIGLYNASE 2 MG TAB 10TAB</t>
  </si>
  <si>
    <t>TICASPAN 60</t>
  </si>
  <si>
    <t>TICASPAN</t>
  </si>
  <si>
    <t>CAL OS CAP 10CAP</t>
  </si>
  <si>
    <t>USV (TEAM TAZLOC)</t>
  </si>
  <si>
    <t>TAZLOC 20</t>
  </si>
  <si>
    <t>TAZLOC 40</t>
  </si>
  <si>
    <t>TAZLOC 80</t>
  </si>
  <si>
    <t>TAZLOC AM</t>
  </si>
  <si>
    <t>TAZLOC BETA</t>
  </si>
  <si>
    <t>TAZLOC CT</t>
  </si>
  <si>
    <t>TAZLOC H 80</t>
  </si>
  <si>
    <t>TAZLOC H</t>
  </si>
  <si>
    <t>TAZLOC R</t>
  </si>
  <si>
    <t>TAZLOC TRIO</t>
  </si>
  <si>
    <t>USV LIMITED</t>
  </si>
  <si>
    <t>UTH HEALTHCARE</t>
  </si>
  <si>
    <t>MEXMET 25</t>
  </si>
  <si>
    <t>MEXMET 50</t>
  </si>
  <si>
    <t>NANO D3</t>
  </si>
  <si>
    <t>SOLUTION 5ML</t>
  </si>
  <si>
    <t>NUTRIRIGHT</t>
  </si>
  <si>
    <t>MOM COOKIES 1PACK</t>
  </si>
  <si>
    <t>MOM POWDER 200GM</t>
  </si>
  <si>
    <t>30SACH</t>
  </si>
  <si>
    <t>OBICURE</t>
  </si>
  <si>
    <t>CHOCOLATE POWDER 200GM</t>
  </si>
  <si>
    <t>COOKIES 200GM</t>
  </si>
  <si>
    <t>OBICURE GEL</t>
  </si>
  <si>
    <t>150GM</t>
  </si>
  <si>
    <t>PLUS CAP 30CAP.</t>
  </si>
  <si>
    <t>OBICURE PM</t>
  </si>
  <si>
    <t>POWDER 1*30GM</t>
  </si>
  <si>
    <t>SLIM TEA SACHETS 30*1GM</t>
  </si>
  <si>
    <t>PROTOTAL</t>
  </si>
  <si>
    <t>Continued..88</t>
  </si>
  <si>
    <t>No..88</t>
  </si>
  <si>
    <t>WHEY POWDER 200GM</t>
  </si>
  <si>
    <t>ROSELINA</t>
  </si>
  <si>
    <t>TOTAL CAL</t>
  </si>
  <si>
    <t>D3 TAB 20TAB</t>
  </si>
  <si>
    <t>TOTALCAL</t>
  </si>
  <si>
    <t>UTH G 75</t>
  </si>
  <si>
    <t>POWDER 75GM</t>
  </si>
  <si>
    <t>VITASONIC</t>
  </si>
  <si>
    <t>MV TAB 10TAB</t>
  </si>
  <si>
    <t>VITASONIC Q</t>
  </si>
  <si>
    <t>100 CAP 10CAP</t>
  </si>
  <si>
    <t>300 CAP 10CAP</t>
  </si>
  <si>
    <t>VANMART PHARMACEUTICALS &amp; BIOTEC</t>
  </si>
  <si>
    <t>LINKAST-L</t>
  </si>
  <si>
    <t>QCV-625 MG</t>
  </si>
  <si>
    <t>QCV DS</t>
  </si>
  <si>
    <t>SEPCOLD</t>
  </si>
  <si>
    <t>AZITUS 100</t>
  </si>
  <si>
    <t>MG SUSP 15ML</t>
  </si>
  <si>
    <t>AZITUS 200</t>
  </si>
  <si>
    <t>AZITUS 500</t>
  </si>
  <si>
    <t>AZITUS XL</t>
  </si>
  <si>
    <t>200 MG SUSPENSION 30ML</t>
  </si>
  <si>
    <t>BACTOMIN</t>
  </si>
  <si>
    <t>750 MG TAB 6TAB</t>
  </si>
  <si>
    <t>BROPHYLE</t>
  </si>
  <si>
    <t>BROPHYLE SR</t>
  </si>
  <si>
    <t>CORTIMAX 12</t>
  </si>
  <si>
    <t>CORTIMAX 24</t>
  </si>
  <si>
    <t>CORTIMAX 6</t>
  </si>
  <si>
    <t>EMIGO MD 4</t>
  </si>
  <si>
    <t>EMIGO</t>
  </si>
  <si>
    <t>FLORESP AZ</t>
  </si>
  <si>
    <t>NAZAL SPRAY 70MD</t>
  </si>
  <si>
    <t>FLORESP</t>
  </si>
  <si>
    <t>GUTCLEAR-IG</t>
  </si>
  <si>
    <t>POWDER 180GM</t>
  </si>
  <si>
    <t>GUTCLEAR IG</t>
  </si>
  <si>
    <t>POWDER 90GM</t>
  </si>
  <si>
    <t>GUTCLEAR</t>
  </si>
  <si>
    <t>LAFAXID 10</t>
  </si>
  <si>
    <t>LAFAXID D</t>
  </si>
  <si>
    <t>LORNIT 150</t>
  </si>
  <si>
    <t>LORNIT</t>
  </si>
  <si>
    <t>INFUSION 10ML</t>
  </si>
  <si>
    <t>SACHET 5GM</t>
  </si>
  <si>
    <t>MONTEFEX</t>
  </si>
  <si>
    <t>NUKAST 10</t>
  </si>
  <si>
    <t>NUKAST 4 MG</t>
  </si>
  <si>
    <t>PROGERMINA</t>
  </si>
  <si>
    <t>RETUNE LS</t>
  </si>
  <si>
    <t>RIFAXIMAX</t>
  </si>
  <si>
    <t>SERETRA 80</t>
  </si>
  <si>
    <t>TULOPLAST</t>
  </si>
  <si>
    <t>0.5 MG PATCH 1PATCH</t>
  </si>
  <si>
    <t>TULOPLAST 1</t>
  </si>
  <si>
    <t>MG PATCH 1PATCH</t>
  </si>
  <si>
    <t>TULOPLAST 2</t>
  </si>
  <si>
    <t>URSOMAX 300</t>
  </si>
  <si>
    <t>ZOSA DSR</t>
  </si>
  <si>
    <t>Continued..89</t>
  </si>
  <si>
    <t>No..89</t>
  </si>
  <si>
    <t>ARTIFLO 1</t>
  </si>
  <si>
    <t>ARTIFLO 2</t>
  </si>
  <si>
    <t>ARTIFLO 3</t>
  </si>
  <si>
    <t>ARTIFLO 4</t>
  </si>
  <si>
    <t>BEVON CD</t>
  </si>
  <si>
    <t>EFNOCAR 20</t>
  </si>
  <si>
    <t>EFNOCAR 40</t>
  </si>
  <si>
    <t>KIMET XL</t>
  </si>
  <si>
    <t>KIMET XL 25</t>
  </si>
  <si>
    <t>OLBET 20 MG</t>
  </si>
  <si>
    <t>OLBET 40 MG</t>
  </si>
  <si>
    <t>OLBET CT 20</t>
  </si>
  <si>
    <t>OLBET CT 40</t>
  </si>
  <si>
    <t>PEGCLEAR</t>
  </si>
  <si>
    <t>R4EVOGLIP M</t>
  </si>
  <si>
    <t>1000 TAB 10'TAB</t>
  </si>
  <si>
    <t>REVOGLIP 20</t>
  </si>
  <si>
    <t>REVOGLIP M</t>
  </si>
  <si>
    <t>REVOSTAT 10</t>
  </si>
  <si>
    <t>REVOSTAT 20</t>
  </si>
  <si>
    <t>REVOSTAT 40</t>
  </si>
  <si>
    <t>REVOSTAT 5</t>
  </si>
  <si>
    <t>REVOSTAT FB</t>
  </si>
  <si>
    <t>REVOSTAT</t>
  </si>
  <si>
    <t>THALORIC</t>
  </si>
  <si>
    <t>ZUVOG 0.2</t>
  </si>
  <si>
    <t>ZUVOG M 0.2</t>
  </si>
  <si>
    <t>ZUVOG M 0.3</t>
  </si>
  <si>
    <t>ZUVOG TRIO</t>
  </si>
  <si>
    <t>ANCOOL</t>
  </si>
  <si>
    <t>SUSPENSION 170ML</t>
  </si>
  <si>
    <t>C TAX O 100</t>
  </si>
  <si>
    <t>C TAX O 50</t>
  </si>
  <si>
    <t>C TRI 125</t>
  </si>
  <si>
    <t>MG INJ. 125MG</t>
  </si>
  <si>
    <t>C TRI 1 GM</t>
  </si>
  <si>
    <t>INJ. 1GM</t>
  </si>
  <si>
    <t>C TRI 250</t>
  </si>
  <si>
    <t>MG INJ. 250MG</t>
  </si>
  <si>
    <t>C TRI 500</t>
  </si>
  <si>
    <t>MG INJ. 500MG</t>
  </si>
  <si>
    <t>DICLOPLAST</t>
  </si>
  <si>
    <t>PATCHES PERPOUCH/3PATCH</t>
  </si>
  <si>
    <t>EUCALMIN</t>
  </si>
  <si>
    <t>FULL 365 MG</t>
  </si>
  <si>
    <t>WOMAN CAP 15CAP</t>
  </si>
  <si>
    <t>KETOPLAST</t>
  </si>
  <si>
    <t>30 MG 1*7</t>
  </si>
  <si>
    <t>PLASTER 7PPP</t>
  </si>
  <si>
    <t>LA MIKA 500</t>
  </si>
  <si>
    <t>LOTOR 500</t>
  </si>
  <si>
    <t>MECOVON OD</t>
  </si>
  <si>
    <t>MEFAST 100</t>
  </si>
  <si>
    <t>MEFAST P</t>
  </si>
  <si>
    <t>METHYPREG</t>
  </si>
  <si>
    <t>MYOTOP 150</t>
  </si>
  <si>
    <t>MYOTOP 450</t>
  </si>
  <si>
    <t>MG SR TAB 6TAB</t>
  </si>
  <si>
    <t>MYOTOP DSR</t>
  </si>
  <si>
    <t>Continued..90</t>
  </si>
  <si>
    <t>No..90</t>
  </si>
  <si>
    <t>MYOTOP P</t>
  </si>
  <si>
    <t>NEW NORMET</t>
  </si>
  <si>
    <t>NORMET</t>
  </si>
  <si>
    <t>OZOLID SR</t>
  </si>
  <si>
    <t>1200 MG TAB 5TAB</t>
  </si>
  <si>
    <t>PANSA DSR</t>
  </si>
  <si>
    <t>RIVAPLAST</t>
  </si>
  <si>
    <t>PATCH 1*3PATC.</t>
  </si>
  <si>
    <t>SETOLAC 300</t>
  </si>
  <si>
    <t>MG ER TAB 10TAB</t>
  </si>
  <si>
    <t>SETOLAC P 5</t>
  </si>
  <si>
    <t>SETOLAC P</t>
  </si>
  <si>
    <t>TIBROLIN D</t>
  </si>
  <si>
    <t>TIBROLIN</t>
  </si>
  <si>
    <t>TUMSUP DROP</t>
  </si>
  <si>
    <t>ZEMCIFER XT</t>
  </si>
  <si>
    <t>ZUVENTUS HEALTHCARE A</t>
  </si>
  <si>
    <t>AMLENOX</t>
  </si>
  <si>
    <t>ORAL PASTE 5GM.</t>
  </si>
  <si>
    <t>AUGPEN 625</t>
  </si>
  <si>
    <t>MG BID TAB 10TAB</t>
  </si>
  <si>
    <t>AUGPEN</t>
  </si>
  <si>
    <t>AUGPEN DS</t>
  </si>
  <si>
    <t>AUGPEN HS</t>
  </si>
  <si>
    <t>BEVON DROP</t>
  </si>
  <si>
    <t>BEVON</t>
  </si>
  <si>
    <t>SOFTULES CAP 15CAP</t>
  </si>
  <si>
    <t>BEVON SYRUP</t>
  </si>
  <si>
    <t>CORALIUM D3</t>
  </si>
  <si>
    <t>ESLO 1.25</t>
  </si>
  <si>
    <t>ESLO 2.5 MG</t>
  </si>
  <si>
    <t>ESLO 5 MG</t>
  </si>
  <si>
    <t>ESLO AT 5</t>
  </si>
  <si>
    <t>ESLOMET 2.5</t>
  </si>
  <si>
    <t>ESLOMET 5</t>
  </si>
  <si>
    <t>ESLO TAN</t>
  </si>
  <si>
    <t>ESLO TEL</t>
  </si>
  <si>
    <t>ESLO TEL 5</t>
  </si>
  <si>
    <t>FERONIA D3</t>
  </si>
  <si>
    <t>FERONIA HP</t>
  </si>
  <si>
    <t>FERONIA XT</t>
  </si>
  <si>
    <t>SUSP 150ML</t>
  </si>
  <si>
    <t>FITJOINT</t>
  </si>
  <si>
    <t>CAPSULE 10CAP</t>
  </si>
  <si>
    <t>FLORISTORE</t>
  </si>
  <si>
    <t>2.5 MG CAP 10CAP</t>
  </si>
  <si>
    <t>FULL 365</t>
  </si>
  <si>
    <t>MAXTRA COLD</t>
  </si>
  <si>
    <t>MAXTRA DROP</t>
  </si>
  <si>
    <t>MAXTRA</t>
  </si>
  <si>
    <t>GARGLE 120ML</t>
  </si>
  <si>
    <t>MAXTRA P DS</t>
  </si>
  <si>
    <t>MAXTRA P</t>
  </si>
  <si>
    <t>MEGANANO</t>
  </si>
  <si>
    <t>MEROTEC 1</t>
  </si>
  <si>
    <t>GM INJ. 1GM</t>
  </si>
  <si>
    <t>Continued..91</t>
  </si>
  <si>
    <t>No..91</t>
  </si>
  <si>
    <t>NETROMAX 10</t>
  </si>
  <si>
    <t>MG INJ. 10MG</t>
  </si>
  <si>
    <t>NETROMAX 25</t>
  </si>
  <si>
    <t>MG INJ. 25MG</t>
  </si>
  <si>
    <t>RABIFAST 20</t>
  </si>
  <si>
    <t>RABIFAST 40</t>
  </si>
  <si>
    <t>RABIFAST</t>
  </si>
  <si>
    <t>RABIFAST XL</t>
  </si>
  <si>
    <t>SCAVISTA 12</t>
  </si>
  <si>
    <t>SOVENTUS DC</t>
  </si>
  <si>
    <t>SOVENTUS DX</t>
  </si>
  <si>
    <t>SOVENTUS</t>
  </si>
  <si>
    <t>JR. SYRUP 60ML</t>
  </si>
  <si>
    <t>SOVENTUS LS</t>
  </si>
  <si>
    <t>TROXIP OD</t>
  </si>
  <si>
    <t>VITANOVA D3</t>
  </si>
  <si>
    <t>6 L INJETION 1ML</t>
  </si>
  <si>
    <t>SG CAP 4CAP</t>
  </si>
  <si>
    <t>VITANOVA SG</t>
  </si>
  <si>
    <t>ZINCONIA 50</t>
  </si>
  <si>
    <t>ZINCONIA</t>
  </si>
  <si>
    <t>ZOSTUM 1.5</t>
  </si>
  <si>
    <t>ZOSTUM 1 GM</t>
  </si>
  <si>
    <t>ZOSTUM 3 GM</t>
  </si>
  <si>
    <t>ZOSTUM O</t>
  </si>
  <si>
    <t>100 DRY SYP 100ML</t>
  </si>
  <si>
    <t>ZOSTUM O 50</t>
  </si>
  <si>
    <t>ZU-C 500 MG</t>
  </si>
  <si>
    <t>CIPLA R (WOMENS HEALTH NUTRAC)</t>
  </si>
  <si>
    <t>CDENSE</t>
  </si>
  <si>
    <t>TOTAL TAB 15TAB</t>
  </si>
  <si>
    <t>CPINK DROPS</t>
  </si>
  <si>
    <t>CPINK S 100</t>
  </si>
  <si>
    <t>CPINK</t>
  </si>
  <si>
    <t>FOLININE D</t>
  </si>
  <si>
    <t>FOLININE</t>
  </si>
  <si>
    <t>L-FOLININE</t>
  </si>
  <si>
    <t>NEW CDENSE</t>
  </si>
  <si>
    <t>NEW CPINK</t>
  </si>
  <si>
    <t>PRODUCTIV F</t>
  </si>
  <si>
    <t>PRODUCTIV</t>
  </si>
  <si>
    <t>GOLD TAB CIPP</t>
  </si>
  <si>
    <t>GLAMDERMA</t>
  </si>
  <si>
    <t>CALOXI</t>
  </si>
  <si>
    <t>ECO SOAP</t>
  </si>
  <si>
    <t>KETAX-B</t>
  </si>
  <si>
    <t>CREAM 10GM.</t>
  </si>
  <si>
    <t>KETAX</t>
  </si>
  <si>
    <t>LOTION 15ML.</t>
  </si>
  <si>
    <t>KETAX SOAP</t>
  </si>
  <si>
    <t>75GM.</t>
  </si>
  <si>
    <t>P0-MAX SOAP</t>
  </si>
  <si>
    <t>P-MAX</t>
  </si>
  <si>
    <t>P-MAX SOAP</t>
  </si>
  <si>
    <t>MICRO H VIVAA</t>
  </si>
  <si>
    <t>ANORELIEF</t>
  </si>
  <si>
    <t>BIOFER XT</t>
  </si>
  <si>
    <t>Continued..92</t>
  </si>
  <si>
    <t>No..92</t>
  </si>
  <si>
    <t>CAP $ 10CAP</t>
  </si>
  <si>
    <t>BONMIN K2</t>
  </si>
  <si>
    <t>FERTIPLUS M</t>
  </si>
  <si>
    <t>FERTIPLUS</t>
  </si>
  <si>
    <t>1500 MG TAB 10TAB</t>
  </si>
  <si>
    <t>INJECTION 1ML</t>
  </si>
  <si>
    <t>MECONERV P</t>
  </si>
  <si>
    <t>MECONERV Z</t>
  </si>
  <si>
    <t>MICROCID</t>
  </si>
  <si>
    <t>MICROCID SR</t>
  </si>
  <si>
    <t>MICRO D3</t>
  </si>
  <si>
    <t>MICROMOM</t>
  </si>
  <si>
    <t>POWDER 400GM</t>
  </si>
  <si>
    <t>POWDER (CHOC) 200GM</t>
  </si>
  <si>
    <t>OSMITOL SYP</t>
  </si>
  <si>
    <t>RABIROS 20</t>
  </si>
  <si>
    <t>RABIROS D</t>
  </si>
  <si>
    <t>TENDOPRO</t>
  </si>
  <si>
    <t>TOLPA 10 MG</t>
  </si>
  <si>
    <t>TOLPAZEN</t>
  </si>
  <si>
    <t>SUN B(ALTAN)</t>
  </si>
  <si>
    <t>AZTOGOLD 10</t>
  </si>
  <si>
    <t>AZTOGOLD 20</t>
  </si>
  <si>
    <t>AZTOLET 10</t>
  </si>
  <si>
    <t>AZTOLET 20</t>
  </si>
  <si>
    <t>AZTOR 10 MG</t>
  </si>
  <si>
    <t>AZTOR 20 MG</t>
  </si>
  <si>
    <t>AZTOR 40 MG</t>
  </si>
  <si>
    <t>AZTOR 5 MG</t>
  </si>
  <si>
    <t>AZTOR 80 MG</t>
  </si>
  <si>
    <t>AZTOR ASP</t>
  </si>
  <si>
    <t>DAZTOR 10</t>
  </si>
  <si>
    <t>DAZTOR 20</t>
  </si>
  <si>
    <t>KORANDIL 10</t>
  </si>
  <si>
    <t>KORANDIL 5</t>
  </si>
  <si>
    <t>OLMEZEST 10</t>
  </si>
  <si>
    <t>OLMEZEST 20</t>
  </si>
  <si>
    <t>OLMEZEST 40</t>
  </si>
  <si>
    <t>OLMEZEST AM</t>
  </si>
  <si>
    <t>OLMEZEST</t>
  </si>
  <si>
    <t>BETA 25 MG TAB 10TAB</t>
  </si>
  <si>
    <t>BETA 50 MG TAB 10TAB</t>
  </si>
  <si>
    <t>OLMEZEST CH</t>
  </si>
  <si>
    <t>OLMEZEST H</t>
  </si>
  <si>
    <t>TRIOLMEZEST</t>
  </si>
  <si>
    <t>CH 20 MG TAB 10TAB</t>
  </si>
  <si>
    <t>CH 40 MG TAB 10TAB</t>
  </si>
  <si>
    <t>Continued..93</t>
  </si>
  <si>
    <t>No..93</t>
  </si>
  <si>
    <t>SUN I (SUNRION)</t>
  </si>
  <si>
    <t>LACTIHEP</t>
  </si>
  <si>
    <t>PLUS SYP 250ML</t>
  </si>
  <si>
    <t>SYRUP 200ML 200ML</t>
  </si>
  <si>
    <t>SYRUP 450ML 450ML</t>
  </si>
  <si>
    <t>NITREST 10</t>
  </si>
  <si>
    <t>NITREST 5</t>
  </si>
  <si>
    <t>NUSAM 200</t>
  </si>
  <si>
    <t>NUSAM 400</t>
  </si>
  <si>
    <t>PANTOCID HP</t>
  </si>
  <si>
    <t>PANTOCID IT</t>
  </si>
  <si>
    <t>PROHANCE HP</t>
  </si>
  <si>
    <t>PRUEASE 1</t>
  </si>
  <si>
    <t>PRUEASE 2</t>
  </si>
  <si>
    <t>RIFAGUT 400</t>
  </si>
  <si>
    <t>RIFAGUT 550</t>
  </si>
  <si>
    <t>SONATA</t>
  </si>
  <si>
    <t>SACHET 5SCH.</t>
  </si>
  <si>
    <t>SUN J (SEPHUES)</t>
  </si>
  <si>
    <t>ACAMPROL</t>
  </si>
  <si>
    <t>ADESAM 200</t>
  </si>
  <si>
    <t>MG TAB $ 10TAB$</t>
  </si>
  <si>
    <t>ADESAM 400</t>
  </si>
  <si>
    <t>MG TAB $ 10TAB</t>
  </si>
  <si>
    <t>BETACAP 20</t>
  </si>
  <si>
    <t>BETACAP</t>
  </si>
  <si>
    <t>PLUS 10 MG CAP 10CAP</t>
  </si>
  <si>
    <t>PLUS 5 MG CAP 10CAP</t>
  </si>
  <si>
    <t>BETACAP TR</t>
  </si>
  <si>
    <t>80 MG CAP 10CAP</t>
  </si>
  <si>
    <t>GABANTIP AT</t>
  </si>
  <si>
    <t>IVEPRED 16</t>
  </si>
  <si>
    <t>IVEPRED 4</t>
  </si>
  <si>
    <t>IVEPRED 8</t>
  </si>
  <si>
    <t>LAMOSYN 100</t>
  </si>
  <si>
    <t>LAMOSYN 50</t>
  </si>
  <si>
    <t>LIOFEN 10</t>
  </si>
  <si>
    <t>LIOFEN 25</t>
  </si>
  <si>
    <t>LIOFEN 5 MG</t>
  </si>
  <si>
    <t>LIOFEN</t>
  </si>
  <si>
    <t>LIQUID 100ML</t>
  </si>
  <si>
    <t>LIOFEN XL</t>
  </si>
  <si>
    <t>LURAMAX 40</t>
  </si>
  <si>
    <t>LURAMAX 80</t>
  </si>
  <si>
    <t>OXETOL 150</t>
  </si>
  <si>
    <t>OXETOL 300</t>
  </si>
  <si>
    <t>OXETOL 450</t>
  </si>
  <si>
    <t>OXETOL 600</t>
  </si>
  <si>
    <t>OXETOL XR</t>
  </si>
  <si>
    <t>PANAZEP</t>
  </si>
  <si>
    <t>PANAZEP 25</t>
  </si>
  <si>
    <t>PANAZEP LS</t>
  </si>
  <si>
    <t>PARKITIDIN</t>
  </si>
  <si>
    <t>PAXIDEP CR</t>
  </si>
  <si>
    <t>37.5 MG TAB 10TAB</t>
  </si>
  <si>
    <t>PIRANULIN</t>
  </si>
  <si>
    <t>Continued..94</t>
  </si>
  <si>
    <t>No..94</t>
  </si>
  <si>
    <t>RASALECT</t>
  </si>
  <si>
    <t>RASALECT 1</t>
  </si>
  <si>
    <t>SIZOPIN 100</t>
  </si>
  <si>
    <t>SIZOPIN 200</t>
  </si>
  <si>
    <t>SIZOPIN 25</t>
  </si>
  <si>
    <t>SIZOPIN 50</t>
  </si>
  <si>
    <t>SYNAPTOL</t>
  </si>
  <si>
    <t>SYNAPTOL 50</t>
  </si>
  <si>
    <t>SYNAPTOL SR</t>
  </si>
  <si>
    <t>TOPIROL 100</t>
  </si>
  <si>
    <t>TOPIROL 25</t>
  </si>
  <si>
    <t>TOPIROL 50</t>
  </si>
  <si>
    <t>VENIZ XR</t>
  </si>
  <si>
    <t>VENIZ XR 75</t>
  </si>
  <si>
    <t>WAKLERT 150</t>
  </si>
  <si>
    <t>WAKLERT 50</t>
  </si>
  <si>
    <t>SUNRNB (PRIMALAND)</t>
  </si>
  <si>
    <t>EPILYNO</t>
  </si>
  <si>
    <t>LOTION 50GM</t>
  </si>
  <si>
    <t>HALOX CREAM</t>
  </si>
  <si>
    <t>HALOX ES</t>
  </si>
  <si>
    <t>HALOX F</t>
  </si>
  <si>
    <t>HALOX</t>
  </si>
  <si>
    <t>HALOX S</t>
  </si>
  <si>
    <t>LULIFIN</t>
  </si>
  <si>
    <t>LOTION 20ML</t>
  </si>
  <si>
    <t>CANZAP 100</t>
  </si>
  <si>
    <t>CANZAP 200</t>
  </si>
  <si>
    <t>ERICLEAR</t>
  </si>
  <si>
    <t>CREAM 50GM 50GM</t>
  </si>
  <si>
    <t>ERYTOP-N</t>
  </si>
  <si>
    <t>GOLITE</t>
  </si>
  <si>
    <t>CREAM 15GM 15GM</t>
  </si>
  <si>
    <t>Our GST Billing Software MARG Erp 07314249456,07314030609</t>
  </si>
  <si>
    <t>COUNTA of Company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</si>
</sst>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/>
    <font>
      <b/>
      <sz val="11.0"/>
      <color rgb="FF000000"/>
      <name val="Arial"/>
    </font>
    <font>
      <color rgb="FF000000"/>
      <name val="Arial"/>
    </font>
    <font>
      <color rgb="FF000000"/>
      <name val="&quot;Courier New&quot;"/>
    </font>
    <font>
      <i/>
      <sz val="8.0"/>
      <color rgb="FF000000"/>
      <name val="&quot;Arial Narrow&quot;"/>
    </font>
    <font>
      <sz val="12.0"/>
      <color rgb="FF202124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0"/>
    </xf>
    <xf borderId="1" fillId="0" fontId="1" numFmtId="0" xfId="0" applyAlignment="1" applyBorder="1" applyFont="1">
      <alignment horizontal="left" shrinkToFit="0" wrapText="0"/>
    </xf>
    <xf borderId="1" fillId="2" fontId="2" numFmtId="0" xfId="0" applyAlignment="1" applyBorder="1" applyFill="1" applyFont="1">
      <alignment horizontal="center" readingOrder="0" shrinkToFit="0" vertical="top" wrapText="0"/>
    </xf>
    <xf borderId="2" fillId="2" fontId="2" numFmtId="0" xfId="0" applyAlignment="1" applyBorder="1" applyFont="1">
      <alignment horizontal="center" readingOrder="0" shrinkToFit="0" vertical="top" wrapText="0"/>
    </xf>
    <xf borderId="0" fillId="2" fontId="2" numFmtId="0" xfId="0" applyAlignment="1" applyFont="1">
      <alignment horizontal="center" shrinkToFit="0" vertical="top" wrapText="0"/>
    </xf>
    <xf borderId="3" fillId="0" fontId="1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left" readingOrder="0" shrinkToFit="0" vertical="top" wrapText="0"/>
    </xf>
    <xf borderId="5" fillId="0" fontId="3" numFmtId="0" xfId="0" applyBorder="1" applyFont="1"/>
    <xf borderId="1" fillId="0" fontId="5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right" readingOrder="0"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vertical="top" wrapText="0"/>
    </xf>
    <xf borderId="6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horizontal="left" readingOrder="0" shrinkToFit="0" vertical="top" wrapText="0"/>
    </xf>
    <xf borderId="0" fillId="0" fontId="1" numFmtId="0" xfId="0" applyFont="1"/>
    <xf borderId="0" fillId="3" fontId="8" numFmtId="0" xfId="0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75"/>
    <col customWidth="1" min="2" max="2" width="46.88"/>
    <col customWidth="1" min="3" max="3" width="12.38"/>
    <col customWidth="1" min="4" max="4" width="13.0"/>
    <col customWidth="1" min="5" max="5" width="11.25"/>
    <col customWidth="1" min="6" max="6" width="14.13"/>
    <col customWidth="1" min="7" max="7" width="7.25"/>
    <col customWidth="1" min="8" max="8" width="10.88"/>
    <col customWidth="1" min="9" max="9" width="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2" t="s">
        <v>10</v>
      </c>
      <c r="C2" s="2"/>
      <c r="D2" s="2" t="s">
        <v>11</v>
      </c>
      <c r="E2" s="2">
        <v>10.0</v>
      </c>
      <c r="F2" s="2" t="s">
        <v>12</v>
      </c>
      <c r="G2" s="2"/>
      <c r="H2" s="2"/>
      <c r="I2" s="2"/>
    </row>
    <row r="3">
      <c r="A3" s="1" t="s">
        <v>13</v>
      </c>
      <c r="B3" s="2" t="s">
        <v>10</v>
      </c>
      <c r="C3" s="2"/>
      <c r="D3" s="2" t="s">
        <v>11</v>
      </c>
      <c r="E3" s="2">
        <v>10.0</v>
      </c>
      <c r="F3" s="2" t="s">
        <v>12</v>
      </c>
      <c r="G3" s="2"/>
      <c r="H3" s="2"/>
      <c r="I3" s="2"/>
    </row>
    <row r="4">
      <c r="A4" s="1" t="s">
        <v>14</v>
      </c>
      <c r="B4" s="2" t="s">
        <v>10</v>
      </c>
      <c r="C4" s="2"/>
      <c r="D4" s="2" t="s">
        <v>11</v>
      </c>
      <c r="E4" s="2">
        <v>10.0</v>
      </c>
      <c r="F4" s="2" t="s">
        <v>12</v>
      </c>
      <c r="G4" s="2"/>
      <c r="H4" s="2"/>
      <c r="I4" s="2"/>
    </row>
    <row r="5">
      <c r="A5" s="1" t="s">
        <v>15</v>
      </c>
      <c r="B5" s="2" t="s">
        <v>10</v>
      </c>
      <c r="C5" s="2"/>
      <c r="D5" s="2" t="s">
        <v>11</v>
      </c>
      <c r="E5" s="2">
        <v>15.0</v>
      </c>
      <c r="F5" s="2" t="s">
        <v>12</v>
      </c>
      <c r="G5" s="2"/>
      <c r="H5" s="2"/>
      <c r="I5" s="2"/>
    </row>
    <row r="6">
      <c r="A6" s="2" t="s">
        <v>16</v>
      </c>
      <c r="B6" s="2" t="s">
        <v>10</v>
      </c>
      <c r="C6" s="2"/>
      <c r="D6" s="2" t="s">
        <v>11</v>
      </c>
      <c r="E6" s="2">
        <v>10.0</v>
      </c>
      <c r="F6" s="2" t="s">
        <v>12</v>
      </c>
      <c r="G6" s="2"/>
      <c r="H6" s="2"/>
      <c r="I6" s="2"/>
    </row>
    <row r="7">
      <c r="A7" s="1" t="s">
        <v>17</v>
      </c>
      <c r="B7" s="2" t="s">
        <v>10</v>
      </c>
      <c r="C7" s="2"/>
      <c r="D7" s="2" t="s">
        <v>11</v>
      </c>
      <c r="E7" s="2">
        <v>10.0</v>
      </c>
      <c r="F7" s="2" t="s">
        <v>12</v>
      </c>
      <c r="G7" s="2"/>
      <c r="H7" s="2"/>
      <c r="I7" s="2"/>
    </row>
    <row r="8">
      <c r="A8" s="1" t="s">
        <v>18</v>
      </c>
      <c r="B8" s="2" t="s">
        <v>10</v>
      </c>
      <c r="C8" s="2"/>
      <c r="D8" s="2" t="s">
        <v>11</v>
      </c>
      <c r="E8" s="2">
        <v>10.0</v>
      </c>
      <c r="F8" s="2" t="s">
        <v>12</v>
      </c>
      <c r="G8" s="2"/>
      <c r="H8" s="2"/>
      <c r="I8" s="2"/>
    </row>
    <row r="9">
      <c r="A9" s="2" t="s">
        <v>19</v>
      </c>
      <c r="B9" s="2" t="s">
        <v>20</v>
      </c>
      <c r="C9" s="2"/>
      <c r="D9" s="2" t="s">
        <v>21</v>
      </c>
      <c r="E9" s="2">
        <v>1.0</v>
      </c>
      <c r="F9" s="2" t="s">
        <v>22</v>
      </c>
      <c r="G9" s="2"/>
      <c r="H9" s="2"/>
      <c r="I9" s="2"/>
    </row>
    <row r="10">
      <c r="A10" s="2" t="s">
        <v>23</v>
      </c>
      <c r="B10" s="2" t="s">
        <v>20</v>
      </c>
      <c r="C10" s="1"/>
      <c r="D10" s="2"/>
      <c r="E10" s="2"/>
      <c r="F10" s="2"/>
      <c r="G10" s="2"/>
      <c r="H10" s="2"/>
      <c r="I10" s="2"/>
    </row>
    <row r="11">
      <c r="A11" s="2" t="s">
        <v>24</v>
      </c>
      <c r="B11" s="2" t="s">
        <v>20</v>
      </c>
      <c r="C11" s="1"/>
      <c r="D11" s="2"/>
      <c r="E11" s="2"/>
      <c r="F11" s="2"/>
      <c r="G11" s="2"/>
      <c r="H11" s="2"/>
      <c r="I11" s="2"/>
    </row>
    <row r="12">
      <c r="A12" s="2" t="s">
        <v>25</v>
      </c>
      <c r="B12" s="2" t="s">
        <v>20</v>
      </c>
      <c r="C12" s="2"/>
      <c r="D12" s="2" t="s">
        <v>11</v>
      </c>
      <c r="E12" s="2">
        <v>15.0</v>
      </c>
      <c r="F12" s="2" t="s">
        <v>12</v>
      </c>
      <c r="G12" s="2"/>
      <c r="H12" s="2"/>
      <c r="I12" s="2"/>
    </row>
    <row r="13">
      <c r="A13" s="1" t="s">
        <v>26</v>
      </c>
      <c r="B13" s="2" t="s">
        <v>20</v>
      </c>
      <c r="C13" s="2"/>
      <c r="D13" s="2" t="s">
        <v>11</v>
      </c>
      <c r="E13" s="2">
        <v>15.0</v>
      </c>
      <c r="F13" s="2" t="s">
        <v>12</v>
      </c>
      <c r="G13" s="2"/>
      <c r="H13" s="2"/>
      <c r="I13" s="2"/>
    </row>
    <row r="14">
      <c r="A14" s="1" t="s">
        <v>27</v>
      </c>
      <c r="B14" s="2" t="s">
        <v>20</v>
      </c>
      <c r="C14" s="2"/>
      <c r="D14" s="2" t="s">
        <v>11</v>
      </c>
      <c r="E14" s="2">
        <v>15.0</v>
      </c>
      <c r="F14" s="2" t="s">
        <v>12</v>
      </c>
      <c r="G14" s="2"/>
      <c r="H14" s="2"/>
      <c r="I14" s="2"/>
    </row>
    <row r="15">
      <c r="A15" s="1" t="s">
        <v>28</v>
      </c>
      <c r="B15" s="2" t="s">
        <v>20</v>
      </c>
      <c r="C15" s="2"/>
      <c r="D15" s="2" t="s">
        <v>11</v>
      </c>
      <c r="E15" s="2">
        <v>15.0</v>
      </c>
      <c r="F15" s="2" t="s">
        <v>12</v>
      </c>
      <c r="G15" s="2"/>
      <c r="H15" s="2"/>
      <c r="I15" s="2"/>
    </row>
    <row r="16">
      <c r="A16" s="1" t="s">
        <v>29</v>
      </c>
      <c r="B16" s="2" t="s">
        <v>20</v>
      </c>
      <c r="C16" s="2"/>
      <c r="D16" s="2" t="s">
        <v>11</v>
      </c>
      <c r="E16" s="2">
        <v>10.0</v>
      </c>
      <c r="F16" s="2" t="s">
        <v>12</v>
      </c>
      <c r="G16" s="2"/>
      <c r="H16" s="2"/>
      <c r="I16" s="2"/>
    </row>
    <row r="17">
      <c r="A17" s="1" t="s">
        <v>30</v>
      </c>
      <c r="B17" s="2" t="s">
        <v>20</v>
      </c>
      <c r="C17" s="2"/>
      <c r="D17" s="2" t="s">
        <v>11</v>
      </c>
      <c r="E17" s="2">
        <v>15.0</v>
      </c>
      <c r="F17" s="2" t="s">
        <v>12</v>
      </c>
      <c r="G17" s="2"/>
      <c r="H17" s="2"/>
      <c r="I17" s="2"/>
    </row>
    <row r="18">
      <c r="A18" s="1" t="s">
        <v>31</v>
      </c>
      <c r="B18" s="2" t="s">
        <v>20</v>
      </c>
      <c r="C18" s="2"/>
      <c r="D18" s="2" t="s">
        <v>11</v>
      </c>
      <c r="E18" s="2">
        <v>15.0</v>
      </c>
      <c r="F18" s="2" t="s">
        <v>12</v>
      </c>
      <c r="G18" s="2"/>
      <c r="H18" s="2"/>
      <c r="I18" s="2"/>
    </row>
    <row r="19">
      <c r="A19" s="2" t="s">
        <v>32</v>
      </c>
      <c r="B19" s="2" t="s">
        <v>20</v>
      </c>
      <c r="C19" s="2"/>
      <c r="D19" s="2" t="s">
        <v>11</v>
      </c>
      <c r="E19" s="2">
        <v>10.0</v>
      </c>
      <c r="F19" s="2" t="s">
        <v>12</v>
      </c>
      <c r="G19" s="2"/>
      <c r="H19" s="2"/>
      <c r="I19" s="2"/>
    </row>
    <row r="20">
      <c r="A20" s="2" t="s">
        <v>33</v>
      </c>
      <c r="B20" s="2" t="s">
        <v>20</v>
      </c>
      <c r="C20" s="2"/>
      <c r="D20" s="2" t="s">
        <v>11</v>
      </c>
      <c r="E20" s="2">
        <v>31.0</v>
      </c>
      <c r="F20" s="1" t="s">
        <v>22</v>
      </c>
      <c r="G20" s="2"/>
      <c r="H20" s="2"/>
      <c r="I20" s="2"/>
    </row>
    <row r="21">
      <c r="A21" s="2" t="s">
        <v>34</v>
      </c>
      <c r="B21" s="2" t="s">
        <v>20</v>
      </c>
      <c r="C21" s="2"/>
      <c r="D21" s="2" t="s">
        <v>11</v>
      </c>
      <c r="E21" s="2">
        <v>10.0</v>
      </c>
      <c r="F21" s="2" t="s">
        <v>12</v>
      </c>
      <c r="G21" s="2"/>
      <c r="H21" s="2"/>
      <c r="I21" s="2"/>
    </row>
    <row r="22">
      <c r="A22" s="2" t="s">
        <v>35</v>
      </c>
      <c r="B22" s="2" t="s">
        <v>20</v>
      </c>
      <c r="C22" s="2"/>
      <c r="D22" s="2" t="s">
        <v>11</v>
      </c>
      <c r="E22" s="2">
        <v>15.0</v>
      </c>
      <c r="F22" s="2" t="s">
        <v>12</v>
      </c>
      <c r="G22" s="2"/>
      <c r="H22" s="2"/>
      <c r="I22" s="2"/>
    </row>
    <row r="23">
      <c r="A23" s="2" t="s">
        <v>36</v>
      </c>
      <c r="B23" s="2" t="s">
        <v>20</v>
      </c>
      <c r="C23" s="2"/>
      <c r="D23" s="2" t="s">
        <v>37</v>
      </c>
      <c r="E23" s="2">
        <v>10.0</v>
      </c>
      <c r="F23" s="2" t="s">
        <v>12</v>
      </c>
      <c r="G23" s="2"/>
      <c r="H23" s="2"/>
      <c r="I23" s="2"/>
    </row>
    <row r="24">
      <c r="A24" s="1" t="s">
        <v>38</v>
      </c>
      <c r="B24" s="2" t="s">
        <v>20</v>
      </c>
      <c r="C24" s="2"/>
      <c r="D24" s="2" t="s">
        <v>11</v>
      </c>
      <c r="E24" s="2">
        <v>10.0</v>
      </c>
      <c r="F24" s="2" t="s">
        <v>12</v>
      </c>
      <c r="G24" s="2"/>
      <c r="H24" s="2"/>
      <c r="I24" s="2"/>
    </row>
    <row r="25">
      <c r="A25" s="2" t="s">
        <v>39</v>
      </c>
      <c r="B25" s="2" t="s">
        <v>20</v>
      </c>
      <c r="C25" s="2"/>
      <c r="D25" s="2" t="s">
        <v>11</v>
      </c>
      <c r="E25" s="1">
        <v>30.0</v>
      </c>
      <c r="F25" s="2" t="s">
        <v>22</v>
      </c>
      <c r="G25" s="2"/>
      <c r="H25" s="2"/>
      <c r="I25" s="2"/>
    </row>
    <row r="26">
      <c r="A26" s="1" t="s">
        <v>40</v>
      </c>
      <c r="B26" s="2" t="s">
        <v>20</v>
      </c>
      <c r="C26" s="2"/>
      <c r="D26" s="2" t="s">
        <v>11</v>
      </c>
      <c r="E26" s="2">
        <v>100.0</v>
      </c>
      <c r="F26" s="2" t="s">
        <v>22</v>
      </c>
      <c r="G26" s="2"/>
      <c r="H26" s="2"/>
      <c r="I26" s="2"/>
    </row>
    <row r="27">
      <c r="A27" s="1" t="s">
        <v>41</v>
      </c>
      <c r="B27" s="2" t="s">
        <v>20</v>
      </c>
      <c r="C27" s="2"/>
      <c r="D27" s="2" t="s">
        <v>11</v>
      </c>
      <c r="E27" s="2">
        <v>100.0</v>
      </c>
      <c r="F27" s="2" t="s">
        <v>22</v>
      </c>
      <c r="G27" s="2"/>
      <c r="H27" s="2"/>
      <c r="I27" s="2"/>
    </row>
    <row r="28">
      <c r="A28" s="1" t="s">
        <v>42</v>
      </c>
      <c r="B28" s="2" t="s">
        <v>20</v>
      </c>
      <c r="C28" s="2"/>
      <c r="D28" s="2" t="s">
        <v>11</v>
      </c>
      <c r="E28" s="2">
        <v>100.0</v>
      </c>
      <c r="F28" s="2" t="s">
        <v>22</v>
      </c>
      <c r="G28" s="2"/>
      <c r="H28" s="2"/>
      <c r="I28" s="2"/>
    </row>
    <row r="29">
      <c r="A29" s="1" t="s">
        <v>43</v>
      </c>
      <c r="B29" s="2" t="s">
        <v>20</v>
      </c>
      <c r="C29" s="2"/>
      <c r="D29" s="2" t="s">
        <v>11</v>
      </c>
      <c r="E29" s="2">
        <v>50.0</v>
      </c>
      <c r="F29" s="2" t="s">
        <v>22</v>
      </c>
      <c r="G29" s="2"/>
      <c r="H29" s="2"/>
      <c r="I29" s="2"/>
    </row>
    <row r="30">
      <c r="A30" s="1" t="s">
        <v>44</v>
      </c>
      <c r="B30" s="2" t="s">
        <v>20</v>
      </c>
      <c r="C30" s="2"/>
      <c r="D30" s="2" t="s">
        <v>11</v>
      </c>
      <c r="E30" s="2">
        <v>100.0</v>
      </c>
      <c r="F30" s="2" t="s">
        <v>22</v>
      </c>
      <c r="G30" s="2"/>
      <c r="H30" s="2"/>
      <c r="I30" s="2"/>
    </row>
    <row r="31">
      <c r="A31" s="1" t="s">
        <v>45</v>
      </c>
      <c r="B31" s="2" t="s">
        <v>20</v>
      </c>
      <c r="C31" s="2"/>
      <c r="D31" s="2" t="s">
        <v>11</v>
      </c>
      <c r="E31" s="2">
        <v>100.0</v>
      </c>
      <c r="F31" s="2" t="s">
        <v>22</v>
      </c>
      <c r="G31" s="2"/>
      <c r="H31" s="2"/>
      <c r="I31" s="2"/>
    </row>
    <row r="32">
      <c r="A32" s="1" t="s">
        <v>46</v>
      </c>
      <c r="B32" s="2" t="s">
        <v>20</v>
      </c>
      <c r="C32" s="2"/>
      <c r="D32" s="2" t="s">
        <v>11</v>
      </c>
      <c r="E32" s="2">
        <v>100.0</v>
      </c>
      <c r="F32" s="2" t="s">
        <v>22</v>
      </c>
      <c r="G32" s="2"/>
      <c r="H32" s="2"/>
      <c r="I32" s="2"/>
    </row>
    <row r="33">
      <c r="A33" s="1" t="s">
        <v>47</v>
      </c>
      <c r="B33" s="2" t="s">
        <v>20</v>
      </c>
      <c r="C33" s="2"/>
      <c r="D33" s="2" t="s">
        <v>11</v>
      </c>
      <c r="E33" s="2">
        <v>50.0</v>
      </c>
      <c r="F33" s="2" t="s">
        <v>22</v>
      </c>
      <c r="G33" s="2"/>
      <c r="H33" s="2"/>
      <c r="I33" s="2"/>
    </row>
    <row r="34">
      <c r="A34" s="1" t="s">
        <v>48</v>
      </c>
      <c r="B34" s="2" t="s">
        <v>20</v>
      </c>
      <c r="C34" s="2"/>
      <c r="D34" s="2" t="s">
        <v>11</v>
      </c>
      <c r="E34" s="2">
        <v>100.0</v>
      </c>
      <c r="F34" s="2" t="s">
        <v>22</v>
      </c>
      <c r="G34" s="2"/>
      <c r="H34" s="2"/>
      <c r="I34" s="2"/>
    </row>
    <row r="35">
      <c r="A35" s="2" t="s">
        <v>49</v>
      </c>
      <c r="B35" s="2" t="s">
        <v>20</v>
      </c>
      <c r="C35" s="2"/>
      <c r="D35" s="2" t="s">
        <v>37</v>
      </c>
      <c r="E35" s="2">
        <v>10.0</v>
      </c>
      <c r="F35" s="2" t="s">
        <v>12</v>
      </c>
      <c r="G35" s="2"/>
      <c r="H35" s="2"/>
      <c r="I35" s="2"/>
    </row>
    <row r="36">
      <c r="A36" s="1" t="s">
        <v>50</v>
      </c>
      <c r="B36" s="2" t="s">
        <v>51</v>
      </c>
      <c r="C36" s="2"/>
      <c r="D36" s="2" t="s">
        <v>11</v>
      </c>
      <c r="E36" s="2">
        <v>10.0</v>
      </c>
      <c r="F36" s="2" t="s">
        <v>12</v>
      </c>
      <c r="G36" s="2"/>
      <c r="H36" s="2"/>
      <c r="I36" s="2"/>
    </row>
    <row r="37">
      <c r="A37" s="1" t="s">
        <v>52</v>
      </c>
      <c r="B37" s="2" t="s">
        <v>51</v>
      </c>
      <c r="C37" s="2"/>
      <c r="D37" s="2" t="s">
        <v>11</v>
      </c>
      <c r="E37" s="2">
        <v>10.0</v>
      </c>
      <c r="F37" s="2" t="s">
        <v>12</v>
      </c>
      <c r="G37" s="2"/>
      <c r="H37" s="2"/>
      <c r="I37" s="2"/>
    </row>
    <row r="38">
      <c r="A38" s="2" t="s">
        <v>53</v>
      </c>
      <c r="B38" s="2" t="s">
        <v>51</v>
      </c>
      <c r="C38" s="1"/>
      <c r="D38" s="2"/>
      <c r="E38" s="2"/>
      <c r="F38" s="2"/>
      <c r="G38" s="2"/>
      <c r="H38" s="2"/>
      <c r="I38" s="2"/>
    </row>
    <row r="39">
      <c r="A39" s="2" t="s">
        <v>54</v>
      </c>
      <c r="B39" s="2" t="s">
        <v>51</v>
      </c>
      <c r="C39" s="2"/>
      <c r="D39" s="2" t="s">
        <v>11</v>
      </c>
      <c r="E39" s="2">
        <v>10.0</v>
      </c>
      <c r="F39" s="2" t="s">
        <v>12</v>
      </c>
      <c r="G39" s="2"/>
      <c r="H39" s="2"/>
      <c r="I39" s="2"/>
    </row>
    <row r="40">
      <c r="A40" s="2" t="s">
        <v>55</v>
      </c>
      <c r="B40" s="2" t="s">
        <v>51</v>
      </c>
      <c r="C40" s="1"/>
      <c r="D40" s="2"/>
      <c r="E40" s="2"/>
      <c r="F40" s="2"/>
      <c r="G40" s="2"/>
      <c r="H40" s="2"/>
      <c r="I40" s="2"/>
    </row>
    <row r="41">
      <c r="A41" s="2" t="s">
        <v>56</v>
      </c>
      <c r="B41" s="2" t="s">
        <v>51</v>
      </c>
      <c r="C41" s="1"/>
      <c r="D41" s="2"/>
      <c r="E41" s="2"/>
      <c r="F41" s="2"/>
      <c r="G41" s="2"/>
      <c r="H41" s="2"/>
      <c r="I41" s="2"/>
    </row>
    <row r="42">
      <c r="A42" s="1" t="s">
        <v>57</v>
      </c>
      <c r="B42" s="2" t="s">
        <v>58</v>
      </c>
      <c r="C42" s="2"/>
      <c r="D42" s="2" t="s">
        <v>11</v>
      </c>
      <c r="E42" s="2">
        <v>15.0</v>
      </c>
      <c r="F42" s="2" t="s">
        <v>12</v>
      </c>
      <c r="G42" s="2"/>
      <c r="H42" s="2"/>
      <c r="I42" s="2"/>
    </row>
    <row r="43">
      <c r="A43" s="1" t="s">
        <v>59</v>
      </c>
      <c r="B43" s="2" t="s">
        <v>58</v>
      </c>
      <c r="C43" s="2"/>
      <c r="D43" s="2" t="s">
        <v>11</v>
      </c>
      <c r="E43" s="2">
        <v>10.0</v>
      </c>
      <c r="F43" s="2" t="s">
        <v>12</v>
      </c>
      <c r="G43" s="2"/>
      <c r="H43" s="2"/>
      <c r="I43" s="2"/>
    </row>
    <row r="44">
      <c r="A44" s="1" t="s">
        <v>60</v>
      </c>
      <c r="B44" s="2" t="s">
        <v>58</v>
      </c>
      <c r="C44" s="2"/>
      <c r="D44" s="2" t="s">
        <v>11</v>
      </c>
      <c r="E44" s="2"/>
      <c r="F44" s="2"/>
      <c r="G44" s="2"/>
      <c r="H44" s="2"/>
      <c r="I44" s="2"/>
    </row>
    <row r="45">
      <c r="A45" s="1" t="s">
        <v>61</v>
      </c>
      <c r="B45" s="2" t="s">
        <v>58</v>
      </c>
      <c r="C45" s="2"/>
      <c r="D45" s="2" t="s">
        <v>11</v>
      </c>
      <c r="E45" s="2"/>
      <c r="F45" s="2"/>
      <c r="G45" s="2"/>
      <c r="H45" s="2"/>
      <c r="I45" s="2"/>
    </row>
    <row r="46">
      <c r="A46" s="1" t="s">
        <v>62</v>
      </c>
      <c r="B46" s="2" t="s">
        <v>58</v>
      </c>
      <c r="C46" s="2"/>
      <c r="D46" s="2" t="s">
        <v>11</v>
      </c>
      <c r="E46" s="2"/>
      <c r="F46" s="2"/>
      <c r="G46" s="2"/>
      <c r="H46" s="2"/>
      <c r="I46" s="2"/>
    </row>
    <row r="47">
      <c r="A47" s="1" t="s">
        <v>63</v>
      </c>
      <c r="B47" s="2" t="s">
        <v>58</v>
      </c>
      <c r="C47" s="2"/>
      <c r="D47" s="2" t="s">
        <v>11</v>
      </c>
      <c r="E47" s="2"/>
      <c r="F47" s="2"/>
      <c r="G47" s="2"/>
      <c r="H47" s="2"/>
      <c r="I47" s="2"/>
    </row>
    <row r="48">
      <c r="A48" s="1" t="s">
        <v>64</v>
      </c>
      <c r="B48" s="2" t="s">
        <v>58</v>
      </c>
      <c r="C48" s="2"/>
      <c r="D48" s="2" t="s">
        <v>11</v>
      </c>
      <c r="E48" s="2">
        <v>15.0</v>
      </c>
      <c r="F48" s="2" t="s">
        <v>12</v>
      </c>
      <c r="G48" s="2"/>
      <c r="H48" s="2"/>
      <c r="I48" s="2"/>
    </row>
    <row r="49">
      <c r="A49" s="2" t="s">
        <v>65</v>
      </c>
      <c r="B49" s="2" t="s">
        <v>58</v>
      </c>
      <c r="C49" s="2"/>
      <c r="D49" s="2" t="s">
        <v>11</v>
      </c>
      <c r="E49" s="2">
        <v>10.0</v>
      </c>
      <c r="F49" s="2" t="s">
        <v>12</v>
      </c>
      <c r="G49" s="2"/>
      <c r="H49" s="2"/>
      <c r="I49" s="2"/>
    </row>
    <row r="50">
      <c r="A50" s="2" t="s">
        <v>65</v>
      </c>
      <c r="B50" s="2" t="s">
        <v>58</v>
      </c>
      <c r="C50" s="2"/>
      <c r="D50" s="2" t="s">
        <v>11</v>
      </c>
      <c r="E50" s="2">
        <v>15.0</v>
      </c>
      <c r="F50" s="2" t="s">
        <v>12</v>
      </c>
      <c r="G50" s="2"/>
      <c r="H50" s="2"/>
      <c r="I50" s="2"/>
    </row>
    <row r="51">
      <c r="A51" s="2" t="s">
        <v>66</v>
      </c>
      <c r="B51" s="2" t="s">
        <v>58</v>
      </c>
      <c r="C51" s="2"/>
      <c r="D51" s="2" t="s">
        <v>11</v>
      </c>
      <c r="E51" s="2">
        <v>10.0</v>
      </c>
      <c r="F51" s="2" t="s">
        <v>12</v>
      </c>
      <c r="G51" s="2"/>
      <c r="H51" s="2"/>
      <c r="I51" s="2"/>
    </row>
    <row r="52">
      <c r="A52" s="2" t="s">
        <v>66</v>
      </c>
      <c r="B52" s="2" t="s">
        <v>58</v>
      </c>
      <c r="C52" s="2"/>
      <c r="D52" s="2" t="s">
        <v>11</v>
      </c>
      <c r="E52" s="2">
        <v>15.0</v>
      </c>
      <c r="F52" s="2" t="s">
        <v>12</v>
      </c>
      <c r="G52" s="2"/>
      <c r="H52" s="2"/>
      <c r="I52" s="2"/>
    </row>
    <row r="53">
      <c r="A53" s="1" t="s">
        <v>67</v>
      </c>
      <c r="B53" s="2" t="s">
        <v>58</v>
      </c>
      <c r="C53" s="2"/>
      <c r="D53" s="2" t="s">
        <v>11</v>
      </c>
      <c r="E53" s="2">
        <v>10.0</v>
      </c>
      <c r="F53" s="2" t="s">
        <v>12</v>
      </c>
      <c r="G53" s="2"/>
      <c r="H53" s="2"/>
      <c r="I53" s="2"/>
    </row>
    <row r="54">
      <c r="A54" s="1" t="s">
        <v>67</v>
      </c>
      <c r="B54" s="2" t="s">
        <v>58</v>
      </c>
      <c r="C54" s="2"/>
      <c r="D54" s="2" t="s">
        <v>11</v>
      </c>
      <c r="E54" s="2"/>
      <c r="F54" s="2"/>
      <c r="G54" s="2"/>
      <c r="H54" s="2"/>
      <c r="I54" s="2"/>
    </row>
    <row r="55">
      <c r="A55" s="1" t="s">
        <v>68</v>
      </c>
      <c r="B55" s="2" t="s">
        <v>58</v>
      </c>
      <c r="C55" s="2"/>
      <c r="D55" s="2" t="s">
        <v>11</v>
      </c>
      <c r="E55" s="2">
        <v>10.0</v>
      </c>
      <c r="F55" s="2" t="s">
        <v>12</v>
      </c>
      <c r="G55" s="2"/>
      <c r="H55" s="2"/>
      <c r="I55" s="2"/>
    </row>
    <row r="56">
      <c r="A56" s="1" t="s">
        <v>68</v>
      </c>
      <c r="B56" s="2" t="s">
        <v>58</v>
      </c>
      <c r="C56" s="2"/>
      <c r="D56" s="2" t="s">
        <v>11</v>
      </c>
      <c r="E56" s="2"/>
      <c r="F56" s="2"/>
      <c r="G56" s="2"/>
      <c r="H56" s="2"/>
      <c r="I56" s="2"/>
    </row>
    <row r="57">
      <c r="A57" s="2" t="s">
        <v>69</v>
      </c>
      <c r="B57" s="2" t="s">
        <v>58</v>
      </c>
      <c r="C57" s="1"/>
      <c r="D57" s="2"/>
      <c r="E57" s="2"/>
      <c r="F57" s="2"/>
      <c r="G57" s="2"/>
      <c r="H57" s="2"/>
      <c r="I57" s="2"/>
    </row>
    <row r="58">
      <c r="A58" s="1" t="s">
        <v>70</v>
      </c>
      <c r="B58" s="2" t="s">
        <v>58</v>
      </c>
      <c r="C58" s="2"/>
      <c r="D58" s="2" t="s">
        <v>37</v>
      </c>
      <c r="E58" s="2">
        <v>10.0</v>
      </c>
      <c r="F58" s="2" t="s">
        <v>12</v>
      </c>
      <c r="G58" s="2"/>
      <c r="H58" s="2"/>
      <c r="I58" s="2"/>
    </row>
    <row r="59">
      <c r="A59" s="2" t="s">
        <v>71</v>
      </c>
      <c r="B59" s="2" t="s">
        <v>58</v>
      </c>
      <c r="C59" s="1"/>
      <c r="D59" s="2"/>
      <c r="E59" s="2"/>
      <c r="F59" s="2"/>
      <c r="G59" s="2"/>
      <c r="H59" s="2"/>
      <c r="I59" s="2"/>
    </row>
    <row r="60">
      <c r="A60" s="1" t="s">
        <v>72</v>
      </c>
      <c r="B60" s="2" t="s">
        <v>58</v>
      </c>
      <c r="C60" s="2"/>
      <c r="D60" s="2" t="s">
        <v>73</v>
      </c>
      <c r="E60" s="2">
        <v>1.0</v>
      </c>
      <c r="F60" s="2" t="s">
        <v>74</v>
      </c>
      <c r="G60" s="2"/>
      <c r="H60" s="2"/>
      <c r="I60" s="2"/>
    </row>
    <row r="61">
      <c r="A61" s="1" t="s">
        <v>75</v>
      </c>
      <c r="B61" s="2" t="s">
        <v>58</v>
      </c>
      <c r="C61" s="2"/>
      <c r="D61" s="2" t="s">
        <v>11</v>
      </c>
      <c r="E61" s="2">
        <v>14.0</v>
      </c>
      <c r="F61" s="2" t="s">
        <v>12</v>
      </c>
      <c r="G61" s="2"/>
      <c r="H61" s="2"/>
      <c r="I61" s="2"/>
    </row>
    <row r="62">
      <c r="A62" s="1" t="s">
        <v>76</v>
      </c>
      <c r="B62" s="2" t="s">
        <v>58</v>
      </c>
      <c r="C62" s="2"/>
      <c r="D62" s="2" t="s">
        <v>11</v>
      </c>
      <c r="E62" s="2">
        <v>14.0</v>
      </c>
      <c r="F62" s="2" t="s">
        <v>12</v>
      </c>
      <c r="G62" s="2"/>
      <c r="H62" s="2"/>
      <c r="I62" s="2"/>
    </row>
    <row r="63">
      <c r="A63" s="1" t="s">
        <v>77</v>
      </c>
      <c r="B63" s="2" t="s">
        <v>58</v>
      </c>
      <c r="C63" s="2"/>
      <c r="D63" s="2" t="s">
        <v>11</v>
      </c>
      <c r="E63" s="2">
        <v>20.0</v>
      </c>
      <c r="F63" s="2" t="s">
        <v>12</v>
      </c>
      <c r="G63" s="2"/>
      <c r="H63" s="2"/>
      <c r="I63" s="2"/>
    </row>
    <row r="64">
      <c r="A64" s="1" t="s">
        <v>78</v>
      </c>
      <c r="B64" s="2" t="s">
        <v>58</v>
      </c>
      <c r="C64" s="2"/>
      <c r="D64" s="2"/>
      <c r="E64" s="2"/>
      <c r="F64" s="2"/>
      <c r="G64" s="2"/>
      <c r="H64" s="2"/>
      <c r="I64" s="2"/>
    </row>
    <row r="65">
      <c r="A65" s="1" t="s">
        <v>79</v>
      </c>
      <c r="B65" s="2" t="s">
        <v>58</v>
      </c>
      <c r="C65" s="2"/>
      <c r="D65" s="2" t="s">
        <v>11</v>
      </c>
      <c r="E65" s="2">
        <v>10.0</v>
      </c>
      <c r="F65" s="2" t="s">
        <v>12</v>
      </c>
      <c r="G65" s="2"/>
      <c r="H65" s="2"/>
      <c r="I65" s="2"/>
    </row>
    <row r="66">
      <c r="A66" s="1" t="s">
        <v>80</v>
      </c>
      <c r="B66" s="2" t="s">
        <v>58</v>
      </c>
      <c r="C66" s="2"/>
      <c r="D66" s="2" t="s">
        <v>11</v>
      </c>
      <c r="E66" s="2">
        <v>10.0</v>
      </c>
      <c r="F66" s="2" t="s">
        <v>12</v>
      </c>
      <c r="G66" s="2"/>
      <c r="H66" s="2"/>
      <c r="I66" s="2"/>
    </row>
    <row r="67">
      <c r="A67" s="2" t="s">
        <v>81</v>
      </c>
      <c r="B67" s="2" t="s">
        <v>58</v>
      </c>
      <c r="C67" s="2"/>
      <c r="D67" s="2" t="s">
        <v>11</v>
      </c>
      <c r="E67" s="2">
        <v>10.0</v>
      </c>
      <c r="F67" s="2" t="s">
        <v>12</v>
      </c>
      <c r="G67" s="2"/>
      <c r="H67" s="2"/>
      <c r="I67" s="2"/>
    </row>
    <row r="68">
      <c r="A68" s="2" t="s">
        <v>82</v>
      </c>
      <c r="B68" s="2" t="s">
        <v>58</v>
      </c>
      <c r="C68" s="2"/>
      <c r="D68" s="2" t="s">
        <v>11</v>
      </c>
      <c r="E68" s="2"/>
      <c r="F68" s="2"/>
      <c r="G68" s="2"/>
      <c r="H68" s="2"/>
      <c r="I68" s="2"/>
    </row>
    <row r="69">
      <c r="A69" s="1" t="s">
        <v>83</v>
      </c>
      <c r="B69" s="2" t="s">
        <v>58</v>
      </c>
      <c r="C69" s="2"/>
      <c r="D69" s="2" t="s">
        <v>37</v>
      </c>
      <c r="E69" s="2">
        <v>10.0</v>
      </c>
      <c r="F69" s="2" t="s">
        <v>12</v>
      </c>
      <c r="G69" s="2"/>
      <c r="H69" s="2"/>
      <c r="I69" s="2"/>
    </row>
    <row r="70">
      <c r="A70" s="1" t="s">
        <v>84</v>
      </c>
      <c r="B70" s="2" t="s">
        <v>58</v>
      </c>
      <c r="C70" s="2"/>
      <c r="D70" s="2" t="s">
        <v>37</v>
      </c>
      <c r="E70" s="2">
        <v>10.0</v>
      </c>
      <c r="F70" s="2" t="s">
        <v>12</v>
      </c>
      <c r="G70" s="2"/>
      <c r="H70" s="2"/>
      <c r="I70" s="2"/>
    </row>
    <row r="71">
      <c r="A71" s="2" t="s">
        <v>85</v>
      </c>
      <c r="B71" s="2" t="s">
        <v>58</v>
      </c>
      <c r="C71" s="2"/>
      <c r="D71" s="2" t="s">
        <v>11</v>
      </c>
      <c r="E71" s="2">
        <v>10.0</v>
      </c>
      <c r="F71" s="2" t="s">
        <v>12</v>
      </c>
      <c r="G71" s="2"/>
      <c r="H71" s="2"/>
      <c r="I71" s="2"/>
    </row>
    <row r="72">
      <c r="A72" s="1" t="s">
        <v>86</v>
      </c>
      <c r="B72" s="2" t="s">
        <v>58</v>
      </c>
      <c r="C72" s="2"/>
      <c r="D72" s="2" t="s">
        <v>11</v>
      </c>
      <c r="E72" s="2">
        <v>10.0</v>
      </c>
      <c r="F72" s="2" t="s">
        <v>12</v>
      </c>
      <c r="G72" s="2"/>
      <c r="H72" s="2"/>
      <c r="I72" s="2"/>
    </row>
    <row r="73">
      <c r="A73" s="1" t="s">
        <v>87</v>
      </c>
      <c r="B73" s="2" t="s">
        <v>58</v>
      </c>
      <c r="C73" s="2"/>
      <c r="D73" s="2" t="s">
        <v>11</v>
      </c>
      <c r="E73" s="2">
        <v>10.0</v>
      </c>
      <c r="F73" s="2" t="s">
        <v>12</v>
      </c>
      <c r="G73" s="2"/>
      <c r="H73" s="2"/>
      <c r="I73" s="2"/>
    </row>
    <row r="74">
      <c r="A74" s="1" t="s">
        <v>88</v>
      </c>
      <c r="B74" s="2" t="s">
        <v>58</v>
      </c>
      <c r="C74" s="2"/>
      <c r="D74" s="2" t="s">
        <v>11</v>
      </c>
      <c r="E74" s="2">
        <v>10.0</v>
      </c>
      <c r="F74" s="2" t="s">
        <v>12</v>
      </c>
      <c r="G74" s="2"/>
      <c r="H74" s="2"/>
      <c r="I74" s="2"/>
    </row>
    <row r="75">
      <c r="A75" s="2" t="s">
        <v>89</v>
      </c>
      <c r="B75" s="2" t="s">
        <v>58</v>
      </c>
      <c r="C75" s="2"/>
      <c r="D75" s="2" t="s">
        <v>11</v>
      </c>
      <c r="E75" s="2">
        <v>10.0</v>
      </c>
      <c r="F75" s="2" t="s">
        <v>12</v>
      </c>
      <c r="G75" s="2"/>
      <c r="H75" s="2"/>
      <c r="I75" s="2"/>
    </row>
    <row r="76">
      <c r="A76" s="2" t="s">
        <v>90</v>
      </c>
      <c r="B76" s="2" t="s">
        <v>91</v>
      </c>
      <c r="C76" s="2"/>
      <c r="D76" s="2" t="s">
        <v>11</v>
      </c>
      <c r="E76" s="2">
        <v>10.0</v>
      </c>
      <c r="F76" s="2" t="s">
        <v>12</v>
      </c>
      <c r="G76" s="2"/>
      <c r="H76" s="2"/>
      <c r="I76" s="2"/>
    </row>
    <row r="77">
      <c r="A77" s="2" t="s">
        <v>92</v>
      </c>
      <c r="B77" s="2" t="s">
        <v>91</v>
      </c>
      <c r="C77" s="2"/>
      <c r="D77" s="2" t="s">
        <v>11</v>
      </c>
      <c r="E77" s="2">
        <v>15.0</v>
      </c>
      <c r="F77" s="2" t="s">
        <v>12</v>
      </c>
      <c r="G77" s="2"/>
      <c r="H77" s="2"/>
      <c r="I77" s="2"/>
    </row>
    <row r="78">
      <c r="A78" s="2" t="s">
        <v>93</v>
      </c>
      <c r="B78" s="2" t="s">
        <v>91</v>
      </c>
      <c r="C78" s="1"/>
      <c r="D78" s="2"/>
      <c r="E78" s="2"/>
      <c r="F78" s="2"/>
      <c r="G78" s="2"/>
      <c r="H78" s="2"/>
      <c r="I78" s="2"/>
    </row>
    <row r="79">
      <c r="A79" s="2" t="s">
        <v>94</v>
      </c>
      <c r="B79" s="2" t="s">
        <v>91</v>
      </c>
      <c r="C79" s="2"/>
      <c r="D79" s="2" t="s">
        <v>37</v>
      </c>
      <c r="E79" s="2">
        <v>10.0</v>
      </c>
      <c r="F79" s="2" t="s">
        <v>12</v>
      </c>
      <c r="G79" s="2"/>
      <c r="H79" s="2"/>
      <c r="I79" s="2"/>
    </row>
    <row r="80">
      <c r="A80" s="2" t="s">
        <v>95</v>
      </c>
      <c r="B80" s="2" t="s">
        <v>91</v>
      </c>
      <c r="C80" s="2"/>
      <c r="D80" s="2" t="s">
        <v>11</v>
      </c>
      <c r="E80" s="2">
        <v>10.0</v>
      </c>
      <c r="F80" s="2" t="s">
        <v>12</v>
      </c>
      <c r="G80" s="2"/>
      <c r="H80" s="2"/>
      <c r="I80" s="2"/>
    </row>
    <row r="81">
      <c r="A81" s="2" t="s">
        <v>96</v>
      </c>
      <c r="B81" s="2" t="s">
        <v>91</v>
      </c>
      <c r="C81" s="2"/>
      <c r="D81" s="2" t="s">
        <v>11</v>
      </c>
      <c r="E81" s="2">
        <v>10.0</v>
      </c>
      <c r="F81" s="2" t="s">
        <v>12</v>
      </c>
      <c r="G81" s="2"/>
      <c r="H81" s="2"/>
      <c r="I81" s="2"/>
    </row>
    <row r="82">
      <c r="A82" s="2" t="s">
        <v>97</v>
      </c>
      <c r="B82" s="2" t="s">
        <v>91</v>
      </c>
      <c r="C82" s="1"/>
      <c r="D82" s="2"/>
      <c r="E82" s="2"/>
      <c r="F82" s="2"/>
      <c r="G82" s="2"/>
      <c r="H82" s="2"/>
      <c r="I82" s="2"/>
    </row>
    <row r="83">
      <c r="A83" s="2" t="s">
        <v>98</v>
      </c>
      <c r="B83" s="2" t="s">
        <v>91</v>
      </c>
      <c r="C83" s="2"/>
      <c r="D83" s="2" t="s">
        <v>11</v>
      </c>
      <c r="E83" s="2">
        <v>15.0</v>
      </c>
      <c r="F83" s="2" t="s">
        <v>12</v>
      </c>
      <c r="G83" s="2"/>
      <c r="H83" s="2"/>
      <c r="I83" s="2"/>
    </row>
    <row r="84">
      <c r="A84" s="2" t="s">
        <v>99</v>
      </c>
      <c r="B84" s="2" t="s">
        <v>91</v>
      </c>
      <c r="C84" s="1"/>
      <c r="D84" s="2"/>
      <c r="E84" s="2"/>
      <c r="F84" s="2"/>
      <c r="G84" s="2"/>
      <c r="H84" s="2"/>
      <c r="I84" s="2"/>
    </row>
    <row r="85">
      <c r="A85" s="1" t="s">
        <v>100</v>
      </c>
      <c r="B85" s="2" t="s">
        <v>91</v>
      </c>
      <c r="C85" s="2"/>
      <c r="D85" s="2" t="s">
        <v>11</v>
      </c>
      <c r="E85" s="2">
        <v>10.0</v>
      </c>
      <c r="F85" s="2" t="s">
        <v>12</v>
      </c>
      <c r="G85" s="2"/>
      <c r="H85" s="2"/>
      <c r="I85" s="2"/>
    </row>
    <row r="86">
      <c r="A86" s="2" t="s">
        <v>101</v>
      </c>
      <c r="B86" s="2" t="s">
        <v>91</v>
      </c>
      <c r="C86" s="2"/>
      <c r="D86" s="2" t="s">
        <v>11</v>
      </c>
      <c r="E86" s="2">
        <v>10.0</v>
      </c>
      <c r="F86" s="2" t="s">
        <v>12</v>
      </c>
      <c r="G86" s="2"/>
      <c r="H86" s="2"/>
      <c r="I86" s="2"/>
    </row>
    <row r="87">
      <c r="A87" s="1" t="s">
        <v>102</v>
      </c>
      <c r="B87" s="2" t="s">
        <v>91</v>
      </c>
      <c r="C87" s="2"/>
      <c r="D87" s="2" t="s">
        <v>11</v>
      </c>
      <c r="E87" s="2">
        <v>10.0</v>
      </c>
      <c r="F87" s="2" t="s">
        <v>12</v>
      </c>
      <c r="G87" s="2"/>
      <c r="H87" s="2"/>
      <c r="I87" s="2"/>
    </row>
    <row r="88">
      <c r="A88" s="1" t="s">
        <v>103</v>
      </c>
      <c r="B88" s="2" t="s">
        <v>91</v>
      </c>
      <c r="C88" s="2"/>
      <c r="D88" s="2" t="s">
        <v>11</v>
      </c>
      <c r="E88" s="2">
        <v>10.0</v>
      </c>
      <c r="F88" s="2" t="s">
        <v>12</v>
      </c>
      <c r="G88" s="2"/>
      <c r="H88" s="2"/>
      <c r="I88" s="2"/>
    </row>
    <row r="89">
      <c r="A89" s="1" t="s">
        <v>104</v>
      </c>
      <c r="B89" s="2" t="s">
        <v>91</v>
      </c>
      <c r="C89" s="2"/>
      <c r="D89" s="2" t="s">
        <v>11</v>
      </c>
      <c r="E89" s="2">
        <v>10.0</v>
      </c>
      <c r="F89" s="2" t="s">
        <v>12</v>
      </c>
      <c r="G89" s="2"/>
      <c r="H89" s="2"/>
      <c r="I89" s="2"/>
    </row>
    <row r="90">
      <c r="A90" s="2" t="s">
        <v>105</v>
      </c>
      <c r="B90" s="2" t="s">
        <v>91</v>
      </c>
      <c r="C90" s="2"/>
      <c r="D90" s="2" t="s">
        <v>11</v>
      </c>
      <c r="E90" s="2">
        <v>10.0</v>
      </c>
      <c r="F90" s="2" t="s">
        <v>12</v>
      </c>
      <c r="G90" s="2"/>
      <c r="H90" s="2"/>
      <c r="I90" s="2"/>
    </row>
    <row r="91">
      <c r="A91" s="2" t="s">
        <v>106</v>
      </c>
      <c r="B91" s="2" t="s">
        <v>91</v>
      </c>
      <c r="C91" s="2"/>
      <c r="D91" s="2" t="s">
        <v>11</v>
      </c>
      <c r="E91" s="2">
        <v>10.0</v>
      </c>
      <c r="F91" s="2" t="s">
        <v>12</v>
      </c>
      <c r="G91" s="2"/>
      <c r="H91" s="2"/>
      <c r="I91" s="2"/>
    </row>
    <row r="92">
      <c r="A92" s="1" t="s">
        <v>107</v>
      </c>
      <c r="B92" s="2" t="s">
        <v>91</v>
      </c>
      <c r="C92" s="2"/>
      <c r="D92" s="2" t="s">
        <v>11</v>
      </c>
      <c r="E92" s="2">
        <v>10.0</v>
      </c>
      <c r="F92" s="2" t="s">
        <v>12</v>
      </c>
      <c r="G92" s="2"/>
      <c r="H92" s="2"/>
      <c r="I92" s="2"/>
    </row>
    <row r="93">
      <c r="A93" s="1" t="s">
        <v>108</v>
      </c>
      <c r="B93" s="2" t="s">
        <v>91</v>
      </c>
      <c r="C93" s="2"/>
      <c r="D93" s="2" t="s">
        <v>11</v>
      </c>
      <c r="E93" s="2">
        <v>10.0</v>
      </c>
      <c r="F93" s="2" t="s">
        <v>12</v>
      </c>
      <c r="G93" s="2"/>
      <c r="H93" s="2"/>
      <c r="I93" s="2"/>
    </row>
    <row r="94">
      <c r="A94" s="1" t="s">
        <v>109</v>
      </c>
      <c r="B94" s="2" t="s">
        <v>91</v>
      </c>
      <c r="C94" s="2"/>
      <c r="D94" s="2" t="s">
        <v>11</v>
      </c>
      <c r="E94" s="2">
        <v>10.0</v>
      </c>
      <c r="F94" s="2" t="s">
        <v>12</v>
      </c>
      <c r="G94" s="2"/>
      <c r="H94" s="2"/>
      <c r="I94" s="2"/>
    </row>
    <row r="95">
      <c r="A95" s="2" t="s">
        <v>110</v>
      </c>
      <c r="B95" s="2" t="s">
        <v>91</v>
      </c>
      <c r="C95" s="1"/>
      <c r="D95" s="2"/>
      <c r="E95" s="2"/>
      <c r="F95" s="2"/>
      <c r="G95" s="2"/>
      <c r="H95" s="2"/>
      <c r="I95" s="2"/>
    </row>
    <row r="96">
      <c r="A96" s="1" t="s">
        <v>111</v>
      </c>
      <c r="B96" s="2" t="s">
        <v>91</v>
      </c>
      <c r="C96" s="2"/>
      <c r="D96" s="2" t="s">
        <v>11</v>
      </c>
      <c r="E96" s="2">
        <v>10.0</v>
      </c>
      <c r="F96" s="2" t="s">
        <v>12</v>
      </c>
      <c r="G96" s="2"/>
      <c r="H96" s="2"/>
      <c r="I96" s="2"/>
    </row>
    <row r="97">
      <c r="A97" s="1" t="s">
        <v>112</v>
      </c>
      <c r="B97" s="2" t="s">
        <v>91</v>
      </c>
      <c r="C97" s="2"/>
      <c r="D97" s="2" t="s">
        <v>11</v>
      </c>
      <c r="E97" s="2">
        <v>10.0</v>
      </c>
      <c r="F97" s="2" t="s">
        <v>12</v>
      </c>
      <c r="G97" s="2"/>
      <c r="H97" s="2"/>
      <c r="I97" s="2"/>
    </row>
    <row r="98">
      <c r="A98" s="2" t="s">
        <v>113</v>
      </c>
      <c r="B98" s="2" t="s">
        <v>91</v>
      </c>
      <c r="C98" s="1"/>
      <c r="D98" s="2"/>
      <c r="E98" s="2"/>
      <c r="F98" s="2"/>
      <c r="G98" s="2"/>
      <c r="H98" s="2"/>
      <c r="I98" s="2"/>
    </row>
    <row r="99">
      <c r="A99" s="1" t="s">
        <v>114</v>
      </c>
      <c r="B99" s="2" t="s">
        <v>91</v>
      </c>
      <c r="C99" s="1"/>
      <c r="D99" s="2"/>
      <c r="E99" s="2"/>
      <c r="F99" s="2"/>
      <c r="G99" s="2"/>
      <c r="H99" s="2"/>
      <c r="I99" s="2"/>
    </row>
    <row r="100">
      <c r="A100" s="1" t="s">
        <v>115</v>
      </c>
      <c r="B100" s="2" t="s">
        <v>91</v>
      </c>
      <c r="C100" s="2"/>
      <c r="D100" s="2" t="s">
        <v>37</v>
      </c>
      <c r="E100" s="2">
        <v>10.0</v>
      </c>
      <c r="F100" s="2" t="s">
        <v>12</v>
      </c>
      <c r="G100" s="2"/>
      <c r="H100" s="2"/>
      <c r="I100" s="2"/>
    </row>
    <row r="101">
      <c r="A101" s="1" t="s">
        <v>116</v>
      </c>
      <c r="B101" s="2" t="s">
        <v>91</v>
      </c>
      <c r="C101" s="1"/>
      <c r="D101" s="2"/>
      <c r="E101" s="2"/>
      <c r="F101" s="2"/>
      <c r="G101" s="2"/>
      <c r="H101" s="2"/>
      <c r="I101" s="2"/>
    </row>
    <row r="102">
      <c r="A102" s="2" t="s">
        <v>117</v>
      </c>
      <c r="B102" s="2" t="s">
        <v>91</v>
      </c>
      <c r="C102" s="2"/>
      <c r="D102" s="2" t="s">
        <v>11</v>
      </c>
      <c r="E102" s="2">
        <v>10.0</v>
      </c>
      <c r="F102" s="2" t="s">
        <v>12</v>
      </c>
      <c r="G102" s="2"/>
      <c r="H102" s="2"/>
      <c r="I102" s="2"/>
    </row>
    <row r="103">
      <c r="A103" s="1" t="s">
        <v>118</v>
      </c>
      <c r="B103" s="2" t="s">
        <v>91</v>
      </c>
      <c r="C103" s="2"/>
      <c r="D103" s="2" t="s">
        <v>11</v>
      </c>
      <c r="E103" s="2">
        <v>10.0</v>
      </c>
      <c r="F103" s="2" t="s">
        <v>12</v>
      </c>
      <c r="G103" s="2"/>
      <c r="H103" s="2"/>
      <c r="I103" s="2"/>
    </row>
    <row r="104">
      <c r="A104" s="2" t="s">
        <v>119</v>
      </c>
      <c r="B104" s="2" t="s">
        <v>91</v>
      </c>
      <c r="C104" s="1"/>
      <c r="D104" s="2"/>
      <c r="E104" s="2"/>
      <c r="F104" s="2"/>
      <c r="G104" s="2"/>
      <c r="H104" s="2"/>
      <c r="I104" s="2"/>
    </row>
    <row r="105">
      <c r="A105" s="2" t="s">
        <v>120</v>
      </c>
      <c r="B105" s="2" t="s">
        <v>91</v>
      </c>
      <c r="C105" s="2"/>
      <c r="D105" s="2" t="s">
        <v>37</v>
      </c>
      <c r="E105" s="2">
        <v>10.0</v>
      </c>
      <c r="F105" s="2" t="s">
        <v>12</v>
      </c>
      <c r="G105" s="2"/>
      <c r="H105" s="2"/>
      <c r="I105" s="2"/>
    </row>
    <row r="106">
      <c r="A106" s="1" t="s">
        <v>121</v>
      </c>
      <c r="B106" s="2" t="s">
        <v>91</v>
      </c>
      <c r="C106" s="2"/>
      <c r="D106" s="2" t="s">
        <v>11</v>
      </c>
      <c r="E106" s="2">
        <v>10.0</v>
      </c>
      <c r="F106" s="2" t="s">
        <v>12</v>
      </c>
      <c r="G106" s="2"/>
      <c r="H106" s="2"/>
      <c r="I106" s="2"/>
    </row>
    <row r="107">
      <c r="A107" s="2" t="s">
        <v>122</v>
      </c>
      <c r="B107" s="2" t="s">
        <v>91</v>
      </c>
      <c r="C107" s="2"/>
      <c r="D107" s="2" t="s">
        <v>37</v>
      </c>
      <c r="E107" s="2">
        <v>10.0</v>
      </c>
      <c r="F107" s="2" t="s">
        <v>12</v>
      </c>
      <c r="G107" s="2"/>
      <c r="H107" s="2"/>
      <c r="I107" s="2"/>
    </row>
    <row r="108">
      <c r="A108" s="1" t="s">
        <v>123</v>
      </c>
      <c r="B108" s="2" t="s">
        <v>91</v>
      </c>
      <c r="C108" s="2"/>
      <c r="D108" s="2" t="s">
        <v>11</v>
      </c>
      <c r="E108" s="2">
        <v>10.0</v>
      </c>
      <c r="F108" s="2" t="s">
        <v>12</v>
      </c>
      <c r="G108" s="2"/>
      <c r="H108" s="2"/>
      <c r="I108" s="2"/>
    </row>
    <row r="109">
      <c r="A109" s="2" t="s">
        <v>124</v>
      </c>
      <c r="B109" s="2" t="s">
        <v>91</v>
      </c>
      <c r="C109" s="2"/>
      <c r="D109" s="2" t="s">
        <v>37</v>
      </c>
      <c r="E109" s="2">
        <v>10.0</v>
      </c>
      <c r="F109" s="2" t="s">
        <v>12</v>
      </c>
      <c r="G109" s="2"/>
      <c r="H109" s="2"/>
      <c r="I109" s="2"/>
    </row>
    <row r="110">
      <c r="A110" s="2" t="s">
        <v>125</v>
      </c>
      <c r="B110" s="2" t="s">
        <v>91</v>
      </c>
      <c r="C110" s="2"/>
      <c r="D110" s="2" t="s">
        <v>11</v>
      </c>
      <c r="E110" s="2">
        <v>15.0</v>
      </c>
      <c r="F110" s="2" t="s">
        <v>12</v>
      </c>
      <c r="G110" s="2"/>
      <c r="H110" s="2"/>
      <c r="I110" s="2"/>
    </row>
    <row r="111">
      <c r="A111" s="2" t="s">
        <v>126</v>
      </c>
      <c r="B111" s="2" t="s">
        <v>91</v>
      </c>
      <c r="C111" s="1"/>
      <c r="D111" s="2"/>
      <c r="E111" s="2"/>
      <c r="F111" s="2"/>
      <c r="G111" s="2"/>
      <c r="H111" s="2"/>
      <c r="I111" s="2"/>
    </row>
    <row r="112">
      <c r="A112" s="2" t="s">
        <v>127</v>
      </c>
      <c r="B112" s="2" t="s">
        <v>91</v>
      </c>
      <c r="C112" s="1"/>
      <c r="D112" s="2"/>
      <c r="E112" s="2"/>
      <c r="F112" s="2"/>
      <c r="G112" s="2"/>
      <c r="H112" s="2"/>
      <c r="I112" s="2"/>
    </row>
    <row r="113">
      <c r="A113" s="2" t="s">
        <v>128</v>
      </c>
      <c r="B113" s="2" t="s">
        <v>91</v>
      </c>
      <c r="C113" s="2"/>
      <c r="D113" s="2" t="s">
        <v>11</v>
      </c>
      <c r="E113" s="2">
        <v>10.0</v>
      </c>
      <c r="F113" s="2" t="s">
        <v>12</v>
      </c>
      <c r="G113" s="2"/>
      <c r="H113" s="2"/>
      <c r="I113" s="2"/>
    </row>
    <row r="114">
      <c r="A114" s="2" t="s">
        <v>129</v>
      </c>
      <c r="B114" s="2" t="s">
        <v>91</v>
      </c>
      <c r="C114" s="2"/>
      <c r="D114" s="2" t="s">
        <v>11</v>
      </c>
      <c r="E114" s="2">
        <v>10.0</v>
      </c>
      <c r="F114" s="2" t="s">
        <v>12</v>
      </c>
      <c r="G114" s="2"/>
      <c r="H114" s="2"/>
      <c r="I114" s="2"/>
    </row>
    <row r="115">
      <c r="A115" s="2" t="s">
        <v>129</v>
      </c>
      <c r="B115" s="2" t="s">
        <v>91</v>
      </c>
      <c r="C115" s="2"/>
      <c r="D115" s="2" t="s">
        <v>11</v>
      </c>
      <c r="E115" s="2">
        <v>15.0</v>
      </c>
      <c r="F115" s="2" t="s">
        <v>12</v>
      </c>
      <c r="G115" s="2"/>
      <c r="H115" s="2"/>
      <c r="I115" s="2"/>
    </row>
    <row r="116">
      <c r="A116" s="2" t="s">
        <v>130</v>
      </c>
      <c r="B116" s="2" t="s">
        <v>91</v>
      </c>
      <c r="C116" s="2"/>
      <c r="D116" s="2" t="s">
        <v>11</v>
      </c>
      <c r="E116" s="2">
        <v>10.0</v>
      </c>
      <c r="F116" s="2" t="s">
        <v>12</v>
      </c>
      <c r="G116" s="2"/>
      <c r="H116" s="2"/>
      <c r="I116" s="2"/>
    </row>
    <row r="117">
      <c r="A117" s="2" t="s">
        <v>131</v>
      </c>
      <c r="B117" s="2" t="s">
        <v>91</v>
      </c>
      <c r="C117" s="2"/>
      <c r="D117" s="2" t="s">
        <v>37</v>
      </c>
      <c r="E117" s="2">
        <v>10.0</v>
      </c>
      <c r="F117" s="2" t="s">
        <v>12</v>
      </c>
      <c r="G117" s="2"/>
      <c r="H117" s="2"/>
      <c r="I117" s="2"/>
    </row>
    <row r="118">
      <c r="A118" s="2" t="s">
        <v>132</v>
      </c>
      <c r="B118" s="2" t="s">
        <v>91</v>
      </c>
      <c r="C118" s="2"/>
      <c r="D118" s="2" t="s">
        <v>37</v>
      </c>
      <c r="E118" s="2">
        <v>10.0</v>
      </c>
      <c r="F118" s="2" t="s">
        <v>12</v>
      </c>
      <c r="G118" s="2"/>
      <c r="H118" s="2"/>
      <c r="I118" s="2"/>
    </row>
    <row r="119">
      <c r="A119" s="1" t="s">
        <v>133</v>
      </c>
      <c r="B119" s="2" t="s">
        <v>91</v>
      </c>
      <c r="C119" s="2"/>
      <c r="D119" s="2" t="s">
        <v>11</v>
      </c>
      <c r="E119" s="2">
        <v>10.0</v>
      </c>
      <c r="F119" s="2" t="s">
        <v>12</v>
      </c>
      <c r="G119" s="2"/>
      <c r="H119" s="2"/>
      <c r="I119" s="2"/>
    </row>
    <row r="120">
      <c r="A120" s="1" t="s">
        <v>134</v>
      </c>
      <c r="B120" s="2" t="s">
        <v>91</v>
      </c>
      <c r="C120" s="2"/>
      <c r="D120" s="2" t="s">
        <v>11</v>
      </c>
      <c r="E120" s="2">
        <v>10.0</v>
      </c>
      <c r="F120" s="2" t="s">
        <v>12</v>
      </c>
      <c r="G120" s="2"/>
      <c r="H120" s="2"/>
      <c r="I120" s="2"/>
    </row>
    <row r="121">
      <c r="A121" s="1" t="s">
        <v>135</v>
      </c>
      <c r="B121" s="2" t="s">
        <v>91</v>
      </c>
      <c r="C121" s="2"/>
      <c r="D121" s="2" t="s">
        <v>11</v>
      </c>
      <c r="E121" s="2">
        <v>10.0</v>
      </c>
      <c r="F121" s="2" t="s">
        <v>12</v>
      </c>
      <c r="G121" s="2"/>
      <c r="H121" s="2"/>
      <c r="I121" s="2"/>
    </row>
    <row r="122">
      <c r="A122" s="2" t="s">
        <v>136</v>
      </c>
      <c r="B122" s="2" t="s">
        <v>91</v>
      </c>
      <c r="C122" s="2"/>
      <c r="D122" s="2" t="s">
        <v>11</v>
      </c>
      <c r="E122" s="2">
        <v>10.0</v>
      </c>
      <c r="F122" s="2" t="s">
        <v>12</v>
      </c>
      <c r="G122" s="2"/>
      <c r="H122" s="2"/>
      <c r="I122" s="2"/>
    </row>
    <row r="123">
      <c r="A123" s="2" t="s">
        <v>137</v>
      </c>
      <c r="B123" s="2" t="s">
        <v>91</v>
      </c>
      <c r="C123" s="1"/>
      <c r="D123" s="2"/>
      <c r="E123" s="2"/>
      <c r="F123" s="2"/>
      <c r="G123" s="2"/>
      <c r="H123" s="2"/>
      <c r="I123" s="2"/>
    </row>
    <row r="124">
      <c r="A124" s="1" t="s">
        <v>138</v>
      </c>
      <c r="B124" s="2" t="s">
        <v>91</v>
      </c>
      <c r="C124" s="2"/>
      <c r="D124" s="2" t="s">
        <v>11</v>
      </c>
      <c r="E124" s="2">
        <v>10.0</v>
      </c>
      <c r="F124" s="2" t="s">
        <v>12</v>
      </c>
      <c r="G124" s="2"/>
      <c r="H124" s="2"/>
      <c r="I124" s="2"/>
    </row>
    <row r="125">
      <c r="A125" s="1" t="s">
        <v>139</v>
      </c>
      <c r="B125" s="2" t="s">
        <v>91</v>
      </c>
      <c r="C125" s="2"/>
      <c r="D125" s="2" t="s">
        <v>11</v>
      </c>
      <c r="E125" s="2">
        <v>10.0</v>
      </c>
      <c r="F125" s="2" t="s">
        <v>12</v>
      </c>
      <c r="G125" s="2"/>
      <c r="H125" s="2"/>
      <c r="I125" s="2"/>
    </row>
    <row r="126">
      <c r="A126" s="1" t="s">
        <v>139</v>
      </c>
      <c r="B126" s="2" t="s">
        <v>91</v>
      </c>
      <c r="C126" s="2"/>
      <c r="D126" s="2" t="s">
        <v>11</v>
      </c>
      <c r="E126" s="2">
        <v>15.0</v>
      </c>
      <c r="F126" s="2" t="s">
        <v>12</v>
      </c>
      <c r="G126" s="2"/>
      <c r="H126" s="2"/>
      <c r="I126" s="2"/>
    </row>
    <row r="127">
      <c r="A127" s="1" t="s">
        <v>140</v>
      </c>
      <c r="B127" s="2" t="s">
        <v>91</v>
      </c>
      <c r="C127" s="2"/>
      <c r="D127" s="2" t="s">
        <v>11</v>
      </c>
      <c r="E127" s="2">
        <v>15.0</v>
      </c>
      <c r="F127" s="2" t="s">
        <v>12</v>
      </c>
      <c r="G127" s="2"/>
      <c r="H127" s="2"/>
      <c r="I127" s="2"/>
    </row>
    <row r="128">
      <c r="A128" s="1" t="s">
        <v>141</v>
      </c>
      <c r="B128" s="2" t="s">
        <v>91</v>
      </c>
      <c r="C128" s="2"/>
      <c r="D128" s="2" t="s">
        <v>11</v>
      </c>
      <c r="E128" s="2">
        <v>15.0</v>
      </c>
      <c r="F128" s="2" t="s">
        <v>12</v>
      </c>
      <c r="G128" s="2"/>
      <c r="H128" s="2"/>
      <c r="I128" s="2"/>
    </row>
    <row r="129">
      <c r="A129" s="2" t="s">
        <v>142</v>
      </c>
      <c r="B129" s="2" t="s">
        <v>91</v>
      </c>
      <c r="C129" s="1"/>
      <c r="D129" s="2"/>
      <c r="E129" s="2"/>
      <c r="F129" s="2"/>
      <c r="G129" s="2"/>
      <c r="H129" s="2"/>
      <c r="I129" s="2"/>
    </row>
    <row r="130">
      <c r="A130" s="1" t="s">
        <v>143</v>
      </c>
      <c r="B130" s="2" t="s">
        <v>91</v>
      </c>
      <c r="C130" s="1"/>
      <c r="D130" s="2"/>
      <c r="E130" s="2"/>
      <c r="F130" s="2"/>
      <c r="G130" s="2"/>
      <c r="H130" s="2"/>
      <c r="I130" s="2"/>
    </row>
    <row r="131">
      <c r="A131" s="2" t="s">
        <v>144</v>
      </c>
      <c r="B131" s="2" t="s">
        <v>91</v>
      </c>
      <c r="C131" s="1"/>
      <c r="D131" s="2"/>
      <c r="E131" s="2"/>
      <c r="F131" s="2"/>
      <c r="G131" s="2"/>
      <c r="H131" s="2"/>
      <c r="I131" s="2"/>
    </row>
    <row r="132">
      <c r="A132" s="2" t="s">
        <v>145</v>
      </c>
      <c r="B132" s="2" t="s">
        <v>91</v>
      </c>
      <c r="C132" s="1"/>
      <c r="D132" s="2"/>
      <c r="E132" s="2"/>
      <c r="F132" s="2"/>
      <c r="G132" s="2"/>
      <c r="H132" s="2"/>
      <c r="I132" s="2"/>
    </row>
    <row r="133">
      <c r="A133" s="2" t="s">
        <v>146</v>
      </c>
      <c r="B133" s="2" t="s">
        <v>91</v>
      </c>
      <c r="C133" s="1"/>
      <c r="D133" s="2"/>
      <c r="E133" s="2"/>
      <c r="F133" s="2"/>
      <c r="G133" s="2"/>
      <c r="H133" s="2"/>
      <c r="I133" s="2"/>
    </row>
    <row r="134">
      <c r="A134" s="2" t="s">
        <v>147</v>
      </c>
      <c r="B134" s="2" t="s">
        <v>91</v>
      </c>
      <c r="C134" s="1"/>
      <c r="D134" s="2"/>
      <c r="E134" s="2"/>
      <c r="F134" s="2"/>
      <c r="G134" s="2"/>
      <c r="H134" s="2"/>
      <c r="I134" s="2"/>
    </row>
    <row r="135">
      <c r="A135" s="2" t="s">
        <v>148</v>
      </c>
      <c r="B135" s="2" t="s">
        <v>91</v>
      </c>
      <c r="C135" s="1"/>
      <c r="D135" s="2"/>
      <c r="E135" s="2"/>
      <c r="F135" s="2"/>
      <c r="G135" s="2"/>
      <c r="H135" s="2"/>
      <c r="I135" s="2"/>
    </row>
    <row r="136">
      <c r="A136" s="1" t="s">
        <v>149</v>
      </c>
      <c r="B136" s="2" t="s">
        <v>91</v>
      </c>
      <c r="C136" s="1"/>
      <c r="D136" s="2"/>
      <c r="E136" s="2"/>
      <c r="F136" s="2"/>
      <c r="G136" s="2"/>
      <c r="H136" s="2"/>
      <c r="I136" s="2"/>
    </row>
    <row r="137">
      <c r="A137" s="1" t="s">
        <v>150</v>
      </c>
      <c r="B137" s="2" t="s">
        <v>91</v>
      </c>
      <c r="C137" s="1"/>
      <c r="D137" s="2"/>
      <c r="E137" s="2"/>
      <c r="F137" s="2"/>
      <c r="G137" s="2"/>
      <c r="H137" s="2"/>
      <c r="I137" s="2"/>
    </row>
    <row r="138">
      <c r="A138" s="1" t="s">
        <v>151</v>
      </c>
      <c r="B138" s="2" t="s">
        <v>91</v>
      </c>
      <c r="C138" s="2"/>
      <c r="D138" s="2" t="s">
        <v>11</v>
      </c>
      <c r="E138" s="2">
        <v>10.0</v>
      </c>
      <c r="F138" s="2" t="s">
        <v>12</v>
      </c>
      <c r="G138" s="2"/>
      <c r="H138" s="2"/>
      <c r="I138" s="2"/>
    </row>
    <row r="139">
      <c r="A139" s="2" t="s">
        <v>152</v>
      </c>
      <c r="B139" s="2" t="s">
        <v>91</v>
      </c>
      <c r="C139" s="1"/>
      <c r="D139" s="2"/>
      <c r="E139" s="2"/>
      <c r="F139" s="2"/>
      <c r="G139" s="2"/>
      <c r="H139" s="2"/>
      <c r="I139" s="2"/>
    </row>
    <row r="140">
      <c r="A140" s="2" t="s">
        <v>153</v>
      </c>
      <c r="B140" s="2" t="s">
        <v>91</v>
      </c>
      <c r="C140" s="2"/>
      <c r="D140" s="2" t="s">
        <v>11</v>
      </c>
      <c r="E140" s="2">
        <v>10.0</v>
      </c>
      <c r="F140" s="2" t="s">
        <v>12</v>
      </c>
      <c r="G140" s="2"/>
      <c r="H140" s="2"/>
      <c r="I140" s="2"/>
    </row>
    <row r="141">
      <c r="A141" s="2" t="s">
        <v>154</v>
      </c>
      <c r="B141" s="2" t="s">
        <v>91</v>
      </c>
      <c r="C141" s="1"/>
      <c r="D141" s="2"/>
      <c r="E141" s="2"/>
      <c r="F141" s="2"/>
      <c r="G141" s="2"/>
      <c r="H141" s="2"/>
      <c r="I141" s="2"/>
    </row>
    <row r="142">
      <c r="A142" s="1" t="s">
        <v>155</v>
      </c>
      <c r="B142" s="2" t="s">
        <v>91</v>
      </c>
      <c r="C142" s="2"/>
      <c r="D142" s="2" t="s">
        <v>11</v>
      </c>
      <c r="E142" s="2">
        <v>15.0</v>
      </c>
      <c r="F142" s="2" t="s">
        <v>12</v>
      </c>
      <c r="G142" s="2"/>
      <c r="H142" s="2"/>
      <c r="I142" s="2"/>
    </row>
    <row r="143">
      <c r="A143" s="2" t="s">
        <v>156</v>
      </c>
      <c r="B143" s="2" t="s">
        <v>91</v>
      </c>
      <c r="C143" s="2"/>
      <c r="D143" s="2" t="s">
        <v>11</v>
      </c>
      <c r="E143" s="2">
        <v>15.0</v>
      </c>
      <c r="F143" s="2" t="s">
        <v>12</v>
      </c>
      <c r="G143" s="2"/>
      <c r="H143" s="2"/>
      <c r="I143" s="2"/>
    </row>
    <row r="144">
      <c r="A144" s="2" t="s">
        <v>157</v>
      </c>
      <c r="B144" s="2" t="s">
        <v>91</v>
      </c>
      <c r="C144" s="1"/>
      <c r="D144" s="2"/>
      <c r="E144" s="2"/>
      <c r="F144" s="2"/>
      <c r="G144" s="2"/>
      <c r="H144" s="2"/>
      <c r="I144" s="2"/>
    </row>
    <row r="145">
      <c r="A145" s="2" t="s">
        <v>158</v>
      </c>
      <c r="B145" s="2" t="s">
        <v>91</v>
      </c>
      <c r="C145" s="1"/>
      <c r="D145" s="2"/>
      <c r="E145" s="2"/>
      <c r="F145" s="2"/>
      <c r="G145" s="2"/>
      <c r="H145" s="2"/>
      <c r="I145" s="2"/>
    </row>
    <row r="146">
      <c r="A146" s="1" t="s">
        <v>159</v>
      </c>
      <c r="B146" s="2" t="s">
        <v>91</v>
      </c>
      <c r="C146" s="1"/>
      <c r="D146" s="2"/>
      <c r="E146" s="2"/>
      <c r="F146" s="2"/>
      <c r="G146" s="2"/>
      <c r="H146" s="2"/>
      <c r="I146" s="2"/>
    </row>
    <row r="147">
      <c r="A147" s="2" t="s">
        <v>160</v>
      </c>
      <c r="B147" s="2" t="s">
        <v>91</v>
      </c>
      <c r="C147" s="1"/>
      <c r="D147" s="2"/>
      <c r="E147" s="2"/>
      <c r="F147" s="2"/>
      <c r="G147" s="2"/>
      <c r="H147" s="2"/>
      <c r="I147" s="2"/>
    </row>
    <row r="148">
      <c r="A148" s="2" t="s">
        <v>161</v>
      </c>
      <c r="B148" s="2" t="s">
        <v>91</v>
      </c>
      <c r="C148" s="1"/>
      <c r="D148" s="2"/>
      <c r="E148" s="2"/>
      <c r="F148" s="2"/>
      <c r="G148" s="2"/>
      <c r="H148" s="2"/>
      <c r="I148" s="2"/>
    </row>
    <row r="149">
      <c r="A149" s="2" t="s">
        <v>162</v>
      </c>
      <c r="B149" s="2" t="s">
        <v>91</v>
      </c>
      <c r="C149" s="2"/>
      <c r="D149" s="2" t="s">
        <v>11</v>
      </c>
      <c r="E149" s="2">
        <v>10.0</v>
      </c>
      <c r="F149" s="2" t="s">
        <v>12</v>
      </c>
      <c r="G149" s="2"/>
      <c r="H149" s="2"/>
      <c r="I149" s="2"/>
    </row>
    <row r="150">
      <c r="A150" s="1" t="s">
        <v>163</v>
      </c>
      <c r="B150" s="2" t="s">
        <v>91</v>
      </c>
      <c r="C150" s="2"/>
      <c r="D150" s="2" t="s">
        <v>11</v>
      </c>
      <c r="E150" s="2">
        <v>10.0</v>
      </c>
      <c r="F150" s="2" t="s">
        <v>12</v>
      </c>
      <c r="G150" s="2"/>
      <c r="H150" s="2"/>
      <c r="I150" s="2"/>
    </row>
    <row r="151">
      <c r="A151" s="1" t="s">
        <v>164</v>
      </c>
      <c r="B151" s="2" t="s">
        <v>91</v>
      </c>
      <c r="C151" s="2"/>
      <c r="D151" s="2" t="s">
        <v>11</v>
      </c>
      <c r="E151" s="2">
        <v>10.0</v>
      </c>
      <c r="F151" s="2" t="s">
        <v>12</v>
      </c>
      <c r="G151" s="2"/>
      <c r="H151" s="2"/>
      <c r="I151" s="2"/>
    </row>
    <row r="152">
      <c r="A152" s="1" t="s">
        <v>165</v>
      </c>
      <c r="B152" s="2" t="s">
        <v>91</v>
      </c>
      <c r="C152" s="2"/>
      <c r="D152" s="2" t="s">
        <v>11</v>
      </c>
      <c r="E152" s="2">
        <v>10.0</v>
      </c>
      <c r="F152" s="2" t="s">
        <v>12</v>
      </c>
      <c r="G152" s="2"/>
      <c r="H152" s="2"/>
      <c r="I152" s="2"/>
    </row>
    <row r="153">
      <c r="A153" s="1" t="s">
        <v>166</v>
      </c>
      <c r="B153" s="2" t="s">
        <v>91</v>
      </c>
      <c r="C153" s="2"/>
      <c r="D153" s="2" t="s">
        <v>11</v>
      </c>
      <c r="E153" s="2">
        <v>10.0</v>
      </c>
      <c r="F153" s="2" t="s">
        <v>12</v>
      </c>
      <c r="G153" s="2"/>
      <c r="H153" s="2"/>
      <c r="I153" s="2"/>
    </row>
    <row r="154">
      <c r="A154" s="2" t="s">
        <v>167</v>
      </c>
      <c r="B154" s="2" t="s">
        <v>91</v>
      </c>
      <c r="C154" s="1"/>
      <c r="D154" s="2"/>
      <c r="E154" s="2"/>
      <c r="F154" s="2"/>
      <c r="G154" s="2"/>
      <c r="H154" s="2"/>
      <c r="I154" s="2"/>
    </row>
    <row r="155">
      <c r="A155" s="2" t="s">
        <v>168</v>
      </c>
      <c r="B155" s="2" t="s">
        <v>91</v>
      </c>
      <c r="C155" s="1"/>
      <c r="D155" s="2"/>
      <c r="E155" s="2"/>
      <c r="F155" s="2"/>
      <c r="G155" s="2"/>
      <c r="H155" s="2"/>
      <c r="I155" s="2"/>
    </row>
    <row r="156">
      <c r="A156" s="2" t="s">
        <v>169</v>
      </c>
      <c r="B156" s="2" t="s">
        <v>91</v>
      </c>
      <c r="C156" s="1"/>
      <c r="D156" s="2"/>
      <c r="E156" s="2"/>
      <c r="F156" s="2"/>
      <c r="G156" s="2"/>
      <c r="H156" s="2"/>
      <c r="I156" s="2"/>
    </row>
    <row r="157">
      <c r="A157" s="2" t="s">
        <v>170</v>
      </c>
      <c r="B157" s="2" t="s">
        <v>91</v>
      </c>
      <c r="C157" s="2"/>
      <c r="D157" s="2" t="s">
        <v>11</v>
      </c>
      <c r="E157" s="2">
        <v>10.0</v>
      </c>
      <c r="F157" s="2" t="s">
        <v>12</v>
      </c>
      <c r="G157" s="2"/>
      <c r="H157" s="2"/>
      <c r="I157" s="2"/>
    </row>
    <row r="158">
      <c r="A158" s="2" t="s">
        <v>171</v>
      </c>
      <c r="B158" s="2" t="s">
        <v>91</v>
      </c>
      <c r="C158" s="2"/>
      <c r="D158" s="2" t="s">
        <v>11</v>
      </c>
      <c r="E158" s="2">
        <v>10.0</v>
      </c>
      <c r="F158" s="2" t="s">
        <v>12</v>
      </c>
      <c r="G158" s="2"/>
      <c r="H158" s="2"/>
      <c r="I158" s="2"/>
    </row>
    <row r="159">
      <c r="A159" s="2" t="s">
        <v>172</v>
      </c>
      <c r="B159" s="2" t="s">
        <v>91</v>
      </c>
      <c r="C159" s="1"/>
      <c r="D159" s="2"/>
      <c r="E159" s="2"/>
      <c r="F159" s="2"/>
      <c r="G159" s="2"/>
      <c r="H159" s="2"/>
      <c r="I159" s="2"/>
    </row>
    <row r="160">
      <c r="A160" s="2" t="s">
        <v>173</v>
      </c>
      <c r="B160" s="2" t="s">
        <v>91</v>
      </c>
      <c r="C160" s="1"/>
      <c r="D160" s="2"/>
      <c r="E160" s="2"/>
      <c r="F160" s="2"/>
      <c r="G160" s="2"/>
      <c r="H160" s="2"/>
      <c r="I160" s="2"/>
    </row>
    <row r="161">
      <c r="A161" s="2" t="s">
        <v>174</v>
      </c>
      <c r="B161" s="2" t="s">
        <v>91</v>
      </c>
      <c r="C161" s="1"/>
      <c r="D161" s="2"/>
      <c r="E161" s="2"/>
      <c r="F161" s="2"/>
      <c r="G161" s="2"/>
      <c r="H161" s="2"/>
      <c r="I161" s="2"/>
    </row>
    <row r="162">
      <c r="A162" s="2" t="s">
        <v>175</v>
      </c>
      <c r="B162" s="2" t="s">
        <v>91</v>
      </c>
      <c r="C162" s="2"/>
      <c r="D162" s="2" t="s">
        <v>11</v>
      </c>
      <c r="E162" s="2">
        <v>10.0</v>
      </c>
      <c r="F162" s="2" t="s">
        <v>12</v>
      </c>
      <c r="G162" s="2"/>
      <c r="H162" s="2"/>
      <c r="I162" s="2"/>
    </row>
    <row r="163">
      <c r="A163" s="2" t="s">
        <v>176</v>
      </c>
      <c r="B163" s="2" t="s">
        <v>91</v>
      </c>
      <c r="C163" s="1"/>
      <c r="D163" s="2"/>
      <c r="E163" s="2"/>
      <c r="F163" s="2"/>
      <c r="G163" s="2"/>
      <c r="H163" s="2"/>
      <c r="I163" s="2"/>
    </row>
    <row r="164">
      <c r="A164" s="1" t="s">
        <v>177</v>
      </c>
      <c r="B164" s="2" t="s">
        <v>91</v>
      </c>
      <c r="C164" s="2"/>
      <c r="D164" s="2" t="s">
        <v>37</v>
      </c>
      <c r="E164" s="2">
        <v>10.0</v>
      </c>
      <c r="F164" s="2" t="s">
        <v>12</v>
      </c>
      <c r="G164" s="2"/>
      <c r="H164" s="2"/>
      <c r="I164" s="2"/>
    </row>
    <row r="165">
      <c r="A165" s="1" t="s">
        <v>178</v>
      </c>
      <c r="B165" s="2" t="s">
        <v>91</v>
      </c>
      <c r="C165" s="2"/>
      <c r="D165" s="2" t="s">
        <v>37</v>
      </c>
      <c r="E165" s="2">
        <v>10.0</v>
      </c>
      <c r="F165" s="2" t="s">
        <v>12</v>
      </c>
      <c r="G165" s="2"/>
      <c r="H165" s="2"/>
      <c r="I165" s="2"/>
    </row>
    <row r="166">
      <c r="A166" s="1" t="s">
        <v>179</v>
      </c>
      <c r="B166" s="2" t="s">
        <v>91</v>
      </c>
      <c r="C166" s="2"/>
      <c r="D166" s="2" t="s">
        <v>11</v>
      </c>
      <c r="E166" s="2">
        <v>10.0</v>
      </c>
      <c r="F166" s="2" t="s">
        <v>12</v>
      </c>
      <c r="G166" s="2"/>
      <c r="H166" s="2"/>
      <c r="I166" s="2"/>
    </row>
    <row r="167">
      <c r="A167" s="1" t="s">
        <v>180</v>
      </c>
      <c r="B167" s="2" t="s">
        <v>91</v>
      </c>
      <c r="C167" s="2"/>
      <c r="D167" s="2" t="s">
        <v>11</v>
      </c>
      <c r="E167" s="2">
        <v>10.0</v>
      </c>
      <c r="F167" s="2" t="s">
        <v>12</v>
      </c>
      <c r="G167" s="2"/>
      <c r="H167" s="2"/>
      <c r="I167" s="2"/>
    </row>
    <row r="168">
      <c r="A168" s="1" t="s">
        <v>180</v>
      </c>
      <c r="B168" s="2" t="s">
        <v>91</v>
      </c>
      <c r="C168" s="2"/>
      <c r="D168" s="2" t="s">
        <v>11</v>
      </c>
      <c r="E168" s="2">
        <v>6.0</v>
      </c>
      <c r="F168" s="2" t="s">
        <v>12</v>
      </c>
      <c r="G168" s="2"/>
      <c r="H168" s="2"/>
      <c r="I168" s="2"/>
    </row>
    <row r="169">
      <c r="A169" s="1" t="s">
        <v>181</v>
      </c>
      <c r="B169" s="2" t="s">
        <v>91</v>
      </c>
      <c r="C169" s="2"/>
      <c r="D169" s="2" t="s">
        <v>11</v>
      </c>
      <c r="E169" s="2">
        <v>10.0</v>
      </c>
      <c r="F169" s="2" t="s">
        <v>12</v>
      </c>
      <c r="G169" s="2"/>
      <c r="H169" s="2"/>
      <c r="I169" s="2"/>
    </row>
    <row r="170">
      <c r="A170" s="1" t="s">
        <v>181</v>
      </c>
      <c r="B170" s="2" t="s">
        <v>91</v>
      </c>
      <c r="C170" s="2"/>
      <c r="D170" s="2" t="s">
        <v>11</v>
      </c>
      <c r="E170" s="2">
        <v>6.0</v>
      </c>
      <c r="F170" s="2" t="s">
        <v>12</v>
      </c>
      <c r="G170" s="2"/>
      <c r="H170" s="2"/>
      <c r="I170" s="2"/>
    </row>
    <row r="171">
      <c r="A171" s="1" t="s">
        <v>182</v>
      </c>
      <c r="B171" s="2" t="s">
        <v>91</v>
      </c>
      <c r="C171" s="2"/>
      <c r="D171" s="2" t="s">
        <v>11</v>
      </c>
      <c r="E171" s="2">
        <v>10.0</v>
      </c>
      <c r="F171" s="2" t="s">
        <v>12</v>
      </c>
      <c r="G171" s="2"/>
      <c r="H171" s="2"/>
      <c r="I171" s="2"/>
    </row>
    <row r="172">
      <c r="A172" s="1" t="s">
        <v>182</v>
      </c>
      <c r="B172" s="2" t="s">
        <v>91</v>
      </c>
      <c r="C172" s="2"/>
      <c r="D172" s="1" t="s">
        <v>11</v>
      </c>
      <c r="E172" s="2">
        <v>4.0</v>
      </c>
      <c r="F172" s="2" t="s">
        <v>12</v>
      </c>
      <c r="G172" s="2"/>
      <c r="H172" s="2"/>
      <c r="I172" s="2"/>
    </row>
    <row r="173">
      <c r="A173" s="1" t="s">
        <v>183</v>
      </c>
      <c r="B173" s="2" t="s">
        <v>91</v>
      </c>
      <c r="C173" s="2"/>
      <c r="D173" s="2" t="s">
        <v>11</v>
      </c>
      <c r="E173" s="2">
        <v>10.0</v>
      </c>
      <c r="F173" s="2" t="s">
        <v>12</v>
      </c>
      <c r="G173" s="2"/>
      <c r="H173" s="2"/>
      <c r="I173" s="2"/>
    </row>
    <row r="174">
      <c r="A174" s="1" t="s">
        <v>184</v>
      </c>
      <c r="B174" s="2" t="s">
        <v>91</v>
      </c>
      <c r="C174" s="2"/>
      <c r="D174" s="2" t="s">
        <v>11</v>
      </c>
      <c r="E174" s="2">
        <v>10.0</v>
      </c>
      <c r="F174" s="2" t="s">
        <v>12</v>
      </c>
      <c r="G174" s="2"/>
      <c r="H174" s="2"/>
      <c r="I174" s="2"/>
    </row>
    <row r="175">
      <c r="A175" s="2" t="s">
        <v>185</v>
      </c>
      <c r="B175" s="2" t="s">
        <v>91</v>
      </c>
      <c r="C175" s="2"/>
      <c r="D175" s="2" t="s">
        <v>73</v>
      </c>
      <c r="E175" s="2">
        <v>1.0</v>
      </c>
      <c r="F175" s="2" t="s">
        <v>74</v>
      </c>
      <c r="G175" s="2"/>
      <c r="H175" s="2"/>
      <c r="I175" s="2"/>
    </row>
    <row r="176">
      <c r="A176" s="2" t="s">
        <v>186</v>
      </c>
      <c r="B176" s="2" t="s">
        <v>91</v>
      </c>
      <c r="C176" s="1"/>
      <c r="D176" s="2"/>
      <c r="E176" s="2"/>
      <c r="F176" s="2"/>
      <c r="G176" s="2"/>
      <c r="H176" s="2"/>
      <c r="I176" s="2"/>
    </row>
    <row r="177">
      <c r="A177" s="2" t="s">
        <v>187</v>
      </c>
      <c r="B177" s="2" t="s">
        <v>91</v>
      </c>
      <c r="C177" s="1"/>
      <c r="D177" s="2"/>
      <c r="E177" s="2"/>
      <c r="F177" s="2"/>
      <c r="G177" s="2"/>
      <c r="H177" s="2"/>
      <c r="I177" s="2"/>
    </row>
    <row r="178">
      <c r="A178" s="2" t="s">
        <v>188</v>
      </c>
      <c r="B178" s="2" t="s">
        <v>91</v>
      </c>
      <c r="C178" s="1"/>
      <c r="D178" s="2"/>
      <c r="E178" s="2"/>
      <c r="F178" s="2"/>
      <c r="G178" s="2"/>
      <c r="H178" s="2"/>
      <c r="I178" s="2"/>
    </row>
    <row r="179">
      <c r="A179" s="2" t="s">
        <v>189</v>
      </c>
      <c r="B179" s="2" t="s">
        <v>91</v>
      </c>
      <c r="C179" s="1"/>
      <c r="D179" s="2"/>
      <c r="E179" s="2"/>
      <c r="F179" s="2"/>
      <c r="G179" s="2"/>
      <c r="H179" s="2"/>
      <c r="I179" s="2"/>
    </row>
    <row r="180">
      <c r="A180" s="2" t="s">
        <v>190</v>
      </c>
      <c r="B180" s="2" t="s">
        <v>91</v>
      </c>
      <c r="C180" s="1"/>
      <c r="D180" s="2"/>
      <c r="E180" s="2"/>
      <c r="F180" s="2"/>
      <c r="G180" s="2"/>
      <c r="H180" s="2"/>
      <c r="I180" s="2"/>
    </row>
    <row r="181">
      <c r="A181" s="2" t="s">
        <v>191</v>
      </c>
      <c r="B181" s="2" t="s">
        <v>91</v>
      </c>
      <c r="C181" s="1"/>
      <c r="D181" s="2"/>
      <c r="E181" s="2"/>
      <c r="F181" s="2"/>
      <c r="G181" s="2"/>
      <c r="H181" s="2"/>
      <c r="I181" s="2"/>
    </row>
    <row r="182">
      <c r="A182" s="2" t="s">
        <v>192</v>
      </c>
      <c r="B182" s="2" t="s">
        <v>91</v>
      </c>
      <c r="C182" s="1"/>
      <c r="D182" s="2"/>
      <c r="E182" s="2"/>
      <c r="F182" s="2"/>
      <c r="G182" s="2"/>
      <c r="H182" s="2"/>
      <c r="I182" s="2"/>
    </row>
    <row r="183">
      <c r="A183" s="2" t="s">
        <v>193</v>
      </c>
      <c r="B183" s="2" t="s">
        <v>91</v>
      </c>
      <c r="C183" s="1"/>
      <c r="D183" s="2"/>
      <c r="E183" s="2"/>
      <c r="F183" s="2"/>
      <c r="G183" s="2"/>
      <c r="H183" s="2"/>
      <c r="I183" s="2"/>
    </row>
    <row r="184">
      <c r="A184" s="1" t="s">
        <v>194</v>
      </c>
      <c r="B184" s="2" t="s">
        <v>91</v>
      </c>
      <c r="C184" s="2"/>
      <c r="D184" s="2" t="s">
        <v>11</v>
      </c>
      <c r="E184" s="2">
        <v>10.0</v>
      </c>
      <c r="F184" s="2" t="s">
        <v>12</v>
      </c>
      <c r="G184" s="2"/>
      <c r="H184" s="2"/>
      <c r="I184" s="2"/>
    </row>
    <row r="185">
      <c r="A185" s="2" t="s">
        <v>195</v>
      </c>
      <c r="B185" s="2" t="s">
        <v>91</v>
      </c>
      <c r="C185" s="2"/>
      <c r="D185" s="2" t="s">
        <v>11</v>
      </c>
      <c r="E185" s="2">
        <v>10.0</v>
      </c>
      <c r="F185" s="2" t="s">
        <v>12</v>
      </c>
      <c r="G185" s="2"/>
      <c r="H185" s="2"/>
      <c r="I185" s="2"/>
    </row>
    <row r="186">
      <c r="A186" s="1" t="s">
        <v>196</v>
      </c>
      <c r="B186" s="2" t="s">
        <v>91</v>
      </c>
      <c r="C186" s="2"/>
      <c r="D186" s="2" t="s">
        <v>11</v>
      </c>
      <c r="E186" s="2">
        <v>10.0</v>
      </c>
      <c r="F186" s="2" t="s">
        <v>12</v>
      </c>
      <c r="G186" s="2"/>
      <c r="H186" s="2"/>
      <c r="I186" s="2"/>
    </row>
    <row r="187">
      <c r="A187" s="2" t="s">
        <v>197</v>
      </c>
      <c r="B187" s="2" t="s">
        <v>91</v>
      </c>
      <c r="C187" s="2"/>
      <c r="D187" s="2" t="s">
        <v>37</v>
      </c>
      <c r="E187" s="2">
        <v>5.0</v>
      </c>
      <c r="F187" s="2"/>
      <c r="G187" s="2"/>
      <c r="H187" s="2"/>
      <c r="I187" s="2"/>
    </row>
    <row r="188">
      <c r="A188" s="2" t="s">
        <v>198</v>
      </c>
      <c r="B188" s="2" t="s">
        <v>91</v>
      </c>
      <c r="C188" s="2"/>
      <c r="D188" s="2" t="s">
        <v>11</v>
      </c>
      <c r="E188" s="2">
        <v>5.0</v>
      </c>
      <c r="F188" s="2" t="s">
        <v>12</v>
      </c>
      <c r="G188" s="2"/>
      <c r="H188" s="2"/>
      <c r="I188" s="2"/>
    </row>
    <row r="189">
      <c r="A189" s="2" t="s">
        <v>199</v>
      </c>
      <c r="B189" s="2" t="s">
        <v>91</v>
      </c>
      <c r="C189" s="1"/>
      <c r="D189" s="2"/>
      <c r="E189" s="2"/>
      <c r="F189" s="2"/>
      <c r="G189" s="2"/>
      <c r="H189" s="2"/>
      <c r="I189" s="2"/>
    </row>
    <row r="190">
      <c r="A190" s="2" t="s">
        <v>200</v>
      </c>
      <c r="B190" s="2" t="s">
        <v>91</v>
      </c>
      <c r="C190" s="2"/>
      <c r="D190" s="2" t="s">
        <v>11</v>
      </c>
      <c r="E190" s="2">
        <v>10.0</v>
      </c>
      <c r="F190" s="2" t="s">
        <v>12</v>
      </c>
      <c r="G190" s="2"/>
      <c r="H190" s="2"/>
      <c r="I190" s="2"/>
    </row>
    <row r="191">
      <c r="A191" s="2" t="s">
        <v>201</v>
      </c>
      <c r="B191" s="2" t="s">
        <v>91</v>
      </c>
      <c r="C191" s="2"/>
      <c r="D191" s="2" t="s">
        <v>11</v>
      </c>
      <c r="E191" s="2">
        <v>15.0</v>
      </c>
      <c r="F191" s="2" t="s">
        <v>12</v>
      </c>
      <c r="G191" s="2"/>
      <c r="H191" s="2"/>
      <c r="I191" s="2"/>
    </row>
    <row r="192">
      <c r="A192" s="2" t="s">
        <v>202</v>
      </c>
      <c r="B192" s="2" t="s">
        <v>91</v>
      </c>
      <c r="C192" s="2"/>
      <c r="D192" s="2" t="s">
        <v>11</v>
      </c>
      <c r="E192" s="2">
        <v>10.0</v>
      </c>
      <c r="F192" s="2" t="s">
        <v>12</v>
      </c>
      <c r="G192" s="2"/>
      <c r="H192" s="2"/>
      <c r="I192" s="2"/>
    </row>
    <row r="193">
      <c r="A193" s="2" t="s">
        <v>203</v>
      </c>
      <c r="B193" s="2" t="s">
        <v>91</v>
      </c>
      <c r="C193" s="2"/>
      <c r="D193" s="2" t="s">
        <v>37</v>
      </c>
      <c r="E193" s="2">
        <v>10.0</v>
      </c>
      <c r="F193" s="2" t="s">
        <v>12</v>
      </c>
      <c r="G193" s="2"/>
      <c r="H193" s="2"/>
      <c r="I193" s="2"/>
    </row>
    <row r="194">
      <c r="A194" s="2" t="s">
        <v>204</v>
      </c>
      <c r="B194" s="2" t="s">
        <v>91</v>
      </c>
      <c r="C194" s="2"/>
      <c r="D194" s="2" t="s">
        <v>11</v>
      </c>
      <c r="E194" s="2">
        <v>10.0</v>
      </c>
      <c r="F194" s="2" t="s">
        <v>12</v>
      </c>
      <c r="G194" s="2"/>
      <c r="H194" s="2"/>
      <c r="I194" s="2"/>
    </row>
    <row r="195">
      <c r="A195" s="2" t="s">
        <v>205</v>
      </c>
      <c r="B195" s="2" t="s">
        <v>91</v>
      </c>
      <c r="C195" s="2"/>
      <c r="D195" s="2" t="s">
        <v>37</v>
      </c>
      <c r="E195" s="2">
        <v>10.0</v>
      </c>
      <c r="F195" s="2" t="s">
        <v>12</v>
      </c>
      <c r="G195" s="2"/>
      <c r="H195" s="2"/>
      <c r="I195" s="2"/>
    </row>
    <row r="196">
      <c r="A196" s="1" t="s">
        <v>206</v>
      </c>
      <c r="B196" s="2" t="s">
        <v>91</v>
      </c>
      <c r="C196" s="2"/>
      <c r="D196" s="2" t="s">
        <v>11</v>
      </c>
      <c r="E196" s="2">
        <v>2.0</v>
      </c>
      <c r="F196" s="2" t="s">
        <v>12</v>
      </c>
      <c r="G196" s="2"/>
      <c r="H196" s="2"/>
      <c r="I196" s="2"/>
    </row>
    <row r="197">
      <c r="A197" s="2" t="s">
        <v>207</v>
      </c>
      <c r="B197" s="2" t="s">
        <v>91</v>
      </c>
      <c r="C197" s="2"/>
      <c r="D197" s="2" t="s">
        <v>37</v>
      </c>
      <c r="E197" s="2">
        <v>10.0</v>
      </c>
      <c r="F197" s="2" t="s">
        <v>12</v>
      </c>
      <c r="G197" s="2"/>
      <c r="H197" s="2"/>
      <c r="I197" s="2"/>
    </row>
    <row r="198">
      <c r="A198" s="1" t="s">
        <v>208</v>
      </c>
      <c r="B198" s="2" t="s">
        <v>91</v>
      </c>
      <c r="C198" s="2"/>
      <c r="D198" s="2" t="s">
        <v>73</v>
      </c>
      <c r="E198" s="2">
        <v>1.0</v>
      </c>
      <c r="F198" s="2" t="s">
        <v>74</v>
      </c>
      <c r="G198" s="2"/>
      <c r="H198" s="2"/>
      <c r="I198" s="2"/>
    </row>
    <row r="199">
      <c r="A199" s="2" t="s">
        <v>209</v>
      </c>
      <c r="B199" s="2" t="s">
        <v>91</v>
      </c>
      <c r="C199" s="2"/>
      <c r="D199" s="2" t="s">
        <v>11</v>
      </c>
      <c r="E199" s="2">
        <v>10.0</v>
      </c>
      <c r="F199" s="2" t="s">
        <v>12</v>
      </c>
      <c r="G199" s="2"/>
      <c r="H199" s="2"/>
      <c r="I199" s="2"/>
    </row>
    <row r="200">
      <c r="A200" s="2" t="s">
        <v>209</v>
      </c>
      <c r="B200" s="2" t="s">
        <v>91</v>
      </c>
      <c r="C200" s="2"/>
      <c r="D200" s="2" t="s">
        <v>11</v>
      </c>
      <c r="E200" s="2">
        <v>15.0</v>
      </c>
      <c r="F200" s="2" t="s">
        <v>12</v>
      </c>
      <c r="G200" s="2"/>
      <c r="H200" s="2"/>
      <c r="I200" s="2"/>
    </row>
    <row r="201">
      <c r="A201" s="2" t="s">
        <v>210</v>
      </c>
      <c r="B201" s="2" t="s">
        <v>91</v>
      </c>
      <c r="C201" s="2"/>
      <c r="D201" s="2" t="s">
        <v>11</v>
      </c>
      <c r="E201" s="2">
        <v>15.0</v>
      </c>
      <c r="F201" s="2" t="s">
        <v>12</v>
      </c>
      <c r="G201" s="2"/>
      <c r="H201" s="2"/>
      <c r="I201" s="2"/>
    </row>
    <row r="202">
      <c r="A202" s="2" t="s">
        <v>211</v>
      </c>
      <c r="B202" s="2" t="s">
        <v>91</v>
      </c>
      <c r="C202" s="1"/>
      <c r="D202" s="2"/>
      <c r="E202" s="2"/>
      <c r="F202" s="2"/>
      <c r="G202" s="2"/>
      <c r="H202" s="2"/>
      <c r="I202" s="2"/>
    </row>
    <row r="203">
      <c r="A203" s="2" t="s">
        <v>212</v>
      </c>
      <c r="B203" s="2" t="s">
        <v>91</v>
      </c>
      <c r="C203" s="1"/>
      <c r="D203" s="2"/>
      <c r="E203" s="2"/>
      <c r="F203" s="2"/>
      <c r="G203" s="2"/>
      <c r="H203" s="2"/>
      <c r="I203" s="2"/>
    </row>
    <row r="204">
      <c r="A204" s="2" t="s">
        <v>213</v>
      </c>
      <c r="B204" s="2" t="s">
        <v>91</v>
      </c>
      <c r="C204" s="2"/>
      <c r="D204" s="2" t="s">
        <v>11</v>
      </c>
      <c r="E204" s="2">
        <v>15.0</v>
      </c>
      <c r="F204" s="2" t="s">
        <v>12</v>
      </c>
      <c r="G204" s="2"/>
      <c r="H204" s="2"/>
      <c r="I204" s="2"/>
    </row>
    <row r="205">
      <c r="A205" s="2" t="s">
        <v>214</v>
      </c>
      <c r="B205" s="2" t="s">
        <v>91</v>
      </c>
      <c r="C205" s="1"/>
      <c r="D205" s="2"/>
      <c r="E205" s="2"/>
      <c r="F205" s="2"/>
      <c r="G205" s="2"/>
      <c r="H205" s="2"/>
      <c r="I205" s="2"/>
    </row>
    <row r="206">
      <c r="A206" s="2" t="s">
        <v>215</v>
      </c>
      <c r="B206" s="2" t="s">
        <v>91</v>
      </c>
      <c r="C206" s="1"/>
      <c r="D206" s="2"/>
      <c r="E206" s="2"/>
      <c r="F206" s="2"/>
      <c r="G206" s="2"/>
      <c r="H206" s="2"/>
      <c r="I206" s="2"/>
    </row>
    <row r="207">
      <c r="A207" s="2" t="s">
        <v>216</v>
      </c>
      <c r="B207" s="2" t="s">
        <v>91</v>
      </c>
      <c r="C207" s="1"/>
      <c r="D207" s="2"/>
      <c r="E207" s="2"/>
      <c r="F207" s="2"/>
      <c r="G207" s="2"/>
      <c r="H207" s="2"/>
      <c r="I207" s="2"/>
    </row>
    <row r="208">
      <c r="A208" s="2" t="s">
        <v>217</v>
      </c>
      <c r="B208" s="2" t="s">
        <v>91</v>
      </c>
      <c r="C208" s="1"/>
      <c r="D208" s="2"/>
      <c r="E208" s="2"/>
      <c r="F208" s="2"/>
      <c r="G208" s="2"/>
      <c r="H208" s="2"/>
      <c r="I208" s="2"/>
    </row>
    <row r="209">
      <c r="A209" s="2" t="s">
        <v>218</v>
      </c>
      <c r="B209" s="2" t="s">
        <v>91</v>
      </c>
      <c r="C209" s="1"/>
      <c r="D209" s="2"/>
      <c r="E209" s="2"/>
      <c r="F209" s="2"/>
      <c r="G209" s="2"/>
      <c r="H209" s="2"/>
      <c r="I209" s="2"/>
    </row>
    <row r="210">
      <c r="A210" s="2" t="s">
        <v>219</v>
      </c>
      <c r="B210" s="2" t="s">
        <v>91</v>
      </c>
      <c r="C210" s="1"/>
      <c r="D210" s="2"/>
      <c r="E210" s="2"/>
      <c r="F210" s="2"/>
      <c r="G210" s="2"/>
      <c r="H210" s="2"/>
      <c r="I210" s="2"/>
    </row>
    <row r="211">
      <c r="A211" s="2" t="s">
        <v>220</v>
      </c>
      <c r="B211" s="2" t="s">
        <v>91</v>
      </c>
      <c r="C211" s="1"/>
      <c r="D211" s="2"/>
      <c r="E211" s="2"/>
      <c r="F211" s="2"/>
      <c r="G211" s="2"/>
      <c r="H211" s="2"/>
      <c r="I211" s="2"/>
    </row>
    <row r="212">
      <c r="A212" s="2" t="s">
        <v>221</v>
      </c>
      <c r="B212" s="2" t="s">
        <v>91</v>
      </c>
      <c r="C212" s="2"/>
      <c r="D212" s="2" t="s">
        <v>37</v>
      </c>
      <c r="E212" s="2">
        <v>10.0</v>
      </c>
      <c r="F212" s="2" t="s">
        <v>12</v>
      </c>
      <c r="G212" s="2"/>
      <c r="H212" s="2"/>
      <c r="I212" s="2"/>
    </row>
    <row r="213">
      <c r="A213" s="2" t="s">
        <v>222</v>
      </c>
      <c r="B213" s="2" t="s">
        <v>91</v>
      </c>
      <c r="C213" s="2"/>
      <c r="D213" s="2" t="s">
        <v>11</v>
      </c>
      <c r="E213" s="2">
        <v>10.0</v>
      </c>
      <c r="F213" s="2" t="s">
        <v>12</v>
      </c>
      <c r="G213" s="2"/>
      <c r="H213" s="2"/>
      <c r="I213" s="2"/>
    </row>
    <row r="214">
      <c r="A214" s="2" t="s">
        <v>223</v>
      </c>
      <c r="B214" s="2" t="s">
        <v>91</v>
      </c>
      <c r="C214" s="2"/>
      <c r="D214" s="2" t="s">
        <v>11</v>
      </c>
      <c r="E214" s="2">
        <v>10.0</v>
      </c>
      <c r="F214" s="2" t="s">
        <v>12</v>
      </c>
      <c r="G214" s="2"/>
      <c r="H214" s="2"/>
      <c r="I214" s="2"/>
    </row>
    <row r="215">
      <c r="A215" s="1" t="s">
        <v>224</v>
      </c>
      <c r="B215" s="2" t="s">
        <v>91</v>
      </c>
      <c r="C215" s="2"/>
      <c r="D215" s="2" t="s">
        <v>11</v>
      </c>
      <c r="E215" s="2">
        <v>10.0</v>
      </c>
      <c r="F215" s="2" t="s">
        <v>12</v>
      </c>
      <c r="G215" s="2"/>
      <c r="H215" s="2"/>
      <c r="I215" s="2"/>
    </row>
    <row r="216">
      <c r="A216" s="1" t="s">
        <v>225</v>
      </c>
      <c r="B216" s="2" t="s">
        <v>91</v>
      </c>
      <c r="C216" s="2"/>
      <c r="D216" s="2" t="s">
        <v>11</v>
      </c>
      <c r="E216" s="2">
        <v>10.0</v>
      </c>
      <c r="F216" s="2" t="s">
        <v>12</v>
      </c>
      <c r="G216" s="2"/>
      <c r="H216" s="2"/>
      <c r="I216" s="2"/>
    </row>
    <row r="217">
      <c r="A217" s="1" t="s">
        <v>226</v>
      </c>
      <c r="B217" s="2" t="s">
        <v>20</v>
      </c>
      <c r="C217" s="2"/>
      <c r="D217" s="2" t="s">
        <v>11</v>
      </c>
      <c r="E217" s="2">
        <v>10.0</v>
      </c>
      <c r="F217" s="2" t="s">
        <v>12</v>
      </c>
      <c r="G217" s="2"/>
      <c r="H217" s="2"/>
      <c r="I217" s="2"/>
    </row>
    <row r="218">
      <c r="A218" s="1" t="s">
        <v>227</v>
      </c>
      <c r="B218" s="2" t="s">
        <v>20</v>
      </c>
      <c r="C218" s="2"/>
      <c r="D218" s="2" t="s">
        <v>11</v>
      </c>
      <c r="E218" s="2">
        <v>10.0</v>
      </c>
      <c r="F218" s="2" t="s">
        <v>12</v>
      </c>
      <c r="G218" s="2"/>
      <c r="H218" s="2"/>
      <c r="I218" s="2"/>
    </row>
    <row r="219">
      <c r="A219" s="1" t="s">
        <v>228</v>
      </c>
      <c r="B219" s="2" t="s">
        <v>20</v>
      </c>
      <c r="C219" s="2"/>
      <c r="D219" s="2" t="s">
        <v>11</v>
      </c>
      <c r="E219" s="2">
        <v>10.0</v>
      </c>
      <c r="F219" s="2" t="s">
        <v>12</v>
      </c>
      <c r="G219" s="2"/>
      <c r="H219" s="2"/>
      <c r="I219" s="2"/>
    </row>
    <row r="220">
      <c r="A220" s="1" t="s">
        <v>229</v>
      </c>
      <c r="B220" s="2" t="s">
        <v>20</v>
      </c>
      <c r="C220" s="2"/>
      <c r="D220" s="2" t="s">
        <v>11</v>
      </c>
      <c r="E220" s="2">
        <v>10.0</v>
      </c>
      <c r="F220" s="2" t="s">
        <v>12</v>
      </c>
      <c r="G220" s="2"/>
      <c r="H220" s="2"/>
      <c r="I220" s="2"/>
    </row>
    <row r="221">
      <c r="A221" s="1" t="s">
        <v>230</v>
      </c>
      <c r="B221" s="2" t="s">
        <v>20</v>
      </c>
      <c r="C221" s="2"/>
      <c r="D221" s="2" t="s">
        <v>11</v>
      </c>
      <c r="E221" s="2">
        <v>10.0</v>
      </c>
      <c r="F221" s="2" t="s">
        <v>12</v>
      </c>
      <c r="G221" s="2"/>
      <c r="H221" s="2"/>
      <c r="I221" s="2"/>
    </row>
    <row r="222">
      <c r="A222" s="1" t="s">
        <v>231</v>
      </c>
      <c r="B222" s="2" t="s">
        <v>20</v>
      </c>
      <c r="C222" s="2"/>
      <c r="D222" s="2" t="s">
        <v>11</v>
      </c>
      <c r="E222" s="2">
        <v>10.0</v>
      </c>
      <c r="F222" s="2" t="s">
        <v>12</v>
      </c>
      <c r="G222" s="2"/>
      <c r="H222" s="2"/>
      <c r="I222" s="2"/>
    </row>
    <row r="223">
      <c r="A223" s="2" t="s">
        <v>232</v>
      </c>
      <c r="B223" s="2" t="s">
        <v>20</v>
      </c>
      <c r="C223" s="1"/>
      <c r="D223" s="2"/>
      <c r="E223" s="2"/>
      <c r="F223" s="2"/>
      <c r="G223" s="2"/>
      <c r="H223" s="2"/>
      <c r="I223" s="2"/>
    </row>
    <row r="224">
      <c r="A224" s="2" t="s">
        <v>233</v>
      </c>
      <c r="B224" s="2" t="s">
        <v>20</v>
      </c>
      <c r="C224" s="1"/>
      <c r="D224" s="2"/>
      <c r="E224" s="2"/>
      <c r="F224" s="2"/>
      <c r="G224" s="2"/>
      <c r="H224" s="2"/>
      <c r="I224" s="2"/>
    </row>
    <row r="225">
      <c r="A225" s="1" t="s">
        <v>234</v>
      </c>
      <c r="B225" s="2" t="s">
        <v>20</v>
      </c>
      <c r="C225" s="2"/>
      <c r="D225" s="2" t="s">
        <v>11</v>
      </c>
      <c r="E225" s="2">
        <v>10.0</v>
      </c>
      <c r="F225" s="2" t="s">
        <v>12</v>
      </c>
      <c r="G225" s="2"/>
      <c r="H225" s="2"/>
      <c r="I225" s="2"/>
    </row>
    <row r="226">
      <c r="A226" s="1" t="s">
        <v>235</v>
      </c>
      <c r="B226" s="2" t="s">
        <v>20</v>
      </c>
      <c r="C226" s="2"/>
      <c r="D226" s="2" t="s">
        <v>11</v>
      </c>
      <c r="E226" s="2">
        <v>10.0</v>
      </c>
      <c r="F226" s="2" t="s">
        <v>12</v>
      </c>
      <c r="G226" s="2"/>
      <c r="H226" s="2"/>
      <c r="I226" s="2"/>
    </row>
    <row r="227">
      <c r="A227" s="2" t="s">
        <v>236</v>
      </c>
      <c r="B227" s="2" t="s">
        <v>20</v>
      </c>
      <c r="C227" s="2"/>
      <c r="D227" s="2" t="s">
        <v>11</v>
      </c>
      <c r="E227" s="2">
        <v>10.0</v>
      </c>
      <c r="F227" s="2" t="s">
        <v>12</v>
      </c>
      <c r="G227" s="2"/>
      <c r="H227" s="2"/>
      <c r="I227" s="2"/>
    </row>
    <row r="228">
      <c r="A228" s="1" t="s">
        <v>237</v>
      </c>
      <c r="B228" s="2" t="s">
        <v>20</v>
      </c>
      <c r="C228" s="2"/>
      <c r="D228" s="2" t="s">
        <v>11</v>
      </c>
      <c r="E228" s="2">
        <v>10.0</v>
      </c>
      <c r="F228" s="2" t="s">
        <v>12</v>
      </c>
      <c r="G228" s="2"/>
      <c r="H228" s="2"/>
      <c r="I228" s="2"/>
    </row>
    <row r="229">
      <c r="A229" s="1" t="s">
        <v>238</v>
      </c>
      <c r="B229" s="2" t="s">
        <v>20</v>
      </c>
      <c r="C229" s="2"/>
      <c r="D229" s="2" t="s">
        <v>11</v>
      </c>
      <c r="E229" s="2">
        <v>10.0</v>
      </c>
      <c r="F229" s="2" t="s">
        <v>12</v>
      </c>
      <c r="G229" s="2"/>
      <c r="H229" s="2"/>
      <c r="I229" s="2"/>
    </row>
    <row r="230">
      <c r="A230" s="1" t="s">
        <v>239</v>
      </c>
      <c r="B230" s="2" t="s">
        <v>20</v>
      </c>
      <c r="C230" s="2"/>
      <c r="D230" s="2" t="s">
        <v>11</v>
      </c>
      <c r="E230" s="2">
        <v>10.0</v>
      </c>
      <c r="F230" s="2" t="s">
        <v>12</v>
      </c>
      <c r="G230" s="2"/>
      <c r="H230" s="2"/>
      <c r="I230" s="2"/>
    </row>
    <row r="231">
      <c r="A231" s="1" t="s">
        <v>240</v>
      </c>
      <c r="B231" s="2" t="s">
        <v>20</v>
      </c>
      <c r="C231" s="2"/>
      <c r="D231" s="2" t="s">
        <v>11</v>
      </c>
      <c r="E231" s="2">
        <v>10.0</v>
      </c>
      <c r="F231" s="2" t="s">
        <v>12</v>
      </c>
      <c r="G231" s="2"/>
      <c r="H231" s="2"/>
      <c r="I231" s="2"/>
    </row>
    <row r="232">
      <c r="A232" s="1" t="s">
        <v>241</v>
      </c>
      <c r="B232" s="2" t="s">
        <v>20</v>
      </c>
      <c r="C232" s="2"/>
      <c r="D232" s="2" t="s">
        <v>11</v>
      </c>
      <c r="E232" s="2">
        <v>10.0</v>
      </c>
      <c r="F232" s="2" t="s">
        <v>12</v>
      </c>
      <c r="G232" s="2"/>
      <c r="H232" s="2"/>
      <c r="I232" s="2"/>
    </row>
    <row r="233">
      <c r="A233" s="1" t="s">
        <v>242</v>
      </c>
      <c r="B233" s="2" t="s">
        <v>20</v>
      </c>
      <c r="C233" s="2"/>
      <c r="D233" s="2" t="s">
        <v>11</v>
      </c>
      <c r="E233" s="2">
        <v>10.0</v>
      </c>
      <c r="F233" s="2" t="s">
        <v>12</v>
      </c>
      <c r="G233" s="2"/>
      <c r="H233" s="2"/>
      <c r="I233" s="2"/>
    </row>
    <row r="234">
      <c r="A234" s="1" t="s">
        <v>243</v>
      </c>
      <c r="B234" s="2" t="s">
        <v>20</v>
      </c>
      <c r="C234" s="2"/>
      <c r="D234" s="2" t="s">
        <v>37</v>
      </c>
      <c r="E234" s="2">
        <v>10.0</v>
      </c>
      <c r="F234" s="2" t="s">
        <v>12</v>
      </c>
      <c r="G234" s="2"/>
      <c r="H234" s="2"/>
      <c r="I234" s="2"/>
    </row>
    <row r="235">
      <c r="A235" s="1" t="s">
        <v>244</v>
      </c>
      <c r="B235" s="2" t="s">
        <v>20</v>
      </c>
      <c r="C235" s="2"/>
      <c r="D235" s="2" t="s">
        <v>37</v>
      </c>
      <c r="E235" s="2">
        <v>10.0</v>
      </c>
      <c r="F235" s="2" t="s">
        <v>12</v>
      </c>
      <c r="G235" s="2"/>
      <c r="H235" s="2"/>
      <c r="I235" s="2"/>
    </row>
    <row r="236">
      <c r="A236" s="1" t="s">
        <v>245</v>
      </c>
      <c r="B236" s="2" t="s">
        <v>20</v>
      </c>
      <c r="C236" s="2"/>
      <c r="D236" s="2" t="s">
        <v>37</v>
      </c>
      <c r="E236" s="2">
        <v>10.0</v>
      </c>
      <c r="F236" s="2" t="s">
        <v>12</v>
      </c>
      <c r="G236" s="2"/>
      <c r="H236" s="2"/>
      <c r="I236" s="2"/>
    </row>
    <row r="237">
      <c r="A237" s="1" t="s">
        <v>246</v>
      </c>
      <c r="B237" s="2" t="s">
        <v>20</v>
      </c>
      <c r="C237" s="2"/>
      <c r="D237" s="2" t="s">
        <v>11</v>
      </c>
      <c r="E237" s="2">
        <v>10.0</v>
      </c>
      <c r="F237" s="2" t="s">
        <v>12</v>
      </c>
      <c r="G237" s="2"/>
      <c r="H237" s="2"/>
      <c r="I237" s="2"/>
    </row>
    <row r="238">
      <c r="A238" s="1" t="s">
        <v>247</v>
      </c>
      <c r="B238" s="2" t="s">
        <v>20</v>
      </c>
      <c r="C238" s="2"/>
      <c r="D238" s="2" t="s">
        <v>37</v>
      </c>
      <c r="E238" s="2">
        <v>10.0</v>
      </c>
      <c r="F238" s="2" t="s">
        <v>12</v>
      </c>
      <c r="G238" s="2"/>
      <c r="H238" s="2"/>
      <c r="I238" s="2"/>
    </row>
    <row r="239">
      <c r="A239" s="2" t="s">
        <v>248</v>
      </c>
      <c r="B239" s="2" t="s">
        <v>20</v>
      </c>
      <c r="C239" s="2"/>
      <c r="D239" s="2" t="s">
        <v>11</v>
      </c>
      <c r="E239" s="2">
        <v>10.0</v>
      </c>
      <c r="F239" s="2" t="s">
        <v>12</v>
      </c>
      <c r="G239" s="2"/>
      <c r="H239" s="2"/>
      <c r="I239" s="2"/>
    </row>
    <row r="240">
      <c r="A240" s="2" t="s">
        <v>249</v>
      </c>
      <c r="B240" s="2" t="s">
        <v>20</v>
      </c>
      <c r="C240" s="2"/>
      <c r="D240" s="2" t="s">
        <v>11</v>
      </c>
      <c r="E240" s="2">
        <v>10.0</v>
      </c>
      <c r="F240" s="2" t="s">
        <v>12</v>
      </c>
      <c r="G240" s="2"/>
      <c r="H240" s="2"/>
      <c r="I240" s="2"/>
    </row>
    <row r="241">
      <c r="A241" s="2" t="s">
        <v>250</v>
      </c>
      <c r="B241" s="2" t="s">
        <v>20</v>
      </c>
      <c r="C241" s="2"/>
      <c r="D241" s="2" t="s">
        <v>11</v>
      </c>
      <c r="E241" s="2">
        <v>10.0</v>
      </c>
      <c r="F241" s="2" t="s">
        <v>12</v>
      </c>
      <c r="G241" s="2"/>
      <c r="H241" s="2"/>
      <c r="I241" s="2"/>
    </row>
    <row r="242">
      <c r="A242" s="1" t="s">
        <v>251</v>
      </c>
      <c r="B242" s="2" t="s">
        <v>20</v>
      </c>
      <c r="C242" s="2"/>
      <c r="D242" s="2" t="s">
        <v>11</v>
      </c>
      <c r="E242" s="2">
        <v>10.0</v>
      </c>
      <c r="F242" s="2" t="s">
        <v>12</v>
      </c>
      <c r="G242" s="2"/>
      <c r="H242" s="2"/>
      <c r="I242" s="2"/>
    </row>
    <row r="243">
      <c r="A243" s="1" t="s">
        <v>252</v>
      </c>
      <c r="B243" s="2" t="s">
        <v>20</v>
      </c>
      <c r="C243" s="2"/>
      <c r="D243" s="2" t="s">
        <v>11</v>
      </c>
      <c r="E243" s="2"/>
      <c r="F243" s="2"/>
      <c r="G243" s="2"/>
      <c r="H243" s="2"/>
      <c r="I243" s="2"/>
    </row>
    <row r="244">
      <c r="A244" s="1" t="s">
        <v>253</v>
      </c>
      <c r="B244" s="2" t="s">
        <v>20</v>
      </c>
      <c r="C244" s="2"/>
      <c r="D244" s="2" t="s">
        <v>11</v>
      </c>
      <c r="E244" s="2">
        <v>10.0</v>
      </c>
      <c r="F244" s="2" t="s">
        <v>12</v>
      </c>
      <c r="G244" s="2"/>
      <c r="H244" s="2"/>
      <c r="I244" s="2"/>
    </row>
    <row r="245">
      <c r="A245" s="1" t="s">
        <v>253</v>
      </c>
      <c r="B245" s="2" t="s">
        <v>20</v>
      </c>
      <c r="C245" s="2"/>
      <c r="D245" s="2" t="s">
        <v>11</v>
      </c>
      <c r="E245" s="2">
        <v>15.0</v>
      </c>
      <c r="F245" s="2" t="s">
        <v>12</v>
      </c>
      <c r="G245" s="2"/>
      <c r="H245" s="2"/>
      <c r="I245" s="2"/>
    </row>
    <row r="246">
      <c r="A246" s="1" t="s">
        <v>254</v>
      </c>
      <c r="B246" s="2" t="s">
        <v>20</v>
      </c>
      <c r="C246" s="2"/>
      <c r="D246" s="2" t="s">
        <v>11</v>
      </c>
      <c r="E246" s="2">
        <v>10.0</v>
      </c>
      <c r="F246" s="2" t="s">
        <v>12</v>
      </c>
      <c r="G246" s="2"/>
      <c r="H246" s="2"/>
      <c r="I246" s="2"/>
    </row>
    <row r="247">
      <c r="A247" s="1" t="s">
        <v>254</v>
      </c>
      <c r="B247" s="2" t="s">
        <v>20</v>
      </c>
      <c r="C247" s="2"/>
      <c r="D247" s="2" t="s">
        <v>11</v>
      </c>
      <c r="E247" s="2">
        <v>15.0</v>
      </c>
      <c r="F247" s="2" t="s">
        <v>12</v>
      </c>
      <c r="G247" s="2"/>
      <c r="H247" s="2"/>
      <c r="I247" s="2"/>
    </row>
    <row r="248">
      <c r="A248" s="1" t="s">
        <v>255</v>
      </c>
      <c r="B248" s="2" t="s">
        <v>20</v>
      </c>
      <c r="C248" s="2"/>
      <c r="D248" s="2" t="s">
        <v>11</v>
      </c>
      <c r="E248" s="2">
        <v>10.0</v>
      </c>
      <c r="F248" s="2" t="s">
        <v>12</v>
      </c>
      <c r="G248" s="2"/>
      <c r="H248" s="2"/>
      <c r="I248" s="2"/>
    </row>
    <row r="249">
      <c r="A249" s="1" t="s">
        <v>255</v>
      </c>
      <c r="B249" s="2" t="s">
        <v>20</v>
      </c>
      <c r="C249" s="2"/>
      <c r="D249" s="2" t="s">
        <v>11</v>
      </c>
      <c r="E249" s="2">
        <v>15.0</v>
      </c>
      <c r="F249" s="2" t="s">
        <v>12</v>
      </c>
      <c r="G249" s="2"/>
      <c r="H249" s="2"/>
      <c r="I249" s="2"/>
    </row>
    <row r="250">
      <c r="A250" s="2" t="s">
        <v>256</v>
      </c>
      <c r="B250" s="2" t="s">
        <v>20</v>
      </c>
      <c r="C250" s="1"/>
      <c r="D250" s="2"/>
      <c r="E250" s="2"/>
      <c r="F250" s="2"/>
      <c r="G250" s="2"/>
      <c r="H250" s="2"/>
      <c r="I250" s="2"/>
    </row>
    <row r="251">
      <c r="A251" s="2" t="s">
        <v>257</v>
      </c>
      <c r="B251" s="2" t="s">
        <v>20</v>
      </c>
      <c r="C251" s="2"/>
      <c r="D251" s="2" t="s">
        <v>11</v>
      </c>
      <c r="E251" s="2">
        <v>10.0</v>
      </c>
      <c r="F251" s="2" t="s">
        <v>12</v>
      </c>
      <c r="G251" s="2"/>
      <c r="H251" s="2"/>
      <c r="I251" s="2"/>
    </row>
    <row r="252">
      <c r="A252" s="2" t="s">
        <v>258</v>
      </c>
      <c r="B252" s="2" t="s">
        <v>20</v>
      </c>
      <c r="C252" s="1"/>
      <c r="D252" s="2"/>
      <c r="E252" s="2"/>
      <c r="F252" s="2"/>
      <c r="G252" s="2"/>
      <c r="H252" s="2"/>
      <c r="I252" s="2"/>
    </row>
    <row r="253">
      <c r="A253" s="2" t="s">
        <v>259</v>
      </c>
      <c r="B253" s="2" t="s">
        <v>20</v>
      </c>
      <c r="C253" s="1"/>
      <c r="D253" s="2"/>
      <c r="E253" s="2"/>
      <c r="F253" s="2"/>
      <c r="G253" s="2"/>
      <c r="H253" s="2"/>
      <c r="I253" s="2"/>
    </row>
    <row r="254">
      <c r="A254" s="2" t="s">
        <v>260</v>
      </c>
      <c r="B254" s="2" t="s">
        <v>20</v>
      </c>
      <c r="C254" s="1"/>
      <c r="D254" s="2"/>
      <c r="E254" s="2"/>
      <c r="F254" s="2"/>
      <c r="G254" s="2"/>
      <c r="H254" s="2"/>
      <c r="I254" s="2"/>
    </row>
    <row r="255">
      <c r="A255" s="1" t="s">
        <v>261</v>
      </c>
      <c r="B255" s="2" t="s">
        <v>20</v>
      </c>
      <c r="C255" s="2"/>
      <c r="D255" s="2" t="s">
        <v>11</v>
      </c>
      <c r="E255" s="2">
        <v>14.0</v>
      </c>
      <c r="F255" s="2" t="s">
        <v>12</v>
      </c>
      <c r="G255" s="2"/>
      <c r="H255" s="2"/>
      <c r="I255" s="2"/>
    </row>
    <row r="256">
      <c r="A256" s="2" t="s">
        <v>262</v>
      </c>
      <c r="B256" s="2" t="s">
        <v>20</v>
      </c>
      <c r="C256" s="1"/>
      <c r="D256" s="2"/>
      <c r="E256" s="2"/>
      <c r="F256" s="2"/>
      <c r="G256" s="2"/>
      <c r="H256" s="2"/>
      <c r="I256" s="2"/>
    </row>
    <row r="257">
      <c r="A257" s="2" t="s">
        <v>263</v>
      </c>
      <c r="B257" s="2" t="s">
        <v>20</v>
      </c>
      <c r="C257" s="1"/>
      <c r="D257" s="2"/>
      <c r="E257" s="2"/>
      <c r="F257" s="2"/>
      <c r="G257" s="2"/>
      <c r="H257" s="2"/>
      <c r="I257" s="2"/>
    </row>
    <row r="258">
      <c r="A258" s="1" t="s">
        <v>264</v>
      </c>
      <c r="B258" s="2" t="s">
        <v>20</v>
      </c>
      <c r="C258" s="2"/>
      <c r="D258" s="2" t="s">
        <v>11</v>
      </c>
      <c r="E258" s="2"/>
      <c r="F258" s="2"/>
      <c r="G258" s="2"/>
      <c r="H258" s="2"/>
      <c r="I258" s="2"/>
    </row>
    <row r="259">
      <c r="A259" s="1" t="s">
        <v>265</v>
      </c>
      <c r="B259" s="2" t="s">
        <v>20</v>
      </c>
      <c r="C259" s="2"/>
      <c r="D259" s="2" t="s">
        <v>11</v>
      </c>
      <c r="E259" s="2"/>
      <c r="F259" s="2"/>
      <c r="G259" s="2"/>
      <c r="H259" s="2"/>
      <c r="I259" s="2"/>
    </row>
    <row r="260">
      <c r="A260" s="2" t="s">
        <v>266</v>
      </c>
      <c r="B260" s="2" t="s">
        <v>20</v>
      </c>
      <c r="C260" s="1"/>
      <c r="D260" s="2"/>
      <c r="E260" s="2"/>
      <c r="F260" s="2"/>
      <c r="G260" s="2"/>
      <c r="H260" s="2"/>
      <c r="I260" s="2"/>
    </row>
    <row r="261">
      <c r="A261" s="2" t="s">
        <v>267</v>
      </c>
      <c r="B261" s="2" t="s">
        <v>20</v>
      </c>
      <c r="C261" s="2"/>
      <c r="D261" s="2" t="s">
        <v>11</v>
      </c>
      <c r="E261" s="2">
        <v>10.0</v>
      </c>
      <c r="F261" s="2" t="s">
        <v>12</v>
      </c>
      <c r="G261" s="2"/>
      <c r="H261" s="2"/>
      <c r="I261" s="2"/>
    </row>
    <row r="262">
      <c r="A262" s="1" t="s">
        <v>268</v>
      </c>
      <c r="B262" s="2" t="s">
        <v>20</v>
      </c>
      <c r="C262" s="2"/>
      <c r="D262" s="2" t="s">
        <v>11</v>
      </c>
      <c r="E262" s="2">
        <v>10.0</v>
      </c>
      <c r="F262" s="2" t="s">
        <v>12</v>
      </c>
      <c r="G262" s="2"/>
      <c r="H262" s="2"/>
      <c r="I262" s="2"/>
    </row>
    <row r="263">
      <c r="A263" s="1" t="s">
        <v>268</v>
      </c>
      <c r="B263" s="2" t="s">
        <v>20</v>
      </c>
      <c r="C263" s="2"/>
      <c r="D263" s="2" t="s">
        <v>11</v>
      </c>
      <c r="E263" s="2">
        <v>15.0</v>
      </c>
      <c r="F263" s="2" t="s">
        <v>12</v>
      </c>
      <c r="G263" s="2"/>
      <c r="H263" s="2"/>
      <c r="I263" s="2"/>
    </row>
    <row r="264">
      <c r="A264" s="1" t="s">
        <v>269</v>
      </c>
      <c r="B264" s="2" t="s">
        <v>20</v>
      </c>
      <c r="C264" s="2"/>
      <c r="D264" s="2" t="s">
        <v>11</v>
      </c>
      <c r="E264" s="2">
        <v>10.0</v>
      </c>
      <c r="F264" s="2" t="s">
        <v>12</v>
      </c>
      <c r="G264" s="2"/>
      <c r="H264" s="2"/>
      <c r="I264" s="2"/>
    </row>
    <row r="265">
      <c r="A265" s="1" t="s">
        <v>269</v>
      </c>
      <c r="B265" s="2" t="s">
        <v>20</v>
      </c>
      <c r="C265" s="2"/>
      <c r="D265" s="2" t="s">
        <v>11</v>
      </c>
      <c r="E265" s="2">
        <v>15.0</v>
      </c>
      <c r="F265" s="2" t="s">
        <v>12</v>
      </c>
      <c r="G265" s="2"/>
      <c r="H265" s="2"/>
      <c r="I265" s="2"/>
    </row>
    <row r="266">
      <c r="A266" s="1" t="s">
        <v>270</v>
      </c>
      <c r="B266" s="2" t="s">
        <v>20</v>
      </c>
      <c r="C266" s="2"/>
      <c r="D266" s="2" t="s">
        <v>11</v>
      </c>
      <c r="E266" s="2">
        <v>10.0</v>
      </c>
      <c r="F266" s="2" t="s">
        <v>12</v>
      </c>
      <c r="G266" s="2"/>
      <c r="H266" s="2"/>
      <c r="I266" s="2"/>
    </row>
    <row r="267">
      <c r="A267" s="1" t="s">
        <v>271</v>
      </c>
      <c r="B267" s="2" t="s">
        <v>20</v>
      </c>
      <c r="C267" s="2"/>
      <c r="D267" s="2" t="s">
        <v>11</v>
      </c>
      <c r="E267" s="2">
        <v>10.0</v>
      </c>
      <c r="F267" s="2" t="s">
        <v>12</v>
      </c>
      <c r="G267" s="2"/>
      <c r="H267" s="2"/>
      <c r="I267" s="2"/>
    </row>
    <row r="268">
      <c r="A268" s="1" t="s">
        <v>272</v>
      </c>
      <c r="B268" s="2" t="s">
        <v>20</v>
      </c>
      <c r="C268" s="2"/>
      <c r="D268" s="2" t="s">
        <v>11</v>
      </c>
      <c r="E268" s="2">
        <v>10.0</v>
      </c>
      <c r="F268" s="2" t="s">
        <v>12</v>
      </c>
      <c r="G268" s="2"/>
      <c r="H268" s="2"/>
      <c r="I268" s="2"/>
    </row>
    <row r="269">
      <c r="A269" s="2" t="s">
        <v>273</v>
      </c>
      <c r="B269" s="2" t="s">
        <v>20</v>
      </c>
      <c r="C269" s="2"/>
      <c r="D269" s="2" t="s">
        <v>11</v>
      </c>
      <c r="E269" s="2">
        <v>15.0</v>
      </c>
      <c r="F269" s="2" t="s">
        <v>12</v>
      </c>
      <c r="G269" s="2"/>
      <c r="H269" s="2"/>
      <c r="I269" s="2"/>
    </row>
    <row r="270">
      <c r="A270" s="2" t="s">
        <v>274</v>
      </c>
      <c r="B270" s="2" t="s">
        <v>20</v>
      </c>
      <c r="C270" s="2"/>
      <c r="D270" s="2" t="s">
        <v>11</v>
      </c>
      <c r="E270" s="2">
        <v>10.0</v>
      </c>
      <c r="F270" s="2" t="s">
        <v>12</v>
      </c>
      <c r="G270" s="2"/>
      <c r="H270" s="2"/>
      <c r="I270" s="2"/>
    </row>
    <row r="271">
      <c r="A271" s="2" t="s">
        <v>275</v>
      </c>
      <c r="B271" s="2" t="s">
        <v>20</v>
      </c>
      <c r="C271" s="2"/>
      <c r="D271" s="2" t="s">
        <v>11</v>
      </c>
      <c r="E271" s="2">
        <v>15.0</v>
      </c>
      <c r="F271" s="2" t="s">
        <v>12</v>
      </c>
      <c r="G271" s="2"/>
      <c r="H271" s="2"/>
      <c r="I271" s="2"/>
    </row>
    <row r="272">
      <c r="A272" s="2" t="s">
        <v>276</v>
      </c>
      <c r="B272" s="2" t="s">
        <v>20</v>
      </c>
      <c r="C272" s="2"/>
      <c r="D272" s="2" t="s">
        <v>11</v>
      </c>
      <c r="E272" s="2">
        <v>15.0</v>
      </c>
      <c r="F272" s="2" t="s">
        <v>12</v>
      </c>
      <c r="G272" s="2"/>
      <c r="H272" s="2"/>
      <c r="I272" s="2"/>
    </row>
    <row r="273">
      <c r="A273" s="2" t="s">
        <v>277</v>
      </c>
      <c r="B273" s="2" t="s">
        <v>20</v>
      </c>
      <c r="C273" s="2"/>
      <c r="D273" s="2" t="s">
        <v>11</v>
      </c>
      <c r="E273" s="2">
        <v>10.0</v>
      </c>
      <c r="F273" s="2" t="s">
        <v>12</v>
      </c>
      <c r="G273" s="2"/>
      <c r="H273" s="2"/>
      <c r="I273" s="2"/>
    </row>
    <row r="274">
      <c r="A274" s="2" t="s">
        <v>278</v>
      </c>
      <c r="B274" s="2" t="s">
        <v>20</v>
      </c>
      <c r="C274" s="2"/>
      <c r="D274" s="2" t="s">
        <v>11</v>
      </c>
      <c r="E274" s="2">
        <v>15.0</v>
      </c>
      <c r="F274" s="2" t="s">
        <v>12</v>
      </c>
      <c r="G274" s="2"/>
      <c r="H274" s="2"/>
      <c r="I274" s="2"/>
    </row>
    <row r="275">
      <c r="A275" s="1" t="s">
        <v>279</v>
      </c>
      <c r="B275" s="2" t="s">
        <v>20</v>
      </c>
      <c r="C275" s="2"/>
      <c r="D275" s="2" t="s">
        <v>11</v>
      </c>
      <c r="E275" s="2">
        <v>10.0</v>
      </c>
      <c r="F275" s="2" t="s">
        <v>12</v>
      </c>
      <c r="G275" s="2"/>
      <c r="H275" s="2"/>
      <c r="I275" s="2"/>
    </row>
    <row r="276">
      <c r="A276" s="1" t="s">
        <v>280</v>
      </c>
      <c r="B276" s="2" t="s">
        <v>20</v>
      </c>
      <c r="C276" s="2"/>
      <c r="D276" s="2" t="s">
        <v>11</v>
      </c>
      <c r="E276" s="2">
        <v>10.0</v>
      </c>
      <c r="F276" s="2" t="s">
        <v>12</v>
      </c>
      <c r="G276" s="2"/>
      <c r="H276" s="2"/>
      <c r="I276" s="2"/>
    </row>
    <row r="277">
      <c r="A277" s="1" t="s">
        <v>281</v>
      </c>
      <c r="B277" s="2" t="s">
        <v>20</v>
      </c>
      <c r="C277" s="2"/>
      <c r="D277" s="2" t="s">
        <v>11</v>
      </c>
      <c r="E277" s="2">
        <v>15.0</v>
      </c>
      <c r="F277" s="2" t="s">
        <v>12</v>
      </c>
      <c r="G277" s="2"/>
      <c r="H277" s="2"/>
      <c r="I277" s="2"/>
    </row>
    <row r="278">
      <c r="A278" s="1" t="s">
        <v>282</v>
      </c>
      <c r="B278" s="2" t="s">
        <v>20</v>
      </c>
      <c r="C278" s="2"/>
      <c r="D278" s="2" t="s">
        <v>11</v>
      </c>
      <c r="E278" s="2">
        <v>15.0</v>
      </c>
      <c r="F278" s="2" t="s">
        <v>12</v>
      </c>
      <c r="G278" s="2"/>
      <c r="H278" s="2"/>
      <c r="I278" s="2"/>
    </row>
    <row r="279">
      <c r="A279" s="1" t="s">
        <v>283</v>
      </c>
      <c r="B279" s="2" t="s">
        <v>20</v>
      </c>
      <c r="C279" s="2"/>
      <c r="D279" s="2" t="s">
        <v>11</v>
      </c>
      <c r="E279" s="2"/>
      <c r="F279" s="2"/>
      <c r="G279" s="2"/>
      <c r="H279" s="2"/>
      <c r="I279" s="2"/>
    </row>
    <row r="280">
      <c r="A280" s="1" t="s">
        <v>284</v>
      </c>
      <c r="B280" s="2" t="s">
        <v>20</v>
      </c>
      <c r="C280" s="2"/>
      <c r="D280" s="2" t="s">
        <v>11</v>
      </c>
      <c r="E280" s="2">
        <v>25.0</v>
      </c>
      <c r="F280" s="2" t="s">
        <v>12</v>
      </c>
      <c r="G280" s="2"/>
      <c r="H280" s="2"/>
      <c r="I280" s="2"/>
    </row>
    <row r="281">
      <c r="A281" s="1" t="s">
        <v>285</v>
      </c>
      <c r="B281" s="2" t="s">
        <v>20</v>
      </c>
      <c r="C281" s="2"/>
      <c r="D281" s="2" t="s">
        <v>11</v>
      </c>
      <c r="E281" s="2"/>
      <c r="F281" s="2"/>
      <c r="G281" s="2"/>
      <c r="H281" s="2"/>
      <c r="I281" s="2"/>
    </row>
    <row r="282">
      <c r="A282" s="1" t="s">
        <v>286</v>
      </c>
      <c r="B282" s="2" t="s">
        <v>20</v>
      </c>
      <c r="C282" s="2"/>
      <c r="D282" s="2" t="s">
        <v>11</v>
      </c>
      <c r="E282" s="2"/>
      <c r="F282" s="2"/>
      <c r="G282" s="2"/>
      <c r="H282" s="2"/>
      <c r="I282" s="2"/>
    </row>
    <row r="283">
      <c r="A283" s="1" t="s">
        <v>287</v>
      </c>
      <c r="B283" s="2" t="s">
        <v>20</v>
      </c>
      <c r="C283" s="2"/>
      <c r="D283" s="2" t="s">
        <v>11</v>
      </c>
      <c r="E283" s="2">
        <v>7.0</v>
      </c>
      <c r="F283" s="2" t="s">
        <v>12</v>
      </c>
      <c r="G283" s="2"/>
      <c r="H283" s="2"/>
      <c r="I283" s="2"/>
    </row>
    <row r="284">
      <c r="A284" s="1" t="s">
        <v>288</v>
      </c>
      <c r="B284" s="2" t="s">
        <v>20</v>
      </c>
      <c r="C284" s="2"/>
      <c r="D284" s="2" t="s">
        <v>37</v>
      </c>
      <c r="E284" s="2">
        <v>10.0</v>
      </c>
      <c r="F284" s="2" t="s">
        <v>12</v>
      </c>
      <c r="G284" s="2"/>
      <c r="H284" s="2"/>
      <c r="I284" s="2"/>
    </row>
    <row r="285">
      <c r="A285" s="1" t="s">
        <v>289</v>
      </c>
      <c r="B285" s="2" t="s">
        <v>20</v>
      </c>
      <c r="C285" s="2"/>
      <c r="D285" s="2" t="s">
        <v>37</v>
      </c>
      <c r="E285" s="2">
        <v>7.0</v>
      </c>
      <c r="F285" s="2" t="s">
        <v>12</v>
      </c>
      <c r="G285" s="2"/>
      <c r="H285" s="2"/>
      <c r="I285" s="2"/>
    </row>
    <row r="286">
      <c r="A286" s="2" t="s">
        <v>290</v>
      </c>
      <c r="B286" s="2" t="s">
        <v>20</v>
      </c>
      <c r="C286" s="2"/>
      <c r="D286" s="2" t="s">
        <v>37</v>
      </c>
      <c r="E286" s="2">
        <v>7.0</v>
      </c>
      <c r="F286" s="2" t="s">
        <v>12</v>
      </c>
      <c r="G286" s="2"/>
      <c r="H286" s="2"/>
      <c r="I286" s="2"/>
    </row>
    <row r="287">
      <c r="A287" s="1" t="s">
        <v>291</v>
      </c>
      <c r="B287" s="2" t="s">
        <v>20</v>
      </c>
      <c r="C287" s="2"/>
      <c r="D287" s="2" t="s">
        <v>11</v>
      </c>
      <c r="E287" s="2">
        <v>10.0</v>
      </c>
      <c r="F287" s="2" t="s">
        <v>12</v>
      </c>
      <c r="G287" s="2"/>
      <c r="H287" s="2"/>
      <c r="I287" s="2"/>
    </row>
    <row r="288">
      <c r="A288" s="1" t="s">
        <v>291</v>
      </c>
      <c r="B288" s="2" t="s">
        <v>20</v>
      </c>
      <c r="C288" s="2"/>
      <c r="D288" s="2" t="s">
        <v>11</v>
      </c>
      <c r="E288" s="2">
        <v>14.0</v>
      </c>
      <c r="F288" s="2" t="s">
        <v>12</v>
      </c>
      <c r="G288" s="2"/>
      <c r="H288" s="2"/>
      <c r="I288" s="2"/>
    </row>
    <row r="289">
      <c r="A289" s="1" t="s">
        <v>292</v>
      </c>
      <c r="B289" s="2" t="s">
        <v>20</v>
      </c>
      <c r="C289" s="2"/>
      <c r="D289" s="2" t="s">
        <v>11</v>
      </c>
      <c r="E289" s="2">
        <v>10.0</v>
      </c>
      <c r="F289" s="2" t="s">
        <v>12</v>
      </c>
      <c r="G289" s="2"/>
      <c r="H289" s="2"/>
      <c r="I289" s="2"/>
    </row>
    <row r="290">
      <c r="A290" s="1" t="s">
        <v>293</v>
      </c>
      <c r="B290" s="2" t="s">
        <v>20</v>
      </c>
      <c r="C290" s="2"/>
      <c r="D290" s="2" t="s">
        <v>11</v>
      </c>
      <c r="E290" s="2">
        <v>10.0</v>
      </c>
      <c r="F290" s="2" t="s">
        <v>12</v>
      </c>
      <c r="G290" s="2"/>
      <c r="H290" s="2"/>
      <c r="I290" s="2"/>
    </row>
    <row r="291">
      <c r="A291" s="1" t="s">
        <v>293</v>
      </c>
      <c r="B291" s="2" t="s">
        <v>20</v>
      </c>
      <c r="C291" s="2"/>
      <c r="D291" s="2" t="s">
        <v>11</v>
      </c>
      <c r="E291" s="2">
        <v>15.0</v>
      </c>
      <c r="F291" s="2" t="s">
        <v>12</v>
      </c>
      <c r="G291" s="2"/>
      <c r="H291" s="2"/>
      <c r="I291" s="2"/>
    </row>
    <row r="292">
      <c r="A292" s="1" t="s">
        <v>294</v>
      </c>
      <c r="B292" s="2" t="s">
        <v>20</v>
      </c>
      <c r="C292" s="2"/>
      <c r="D292" s="2" t="s">
        <v>11</v>
      </c>
      <c r="E292" s="2">
        <v>15.0</v>
      </c>
      <c r="F292" s="2" t="s">
        <v>12</v>
      </c>
      <c r="G292" s="2"/>
      <c r="H292" s="2"/>
      <c r="I292" s="2"/>
    </row>
    <row r="293">
      <c r="A293" s="2" t="s">
        <v>295</v>
      </c>
      <c r="B293" s="2" t="s">
        <v>20</v>
      </c>
      <c r="C293" s="1"/>
      <c r="D293" s="2"/>
      <c r="E293" s="2"/>
      <c r="F293" s="2"/>
      <c r="G293" s="2"/>
      <c r="H293" s="2"/>
      <c r="I293" s="2"/>
    </row>
    <row r="294">
      <c r="A294" s="1" t="s">
        <v>296</v>
      </c>
      <c r="B294" s="2" t="s">
        <v>20</v>
      </c>
      <c r="C294" s="2"/>
      <c r="D294" s="2" t="s">
        <v>11</v>
      </c>
      <c r="E294" s="2">
        <v>15.0</v>
      </c>
      <c r="F294" s="2" t="s">
        <v>12</v>
      </c>
      <c r="G294" s="2"/>
      <c r="H294" s="2"/>
      <c r="I294" s="2"/>
    </row>
    <row r="295">
      <c r="A295" s="1" t="s">
        <v>297</v>
      </c>
      <c r="B295" s="2" t="s">
        <v>20</v>
      </c>
      <c r="C295" s="2"/>
      <c r="D295" s="2" t="s">
        <v>11</v>
      </c>
      <c r="E295" s="2">
        <v>10.0</v>
      </c>
      <c r="F295" s="2" t="s">
        <v>12</v>
      </c>
      <c r="G295" s="2"/>
      <c r="H295" s="2"/>
      <c r="I295" s="2"/>
    </row>
    <row r="296">
      <c r="A296" s="2" t="s">
        <v>298</v>
      </c>
      <c r="B296" s="2" t="s">
        <v>20</v>
      </c>
      <c r="C296" s="1"/>
      <c r="D296" s="2"/>
      <c r="E296" s="2"/>
      <c r="F296" s="2"/>
      <c r="G296" s="2"/>
      <c r="H296" s="2"/>
      <c r="I296" s="2"/>
    </row>
    <row r="297">
      <c r="A297" s="2" t="s">
        <v>299</v>
      </c>
      <c r="B297" s="2" t="s">
        <v>20</v>
      </c>
      <c r="C297" s="1"/>
      <c r="D297" s="1" t="s">
        <v>300</v>
      </c>
      <c r="E297" s="1" t="s">
        <v>301</v>
      </c>
      <c r="F297" s="1" t="s">
        <v>302</v>
      </c>
      <c r="G297" s="2"/>
      <c r="H297" s="2"/>
      <c r="I297" s="2"/>
    </row>
    <row r="298">
      <c r="A298" s="2" t="s">
        <v>303</v>
      </c>
      <c r="B298" s="2" t="s">
        <v>20</v>
      </c>
      <c r="C298" s="1"/>
      <c r="D298" s="2"/>
      <c r="E298" s="2"/>
      <c r="F298" s="2"/>
      <c r="G298" s="2"/>
      <c r="H298" s="2"/>
      <c r="I298" s="2"/>
    </row>
    <row r="299">
      <c r="A299" s="2" t="s">
        <v>304</v>
      </c>
      <c r="B299" s="2" t="s">
        <v>20</v>
      </c>
      <c r="C299" s="1"/>
      <c r="D299" s="2"/>
      <c r="E299" s="2"/>
      <c r="F299" s="2"/>
      <c r="G299" s="2"/>
      <c r="H299" s="2"/>
      <c r="I299" s="2"/>
    </row>
    <row r="300">
      <c r="A300" s="2" t="s">
        <v>305</v>
      </c>
      <c r="B300" s="2" t="s">
        <v>20</v>
      </c>
      <c r="C300" s="1"/>
      <c r="D300" s="2"/>
      <c r="E300" s="2"/>
      <c r="F300" s="2"/>
      <c r="G300" s="2"/>
      <c r="H300" s="2"/>
      <c r="I300" s="2"/>
    </row>
    <row r="301">
      <c r="A301" s="1" t="s">
        <v>306</v>
      </c>
      <c r="B301" s="2" t="s">
        <v>20</v>
      </c>
      <c r="C301" s="2"/>
      <c r="D301" s="2" t="s">
        <v>11</v>
      </c>
      <c r="E301" s="2">
        <v>10.0</v>
      </c>
      <c r="F301" s="2" t="s">
        <v>12</v>
      </c>
      <c r="G301" s="2"/>
      <c r="H301" s="2"/>
      <c r="I301" s="2"/>
    </row>
    <row r="302">
      <c r="A302" s="1" t="s">
        <v>307</v>
      </c>
      <c r="B302" s="2" t="s">
        <v>20</v>
      </c>
      <c r="C302" s="2"/>
      <c r="D302" s="2" t="s">
        <v>11</v>
      </c>
      <c r="E302" s="2">
        <v>10.0</v>
      </c>
      <c r="F302" s="2" t="s">
        <v>12</v>
      </c>
      <c r="G302" s="2"/>
      <c r="H302" s="2"/>
      <c r="I302" s="2"/>
    </row>
    <row r="303">
      <c r="A303" s="1" t="s">
        <v>308</v>
      </c>
      <c r="B303" s="2" t="s">
        <v>20</v>
      </c>
      <c r="C303" s="2"/>
      <c r="D303" s="2" t="s">
        <v>11</v>
      </c>
      <c r="E303" s="2">
        <v>10.0</v>
      </c>
      <c r="F303" s="2" t="s">
        <v>12</v>
      </c>
      <c r="G303" s="2"/>
      <c r="H303" s="2"/>
      <c r="I303" s="2"/>
    </row>
    <row r="304">
      <c r="A304" s="1" t="s">
        <v>309</v>
      </c>
      <c r="B304" s="2" t="s">
        <v>20</v>
      </c>
      <c r="C304" s="2"/>
      <c r="D304" s="2" t="s">
        <v>11</v>
      </c>
      <c r="E304" s="2">
        <v>10.0</v>
      </c>
      <c r="F304" s="2" t="s">
        <v>12</v>
      </c>
      <c r="G304" s="2"/>
      <c r="H304" s="2"/>
      <c r="I304" s="2"/>
    </row>
    <row r="305">
      <c r="A305" s="1" t="s">
        <v>310</v>
      </c>
      <c r="B305" s="2" t="s">
        <v>20</v>
      </c>
      <c r="C305" s="2"/>
      <c r="D305" s="2" t="s">
        <v>11</v>
      </c>
      <c r="E305" s="2">
        <v>10.0</v>
      </c>
      <c r="F305" s="2" t="s">
        <v>12</v>
      </c>
      <c r="G305" s="2"/>
      <c r="H305" s="2"/>
      <c r="I305" s="2"/>
    </row>
    <row r="306">
      <c r="A306" s="1" t="s">
        <v>311</v>
      </c>
      <c r="B306" s="2" t="s">
        <v>20</v>
      </c>
      <c r="C306" s="2"/>
      <c r="D306" s="2" t="s">
        <v>11</v>
      </c>
      <c r="E306" s="2">
        <v>15.0</v>
      </c>
      <c r="F306" s="2" t="s">
        <v>12</v>
      </c>
      <c r="G306" s="2"/>
      <c r="H306" s="2"/>
      <c r="I306" s="2"/>
    </row>
    <row r="307">
      <c r="A307" s="1" t="s">
        <v>312</v>
      </c>
      <c r="B307" s="2" t="s">
        <v>20</v>
      </c>
      <c r="C307" s="2"/>
      <c r="D307" s="2" t="s">
        <v>11</v>
      </c>
      <c r="E307" s="2">
        <v>15.0</v>
      </c>
      <c r="F307" s="2" t="s">
        <v>12</v>
      </c>
      <c r="G307" s="2"/>
      <c r="H307" s="2"/>
      <c r="I307" s="2"/>
    </row>
    <row r="308">
      <c r="A308" s="1" t="s">
        <v>313</v>
      </c>
      <c r="B308" s="2" t="s">
        <v>20</v>
      </c>
      <c r="C308" s="2"/>
      <c r="D308" s="2" t="s">
        <v>11</v>
      </c>
      <c r="E308" s="2">
        <v>10.0</v>
      </c>
      <c r="F308" s="2" t="s">
        <v>12</v>
      </c>
      <c r="G308" s="2"/>
      <c r="H308" s="2"/>
      <c r="I308" s="2"/>
    </row>
    <row r="309">
      <c r="A309" s="1" t="s">
        <v>313</v>
      </c>
      <c r="B309" s="2" t="s">
        <v>20</v>
      </c>
      <c r="C309" s="2"/>
      <c r="D309" s="2" t="s">
        <v>11</v>
      </c>
      <c r="E309" s="2">
        <v>15.0</v>
      </c>
      <c r="F309" s="2" t="s">
        <v>12</v>
      </c>
      <c r="G309" s="2"/>
      <c r="H309" s="2"/>
      <c r="I309" s="2"/>
    </row>
    <row r="310">
      <c r="A310" s="1" t="s">
        <v>314</v>
      </c>
      <c r="B310" s="2" t="s">
        <v>20</v>
      </c>
      <c r="C310" s="2"/>
      <c r="D310" s="2" t="s">
        <v>11</v>
      </c>
      <c r="E310" s="2">
        <v>10.0</v>
      </c>
      <c r="F310" s="2" t="s">
        <v>12</v>
      </c>
      <c r="G310" s="2"/>
      <c r="H310" s="2"/>
      <c r="I310" s="2"/>
    </row>
    <row r="311">
      <c r="A311" s="1" t="s">
        <v>314</v>
      </c>
      <c r="B311" s="2" t="s">
        <v>20</v>
      </c>
      <c r="C311" s="2"/>
      <c r="D311" s="2" t="s">
        <v>11</v>
      </c>
      <c r="E311" s="2">
        <v>15.0</v>
      </c>
      <c r="F311" s="2" t="s">
        <v>12</v>
      </c>
      <c r="G311" s="2"/>
      <c r="H311" s="2"/>
      <c r="I311" s="2"/>
    </row>
    <row r="312">
      <c r="A312" s="1" t="s">
        <v>315</v>
      </c>
      <c r="B312" s="2" t="s">
        <v>20</v>
      </c>
      <c r="C312" s="2"/>
      <c r="D312" s="2" t="s">
        <v>11</v>
      </c>
      <c r="E312" s="2">
        <v>10.0</v>
      </c>
      <c r="F312" s="2" t="s">
        <v>12</v>
      </c>
      <c r="G312" s="2"/>
      <c r="H312" s="2"/>
      <c r="I312" s="2"/>
    </row>
    <row r="313">
      <c r="A313" s="1" t="s">
        <v>315</v>
      </c>
      <c r="B313" s="2" t="s">
        <v>20</v>
      </c>
      <c r="C313" s="2"/>
      <c r="D313" s="2" t="s">
        <v>11</v>
      </c>
      <c r="E313" s="2">
        <v>15.0</v>
      </c>
      <c r="F313" s="2" t="s">
        <v>12</v>
      </c>
      <c r="G313" s="2"/>
      <c r="H313" s="2"/>
      <c r="I313" s="2"/>
    </row>
    <row r="314">
      <c r="A314" s="2" t="s">
        <v>316</v>
      </c>
      <c r="B314" s="2" t="s">
        <v>20</v>
      </c>
      <c r="C314" s="1"/>
      <c r="D314" s="2"/>
      <c r="E314" s="2"/>
      <c r="F314" s="2"/>
      <c r="G314" s="2"/>
      <c r="H314" s="2"/>
      <c r="I314" s="2"/>
    </row>
    <row r="315">
      <c r="A315" s="2" t="s">
        <v>317</v>
      </c>
      <c r="B315" s="2" t="s">
        <v>20</v>
      </c>
      <c r="C315" s="1"/>
      <c r="D315" s="2"/>
      <c r="E315" s="2"/>
      <c r="F315" s="2"/>
      <c r="G315" s="2"/>
      <c r="H315" s="2"/>
      <c r="I315" s="2"/>
    </row>
    <row r="316">
      <c r="A316" s="2" t="s">
        <v>318</v>
      </c>
      <c r="B316" s="2" t="s">
        <v>20</v>
      </c>
      <c r="C316" s="1"/>
      <c r="D316" s="2"/>
      <c r="E316" s="2"/>
      <c r="F316" s="2"/>
      <c r="G316" s="2"/>
      <c r="H316" s="2"/>
      <c r="I316" s="2"/>
    </row>
    <row r="317">
      <c r="A317" s="2" t="s">
        <v>319</v>
      </c>
      <c r="B317" s="2" t="s">
        <v>20</v>
      </c>
      <c r="C317" s="1"/>
      <c r="D317" s="2"/>
      <c r="E317" s="2"/>
      <c r="F317" s="2"/>
      <c r="G317" s="2"/>
      <c r="H317" s="2"/>
      <c r="I317" s="2"/>
    </row>
    <row r="318">
      <c r="A318" s="2" t="s">
        <v>320</v>
      </c>
      <c r="B318" s="2" t="s">
        <v>20</v>
      </c>
      <c r="C318" s="1"/>
      <c r="D318" s="2"/>
      <c r="E318" s="2"/>
      <c r="F318" s="2"/>
      <c r="G318" s="2"/>
      <c r="H318" s="2"/>
      <c r="I318" s="2"/>
    </row>
    <row r="319">
      <c r="A319" s="2" t="s">
        <v>321</v>
      </c>
      <c r="B319" s="2" t="s">
        <v>20</v>
      </c>
      <c r="C319" s="1"/>
      <c r="D319" s="2"/>
      <c r="E319" s="2"/>
      <c r="F319" s="2"/>
      <c r="G319" s="2"/>
      <c r="H319" s="2"/>
      <c r="I319" s="2"/>
    </row>
    <row r="320">
      <c r="A320" s="2" t="s">
        <v>322</v>
      </c>
      <c r="B320" s="2" t="s">
        <v>20</v>
      </c>
      <c r="C320" s="1"/>
      <c r="D320" s="2"/>
      <c r="E320" s="2"/>
      <c r="F320" s="2"/>
      <c r="G320" s="2"/>
      <c r="H320" s="2"/>
      <c r="I320" s="2"/>
    </row>
    <row r="321">
      <c r="A321" s="2" t="s">
        <v>323</v>
      </c>
      <c r="B321" s="2" t="s">
        <v>20</v>
      </c>
      <c r="C321" s="1"/>
      <c r="D321" s="2"/>
      <c r="E321" s="2"/>
      <c r="F321" s="2"/>
      <c r="G321" s="2"/>
      <c r="H321" s="2"/>
      <c r="I321" s="2"/>
    </row>
    <row r="322">
      <c r="A322" s="2" t="s">
        <v>324</v>
      </c>
      <c r="B322" s="2" t="s">
        <v>20</v>
      </c>
      <c r="C322" s="1"/>
      <c r="D322" s="2"/>
      <c r="E322" s="2"/>
      <c r="F322" s="2"/>
      <c r="G322" s="2"/>
      <c r="H322" s="2"/>
      <c r="I322" s="2"/>
    </row>
    <row r="323">
      <c r="A323" s="2" t="s">
        <v>325</v>
      </c>
      <c r="B323" s="2" t="s">
        <v>20</v>
      </c>
      <c r="C323" s="1"/>
      <c r="D323" s="2"/>
      <c r="E323" s="2"/>
      <c r="F323" s="2"/>
      <c r="G323" s="2"/>
      <c r="H323" s="2"/>
      <c r="I323" s="2"/>
    </row>
    <row r="324">
      <c r="A324" s="2" t="s">
        <v>326</v>
      </c>
      <c r="B324" s="2" t="s">
        <v>20</v>
      </c>
      <c r="C324" s="1"/>
      <c r="D324" s="2"/>
      <c r="E324" s="2"/>
      <c r="F324" s="2"/>
      <c r="G324" s="2"/>
      <c r="H324" s="2"/>
      <c r="I324" s="2"/>
    </row>
    <row r="325">
      <c r="A325" s="1" t="s">
        <v>327</v>
      </c>
      <c r="B325" s="2" t="s">
        <v>20</v>
      </c>
      <c r="C325" s="2"/>
      <c r="D325" s="2" t="s">
        <v>11</v>
      </c>
      <c r="E325" s="2">
        <v>10.0</v>
      </c>
      <c r="F325" s="2" t="s">
        <v>12</v>
      </c>
      <c r="G325" s="2"/>
      <c r="H325" s="2"/>
      <c r="I325" s="2"/>
    </row>
    <row r="326">
      <c r="A326" s="1" t="s">
        <v>328</v>
      </c>
      <c r="B326" s="2" t="s">
        <v>20</v>
      </c>
      <c r="C326" s="2"/>
      <c r="D326" s="2" t="s">
        <v>11</v>
      </c>
      <c r="E326" s="2">
        <v>10.0</v>
      </c>
      <c r="F326" s="2" t="s">
        <v>12</v>
      </c>
      <c r="G326" s="2"/>
      <c r="H326" s="2"/>
      <c r="I326" s="2"/>
    </row>
    <row r="327">
      <c r="A327" s="1" t="s">
        <v>329</v>
      </c>
      <c r="B327" s="2" t="s">
        <v>20</v>
      </c>
      <c r="C327" s="2"/>
      <c r="D327" s="2" t="s">
        <v>11</v>
      </c>
      <c r="E327" s="2">
        <v>10.0</v>
      </c>
      <c r="F327" s="2" t="s">
        <v>12</v>
      </c>
      <c r="G327" s="2"/>
      <c r="H327" s="2"/>
      <c r="I327" s="2"/>
    </row>
    <row r="328">
      <c r="A328" s="1" t="s">
        <v>330</v>
      </c>
      <c r="B328" s="2" t="s">
        <v>20</v>
      </c>
      <c r="C328" s="2"/>
      <c r="D328" s="2" t="s">
        <v>11</v>
      </c>
      <c r="E328" s="2">
        <v>100.0</v>
      </c>
      <c r="F328" s="2" t="s">
        <v>22</v>
      </c>
      <c r="G328" s="2"/>
      <c r="H328" s="2"/>
      <c r="I328" s="2"/>
    </row>
    <row r="329">
      <c r="A329" s="1" t="s">
        <v>331</v>
      </c>
      <c r="B329" s="2" t="s">
        <v>20</v>
      </c>
      <c r="C329" s="2"/>
      <c r="D329" s="2" t="s">
        <v>11</v>
      </c>
      <c r="E329" s="2">
        <v>100.0</v>
      </c>
      <c r="F329" s="2" t="s">
        <v>22</v>
      </c>
      <c r="G329" s="2"/>
      <c r="H329" s="2"/>
      <c r="I329" s="2"/>
    </row>
    <row r="330">
      <c r="A330" s="1" t="s">
        <v>332</v>
      </c>
      <c r="B330" s="2" t="s">
        <v>20</v>
      </c>
      <c r="C330" s="2"/>
      <c r="D330" s="2" t="s">
        <v>11</v>
      </c>
      <c r="E330" s="2">
        <v>100.0</v>
      </c>
      <c r="F330" s="2" t="s">
        <v>22</v>
      </c>
      <c r="G330" s="2"/>
      <c r="H330" s="2"/>
      <c r="I330" s="2"/>
    </row>
    <row r="331">
      <c r="A331" s="2" t="s">
        <v>333</v>
      </c>
      <c r="B331" s="2" t="s">
        <v>20</v>
      </c>
      <c r="C331" s="2"/>
      <c r="D331" s="2" t="s">
        <v>37</v>
      </c>
      <c r="E331" s="2">
        <v>10.0</v>
      </c>
      <c r="F331" s="2" t="s">
        <v>12</v>
      </c>
      <c r="G331" s="2"/>
      <c r="H331" s="2"/>
      <c r="I331" s="2"/>
    </row>
    <row r="332">
      <c r="A332" s="2" t="s">
        <v>334</v>
      </c>
      <c r="B332" s="2" t="s">
        <v>20</v>
      </c>
      <c r="C332" s="1"/>
      <c r="D332" s="2"/>
      <c r="E332" s="2"/>
      <c r="F332" s="2"/>
      <c r="G332" s="2"/>
      <c r="H332" s="2"/>
      <c r="I332" s="2"/>
    </row>
    <row r="333">
      <c r="A333" s="2" t="s">
        <v>335</v>
      </c>
      <c r="B333" s="2" t="s">
        <v>20</v>
      </c>
      <c r="C333" s="2"/>
      <c r="D333" s="2" t="s">
        <v>37</v>
      </c>
      <c r="E333" s="2">
        <v>10.0</v>
      </c>
      <c r="F333" s="2" t="s">
        <v>12</v>
      </c>
      <c r="G333" s="2"/>
      <c r="H333" s="2"/>
      <c r="I333" s="2"/>
    </row>
    <row r="334">
      <c r="A334" s="2" t="s">
        <v>336</v>
      </c>
      <c r="B334" s="2" t="s">
        <v>20</v>
      </c>
      <c r="C334" s="2"/>
      <c r="D334" s="2" t="s">
        <v>37</v>
      </c>
      <c r="E334" s="2">
        <v>10.0</v>
      </c>
      <c r="F334" s="2" t="s">
        <v>12</v>
      </c>
      <c r="G334" s="2"/>
      <c r="H334" s="2"/>
      <c r="I334" s="2"/>
    </row>
    <row r="335">
      <c r="A335" s="2" t="s">
        <v>337</v>
      </c>
      <c r="B335" s="2" t="s">
        <v>20</v>
      </c>
      <c r="C335" s="2"/>
      <c r="D335" s="2" t="s">
        <v>11</v>
      </c>
      <c r="E335" s="2">
        <v>10.0</v>
      </c>
      <c r="F335" s="2" t="s">
        <v>12</v>
      </c>
      <c r="G335" s="2"/>
      <c r="H335" s="2"/>
      <c r="I335" s="2"/>
    </row>
    <row r="336">
      <c r="A336" s="2" t="s">
        <v>338</v>
      </c>
      <c r="B336" s="2" t="s">
        <v>20</v>
      </c>
      <c r="C336" s="2"/>
      <c r="D336" s="2" t="s">
        <v>11</v>
      </c>
      <c r="E336" s="2">
        <v>10.0</v>
      </c>
      <c r="F336" s="2" t="s">
        <v>12</v>
      </c>
      <c r="G336" s="2"/>
      <c r="H336" s="2"/>
      <c r="I336" s="2"/>
    </row>
    <row r="337">
      <c r="A337" s="2" t="s">
        <v>339</v>
      </c>
      <c r="B337" s="2" t="s">
        <v>20</v>
      </c>
      <c r="C337" s="2"/>
      <c r="D337" s="2" t="s">
        <v>11</v>
      </c>
      <c r="E337" s="2"/>
      <c r="F337" s="2"/>
      <c r="G337" s="2"/>
      <c r="H337" s="2"/>
      <c r="I337" s="2"/>
    </row>
    <row r="338">
      <c r="A338" s="2" t="s">
        <v>340</v>
      </c>
      <c r="B338" s="2" t="s">
        <v>20</v>
      </c>
      <c r="C338" s="1"/>
      <c r="D338" s="2"/>
      <c r="E338" s="2"/>
      <c r="F338" s="2"/>
      <c r="G338" s="2"/>
      <c r="H338" s="2"/>
      <c r="I338" s="2"/>
    </row>
    <row r="339">
      <c r="A339" s="1" t="s">
        <v>341</v>
      </c>
      <c r="B339" s="2" t="s">
        <v>20</v>
      </c>
      <c r="C339" s="2"/>
      <c r="D339" s="2" t="s">
        <v>11</v>
      </c>
      <c r="E339" s="2">
        <v>10.0</v>
      </c>
      <c r="F339" s="2" t="s">
        <v>12</v>
      </c>
      <c r="G339" s="2"/>
      <c r="H339" s="2"/>
      <c r="I339" s="2"/>
    </row>
    <row r="340">
      <c r="A340" s="1" t="s">
        <v>342</v>
      </c>
      <c r="B340" s="2" t="s">
        <v>20</v>
      </c>
      <c r="C340" s="2"/>
      <c r="D340" s="2" t="s">
        <v>11</v>
      </c>
      <c r="E340" s="2">
        <v>10.0</v>
      </c>
      <c r="F340" s="2" t="s">
        <v>12</v>
      </c>
      <c r="G340" s="2"/>
      <c r="H340" s="2"/>
      <c r="I340" s="2"/>
    </row>
    <row r="341">
      <c r="A341" s="2" t="s">
        <v>343</v>
      </c>
      <c r="B341" s="2" t="s">
        <v>20</v>
      </c>
      <c r="C341" s="2"/>
      <c r="D341" s="2" t="s">
        <v>11</v>
      </c>
      <c r="E341" s="2">
        <v>10.0</v>
      </c>
      <c r="F341" s="2" t="s">
        <v>12</v>
      </c>
      <c r="G341" s="2"/>
      <c r="H341" s="2"/>
      <c r="I341" s="2"/>
    </row>
    <row r="342">
      <c r="A342" s="2" t="s">
        <v>344</v>
      </c>
      <c r="B342" s="2" t="s">
        <v>20</v>
      </c>
      <c r="C342" s="2"/>
      <c r="D342" s="2" t="s">
        <v>11</v>
      </c>
      <c r="E342" s="2">
        <v>10.0</v>
      </c>
      <c r="F342" s="2" t="s">
        <v>12</v>
      </c>
      <c r="G342" s="2"/>
      <c r="H342" s="2"/>
      <c r="I342" s="2"/>
    </row>
    <row r="343">
      <c r="A343" s="1" t="s">
        <v>345</v>
      </c>
      <c r="B343" s="2" t="s">
        <v>20</v>
      </c>
      <c r="C343" s="2"/>
      <c r="D343" s="2" t="s">
        <v>11</v>
      </c>
      <c r="E343" s="2">
        <v>10.0</v>
      </c>
      <c r="F343" s="2" t="s">
        <v>12</v>
      </c>
      <c r="G343" s="2"/>
      <c r="H343" s="2"/>
      <c r="I343" s="2"/>
    </row>
    <row r="344">
      <c r="A344" s="1" t="s">
        <v>346</v>
      </c>
      <c r="B344" s="2" t="s">
        <v>20</v>
      </c>
      <c r="C344" s="2"/>
      <c r="D344" s="2" t="s">
        <v>11</v>
      </c>
      <c r="E344" s="2">
        <v>10.0</v>
      </c>
      <c r="F344" s="2" t="s">
        <v>12</v>
      </c>
      <c r="G344" s="2"/>
      <c r="H344" s="2"/>
      <c r="I344" s="2"/>
    </row>
    <row r="345">
      <c r="A345" s="1" t="s">
        <v>347</v>
      </c>
      <c r="B345" s="2" t="s">
        <v>20</v>
      </c>
      <c r="C345" s="2"/>
      <c r="D345" s="2" t="s">
        <v>11</v>
      </c>
      <c r="E345" s="2">
        <v>10.0</v>
      </c>
      <c r="F345" s="2" t="s">
        <v>12</v>
      </c>
      <c r="G345" s="2"/>
      <c r="H345" s="2"/>
      <c r="I345" s="2"/>
    </row>
    <row r="346">
      <c r="A346" s="1" t="s">
        <v>348</v>
      </c>
      <c r="B346" s="2" t="s">
        <v>20</v>
      </c>
      <c r="C346" s="2"/>
      <c r="D346" s="2" t="s">
        <v>11</v>
      </c>
      <c r="E346" s="2">
        <v>10.0</v>
      </c>
      <c r="F346" s="2" t="s">
        <v>12</v>
      </c>
      <c r="G346" s="2"/>
      <c r="H346" s="2"/>
      <c r="I346" s="2"/>
    </row>
    <row r="347">
      <c r="A347" s="1" t="s">
        <v>349</v>
      </c>
      <c r="B347" s="2" t="s">
        <v>20</v>
      </c>
      <c r="C347" s="2"/>
      <c r="D347" s="2" t="s">
        <v>11</v>
      </c>
      <c r="E347" s="2">
        <v>10.0</v>
      </c>
      <c r="F347" s="2" t="s">
        <v>12</v>
      </c>
      <c r="G347" s="2"/>
      <c r="H347" s="2"/>
      <c r="I347" s="2"/>
    </row>
    <row r="348">
      <c r="A348" s="1" t="s">
        <v>350</v>
      </c>
      <c r="B348" s="2" t="s">
        <v>20</v>
      </c>
      <c r="C348" s="2"/>
      <c r="D348" s="2" t="s">
        <v>11</v>
      </c>
      <c r="E348" s="2">
        <v>10.0</v>
      </c>
      <c r="F348" s="2" t="s">
        <v>12</v>
      </c>
      <c r="G348" s="2"/>
      <c r="H348" s="2"/>
      <c r="I348" s="2"/>
    </row>
    <row r="349">
      <c r="A349" s="1" t="s">
        <v>351</v>
      </c>
      <c r="B349" s="2" t="s">
        <v>20</v>
      </c>
      <c r="C349" s="2"/>
      <c r="D349" s="2" t="s">
        <v>11</v>
      </c>
      <c r="E349" s="2"/>
      <c r="F349" s="2"/>
      <c r="G349" s="2"/>
      <c r="H349" s="2"/>
      <c r="I349" s="2"/>
    </row>
    <row r="350">
      <c r="A350" s="1" t="s">
        <v>352</v>
      </c>
      <c r="B350" s="2" t="s">
        <v>20</v>
      </c>
      <c r="C350" s="2"/>
      <c r="D350" s="2" t="s">
        <v>11</v>
      </c>
      <c r="E350" s="2"/>
      <c r="F350" s="2"/>
      <c r="G350" s="2"/>
      <c r="H350" s="2"/>
      <c r="I350" s="2"/>
    </row>
    <row r="351">
      <c r="A351" s="1" t="s">
        <v>353</v>
      </c>
      <c r="B351" s="2" t="s">
        <v>20</v>
      </c>
      <c r="C351" s="2"/>
      <c r="D351" s="2" t="s">
        <v>11</v>
      </c>
      <c r="E351" s="2">
        <v>10.0</v>
      </c>
      <c r="F351" s="2" t="s">
        <v>12</v>
      </c>
      <c r="G351" s="2"/>
      <c r="H351" s="2"/>
      <c r="I351" s="2"/>
    </row>
    <row r="352">
      <c r="A352" s="1" t="s">
        <v>354</v>
      </c>
      <c r="B352" s="2" t="s">
        <v>20</v>
      </c>
      <c r="C352" s="2"/>
      <c r="D352" s="2" t="s">
        <v>11</v>
      </c>
      <c r="E352" s="2">
        <v>10.0</v>
      </c>
      <c r="F352" s="2" t="s">
        <v>12</v>
      </c>
      <c r="G352" s="2"/>
      <c r="H352" s="2"/>
      <c r="I352" s="2"/>
    </row>
    <row r="353">
      <c r="A353" s="1" t="s">
        <v>355</v>
      </c>
      <c r="B353" s="2" t="s">
        <v>20</v>
      </c>
      <c r="C353" s="2"/>
      <c r="D353" s="2" t="s">
        <v>11</v>
      </c>
      <c r="E353" s="2">
        <v>10.0</v>
      </c>
      <c r="F353" s="2" t="s">
        <v>12</v>
      </c>
      <c r="G353" s="2"/>
      <c r="H353" s="2"/>
      <c r="I353" s="2"/>
    </row>
    <row r="354">
      <c r="A354" s="1" t="s">
        <v>356</v>
      </c>
      <c r="B354" s="2" t="s">
        <v>20</v>
      </c>
      <c r="C354" s="2"/>
      <c r="D354" s="2" t="s">
        <v>11</v>
      </c>
      <c r="E354" s="2">
        <v>10.0</v>
      </c>
      <c r="F354" s="2" t="s">
        <v>12</v>
      </c>
      <c r="G354" s="2"/>
      <c r="H354" s="2"/>
      <c r="I354" s="2"/>
    </row>
    <row r="355">
      <c r="A355" s="1" t="s">
        <v>357</v>
      </c>
      <c r="B355" s="2" t="s">
        <v>20</v>
      </c>
      <c r="C355" s="2"/>
      <c r="D355" s="2" t="s">
        <v>11</v>
      </c>
      <c r="E355" s="2">
        <v>10.0</v>
      </c>
      <c r="F355" s="2" t="s">
        <v>12</v>
      </c>
      <c r="G355" s="2"/>
      <c r="H355" s="2"/>
      <c r="I355" s="2"/>
    </row>
    <row r="356">
      <c r="A356" s="1" t="s">
        <v>358</v>
      </c>
      <c r="B356" s="2" t="s">
        <v>20</v>
      </c>
      <c r="C356" s="2"/>
      <c r="D356" s="2" t="s">
        <v>11</v>
      </c>
      <c r="E356" s="2">
        <v>10.0</v>
      </c>
      <c r="F356" s="2" t="s">
        <v>12</v>
      </c>
      <c r="G356" s="2"/>
      <c r="H356" s="2"/>
      <c r="I356" s="2"/>
    </row>
    <row r="357">
      <c r="A357" s="1" t="s">
        <v>359</v>
      </c>
      <c r="B357" s="2" t="s">
        <v>20</v>
      </c>
      <c r="C357" s="2"/>
      <c r="D357" s="2" t="s">
        <v>11</v>
      </c>
      <c r="E357" s="2">
        <v>10.0</v>
      </c>
      <c r="F357" s="2" t="s">
        <v>12</v>
      </c>
      <c r="G357" s="2"/>
      <c r="H357" s="2"/>
      <c r="I357" s="2"/>
    </row>
    <row r="358">
      <c r="A358" s="1" t="s">
        <v>360</v>
      </c>
      <c r="B358" s="2" t="s">
        <v>20</v>
      </c>
      <c r="C358" s="2"/>
      <c r="D358" s="2" t="s">
        <v>11</v>
      </c>
      <c r="E358" s="2">
        <v>10.0</v>
      </c>
      <c r="F358" s="2" t="s">
        <v>12</v>
      </c>
      <c r="G358" s="2"/>
      <c r="H358" s="2"/>
      <c r="I358" s="2"/>
    </row>
    <row r="359">
      <c r="A359" s="2" t="s">
        <v>361</v>
      </c>
      <c r="B359" s="2" t="s">
        <v>20</v>
      </c>
      <c r="C359" s="2"/>
      <c r="D359" s="2" t="s">
        <v>37</v>
      </c>
      <c r="E359" s="2">
        <v>60.0</v>
      </c>
      <c r="F359" s="2" t="s">
        <v>22</v>
      </c>
      <c r="G359" s="2"/>
      <c r="H359" s="2"/>
      <c r="I359" s="2"/>
    </row>
    <row r="360">
      <c r="A360" s="1" t="s">
        <v>362</v>
      </c>
      <c r="B360" s="2" t="s">
        <v>20</v>
      </c>
      <c r="C360" s="2"/>
      <c r="D360" s="2" t="s">
        <v>11</v>
      </c>
      <c r="E360" s="2">
        <v>10.0</v>
      </c>
      <c r="F360" s="2" t="s">
        <v>12</v>
      </c>
      <c r="G360" s="2"/>
      <c r="H360" s="2"/>
      <c r="I360" s="2"/>
    </row>
    <row r="361">
      <c r="A361" s="1" t="s">
        <v>363</v>
      </c>
      <c r="B361" s="2" t="s">
        <v>20</v>
      </c>
      <c r="C361" s="2"/>
      <c r="D361" s="2" t="s">
        <v>11</v>
      </c>
      <c r="E361" s="2">
        <v>10.0</v>
      </c>
      <c r="F361" s="2" t="s">
        <v>12</v>
      </c>
      <c r="G361" s="2"/>
      <c r="H361" s="2"/>
      <c r="I361" s="2"/>
    </row>
    <row r="362">
      <c r="A362" s="1" t="s">
        <v>364</v>
      </c>
      <c r="B362" s="2" t="s">
        <v>20</v>
      </c>
      <c r="C362" s="2"/>
      <c r="D362" s="2" t="s">
        <v>11</v>
      </c>
      <c r="E362" s="2">
        <v>10.0</v>
      </c>
      <c r="F362" s="2" t="s">
        <v>12</v>
      </c>
      <c r="G362" s="2"/>
      <c r="H362" s="2"/>
      <c r="I362" s="2"/>
    </row>
    <row r="363">
      <c r="A363" s="1" t="s">
        <v>365</v>
      </c>
      <c r="B363" s="2" t="s">
        <v>20</v>
      </c>
      <c r="C363" s="2"/>
      <c r="D363" s="2" t="s">
        <v>37</v>
      </c>
      <c r="E363" s="2">
        <v>10.0</v>
      </c>
      <c r="F363" s="2" t="s">
        <v>12</v>
      </c>
      <c r="G363" s="2"/>
      <c r="H363" s="2"/>
      <c r="I363" s="2"/>
    </row>
    <row r="364">
      <c r="A364" s="1" t="s">
        <v>366</v>
      </c>
      <c r="B364" s="2" t="s">
        <v>20</v>
      </c>
      <c r="C364" s="2"/>
      <c r="D364" s="2" t="s">
        <v>37</v>
      </c>
      <c r="E364" s="2">
        <v>10.0</v>
      </c>
      <c r="F364" s="2" t="s">
        <v>12</v>
      </c>
      <c r="G364" s="2"/>
      <c r="H364" s="2"/>
      <c r="I364" s="2"/>
    </row>
    <row r="365">
      <c r="A365" s="1" t="s">
        <v>367</v>
      </c>
      <c r="B365" s="2" t="s">
        <v>20</v>
      </c>
      <c r="C365" s="2"/>
      <c r="D365" s="2" t="s">
        <v>11</v>
      </c>
      <c r="E365" s="2">
        <v>10.0</v>
      </c>
      <c r="F365" s="2" t="s">
        <v>12</v>
      </c>
      <c r="G365" s="2"/>
      <c r="H365" s="2"/>
      <c r="I365" s="2"/>
    </row>
    <row r="366">
      <c r="A366" s="1" t="s">
        <v>368</v>
      </c>
      <c r="B366" s="2" t="s">
        <v>20</v>
      </c>
      <c r="C366" s="2"/>
      <c r="D366" s="2" t="s">
        <v>11</v>
      </c>
      <c r="E366" s="2">
        <v>15.0</v>
      </c>
      <c r="F366" s="2" t="s">
        <v>12</v>
      </c>
      <c r="G366" s="2"/>
      <c r="H366" s="2"/>
      <c r="I366" s="2"/>
    </row>
    <row r="367">
      <c r="A367" s="1" t="s">
        <v>369</v>
      </c>
      <c r="B367" s="2" t="s">
        <v>20</v>
      </c>
      <c r="C367" s="2"/>
      <c r="D367" s="2" t="s">
        <v>11</v>
      </c>
      <c r="E367" s="2">
        <v>10.0</v>
      </c>
      <c r="F367" s="2" t="s">
        <v>12</v>
      </c>
      <c r="G367" s="2"/>
      <c r="H367" s="2"/>
      <c r="I367" s="2"/>
    </row>
    <row r="368">
      <c r="A368" s="1" t="s">
        <v>369</v>
      </c>
      <c r="B368" s="2" t="s">
        <v>20</v>
      </c>
      <c r="C368" s="2"/>
      <c r="D368" s="2" t="s">
        <v>11</v>
      </c>
      <c r="E368" s="2">
        <v>15.0</v>
      </c>
      <c r="F368" s="2" t="s">
        <v>12</v>
      </c>
      <c r="G368" s="2"/>
      <c r="H368" s="2"/>
      <c r="I368" s="2"/>
    </row>
    <row r="369">
      <c r="A369" s="2" t="s">
        <v>370</v>
      </c>
      <c r="B369" s="2" t="s">
        <v>20</v>
      </c>
      <c r="C369" s="1"/>
      <c r="D369" s="2"/>
      <c r="E369" s="2"/>
      <c r="F369" s="2"/>
      <c r="G369" s="2"/>
      <c r="H369" s="2"/>
      <c r="I369" s="2"/>
    </row>
    <row r="370">
      <c r="A370" s="2" t="s">
        <v>371</v>
      </c>
      <c r="B370" s="2" t="s">
        <v>20</v>
      </c>
      <c r="C370" s="1"/>
      <c r="D370" s="2"/>
      <c r="E370" s="2"/>
      <c r="F370" s="2"/>
      <c r="G370" s="2"/>
      <c r="H370" s="2"/>
      <c r="I370" s="2"/>
    </row>
    <row r="371">
      <c r="A371" s="2" t="s">
        <v>372</v>
      </c>
      <c r="B371" s="2" t="s">
        <v>20</v>
      </c>
      <c r="C371" s="1"/>
      <c r="D371" s="2"/>
      <c r="E371" s="2"/>
      <c r="F371" s="2"/>
      <c r="G371" s="2"/>
      <c r="H371" s="2"/>
      <c r="I371" s="2"/>
    </row>
    <row r="372">
      <c r="A372" s="2" t="s">
        <v>373</v>
      </c>
      <c r="B372" s="2" t="s">
        <v>20</v>
      </c>
      <c r="C372" s="1"/>
      <c r="D372" s="2"/>
      <c r="E372" s="2"/>
      <c r="F372" s="2"/>
      <c r="G372" s="2"/>
      <c r="H372" s="2"/>
      <c r="I372" s="2"/>
    </row>
    <row r="373">
      <c r="A373" s="2" t="s">
        <v>374</v>
      </c>
      <c r="B373" s="2" t="s">
        <v>20</v>
      </c>
      <c r="C373" s="1"/>
      <c r="D373" s="2"/>
      <c r="E373" s="2"/>
      <c r="F373" s="2"/>
      <c r="G373" s="2"/>
      <c r="H373" s="2"/>
      <c r="I373" s="2"/>
    </row>
    <row r="374">
      <c r="A374" s="2" t="s">
        <v>375</v>
      </c>
      <c r="B374" s="2" t="s">
        <v>20</v>
      </c>
      <c r="C374" s="1"/>
      <c r="D374" s="2"/>
      <c r="E374" s="2"/>
      <c r="F374" s="2"/>
      <c r="G374" s="2"/>
      <c r="H374" s="2"/>
      <c r="I374" s="2"/>
    </row>
    <row r="375">
      <c r="A375" s="2" t="s">
        <v>376</v>
      </c>
      <c r="B375" s="2" t="s">
        <v>20</v>
      </c>
      <c r="C375" s="1"/>
      <c r="D375" s="2"/>
      <c r="E375" s="2"/>
      <c r="F375" s="2"/>
      <c r="G375" s="2"/>
      <c r="H375" s="2"/>
      <c r="I375" s="2"/>
    </row>
    <row r="376">
      <c r="A376" s="2" t="s">
        <v>377</v>
      </c>
      <c r="B376" s="2" t="s">
        <v>20</v>
      </c>
      <c r="C376" s="1"/>
      <c r="D376" s="2"/>
      <c r="E376" s="2"/>
      <c r="F376" s="2"/>
      <c r="G376" s="2"/>
      <c r="H376" s="2"/>
      <c r="I376" s="2"/>
    </row>
    <row r="377">
      <c r="A377" s="2" t="s">
        <v>378</v>
      </c>
      <c r="B377" s="2" t="s">
        <v>20</v>
      </c>
      <c r="C377" s="1"/>
      <c r="D377" s="2"/>
      <c r="E377" s="2"/>
      <c r="F377" s="2"/>
      <c r="G377" s="2"/>
      <c r="H377" s="2"/>
      <c r="I377" s="2"/>
    </row>
    <row r="378">
      <c r="A378" s="2" t="s">
        <v>379</v>
      </c>
      <c r="B378" s="2" t="s">
        <v>20</v>
      </c>
      <c r="C378" s="1"/>
      <c r="D378" s="2"/>
      <c r="E378" s="2"/>
      <c r="F378" s="2"/>
      <c r="G378" s="2"/>
      <c r="H378" s="2"/>
      <c r="I378" s="2"/>
    </row>
    <row r="379">
      <c r="A379" s="1" t="s">
        <v>380</v>
      </c>
      <c r="B379" s="2" t="s">
        <v>20</v>
      </c>
      <c r="C379" s="2"/>
      <c r="D379" s="2" t="s">
        <v>11</v>
      </c>
      <c r="E379" s="2">
        <v>10.0</v>
      </c>
      <c r="F379" s="2" t="s">
        <v>12</v>
      </c>
      <c r="G379" s="2"/>
      <c r="H379" s="2"/>
      <c r="I379" s="2"/>
    </row>
    <row r="380">
      <c r="A380" s="1" t="s">
        <v>381</v>
      </c>
      <c r="B380" s="2" t="s">
        <v>20</v>
      </c>
      <c r="C380" s="2"/>
      <c r="D380" s="2" t="s">
        <v>11</v>
      </c>
      <c r="E380" s="2">
        <v>50.0</v>
      </c>
      <c r="F380" s="2" t="s">
        <v>22</v>
      </c>
      <c r="G380" s="2"/>
      <c r="H380" s="2"/>
      <c r="I380" s="2"/>
    </row>
    <row r="381">
      <c r="A381" s="1" t="s">
        <v>382</v>
      </c>
      <c r="B381" s="2" t="s">
        <v>20</v>
      </c>
      <c r="C381" s="2"/>
      <c r="D381" s="2" t="s">
        <v>11</v>
      </c>
      <c r="E381" s="2">
        <v>50.0</v>
      </c>
      <c r="F381" s="2" t="s">
        <v>22</v>
      </c>
      <c r="G381" s="2"/>
      <c r="H381" s="2"/>
      <c r="I381" s="2"/>
    </row>
    <row r="382">
      <c r="A382" s="1" t="s">
        <v>383</v>
      </c>
      <c r="B382" s="2" t="s">
        <v>20</v>
      </c>
      <c r="C382" s="2"/>
      <c r="D382" s="2" t="s">
        <v>11</v>
      </c>
      <c r="E382" s="2">
        <v>15.0</v>
      </c>
      <c r="F382" s="2" t="s">
        <v>12</v>
      </c>
      <c r="G382" s="2"/>
      <c r="H382" s="2"/>
      <c r="I382" s="2"/>
    </row>
    <row r="383">
      <c r="A383" s="1" t="s">
        <v>384</v>
      </c>
      <c r="B383" s="2" t="s">
        <v>20</v>
      </c>
      <c r="C383" s="2"/>
      <c r="D383" s="2" t="s">
        <v>11</v>
      </c>
      <c r="E383" s="2">
        <v>15.0</v>
      </c>
      <c r="F383" s="2" t="s">
        <v>12</v>
      </c>
      <c r="G383" s="2"/>
      <c r="H383" s="2"/>
      <c r="I383" s="2"/>
    </row>
    <row r="384">
      <c r="A384" s="1" t="s">
        <v>385</v>
      </c>
      <c r="B384" s="2" t="s">
        <v>20</v>
      </c>
      <c r="C384" s="2"/>
      <c r="D384" s="2" t="s">
        <v>11</v>
      </c>
      <c r="E384" s="2">
        <v>10.0</v>
      </c>
      <c r="F384" s="2" t="s">
        <v>12</v>
      </c>
      <c r="G384" s="2"/>
      <c r="H384" s="2"/>
      <c r="I384" s="2"/>
    </row>
    <row r="385">
      <c r="A385" s="1" t="s">
        <v>386</v>
      </c>
      <c r="B385" s="2" t="s">
        <v>20</v>
      </c>
      <c r="C385" s="2"/>
      <c r="D385" s="2" t="s">
        <v>11</v>
      </c>
      <c r="E385" s="2">
        <v>10.0</v>
      </c>
      <c r="F385" s="2" t="s">
        <v>12</v>
      </c>
      <c r="G385" s="2"/>
      <c r="H385" s="2"/>
      <c r="I385" s="2"/>
    </row>
    <row r="386">
      <c r="A386" s="1" t="s">
        <v>387</v>
      </c>
      <c r="B386" s="2" t="s">
        <v>20</v>
      </c>
      <c r="C386" s="2"/>
      <c r="D386" s="2" t="s">
        <v>37</v>
      </c>
      <c r="E386" s="2">
        <v>15.0</v>
      </c>
      <c r="F386" s="2" t="s">
        <v>12</v>
      </c>
      <c r="G386" s="2"/>
      <c r="H386" s="2"/>
      <c r="I386" s="2"/>
    </row>
    <row r="387">
      <c r="A387" s="2" t="s">
        <v>388</v>
      </c>
      <c r="B387" s="2" t="s">
        <v>20</v>
      </c>
      <c r="C387" s="2"/>
      <c r="D387" s="2" t="s">
        <v>11</v>
      </c>
      <c r="E387" s="2">
        <v>15.0</v>
      </c>
      <c r="F387" s="2" t="s">
        <v>12</v>
      </c>
      <c r="G387" s="2"/>
      <c r="H387" s="2"/>
      <c r="I387" s="2"/>
    </row>
    <row r="388">
      <c r="A388" s="2" t="s">
        <v>389</v>
      </c>
      <c r="B388" s="2" t="s">
        <v>20</v>
      </c>
      <c r="C388" s="2"/>
      <c r="D388" s="2" t="s">
        <v>11</v>
      </c>
      <c r="E388" s="2">
        <v>10.0</v>
      </c>
      <c r="F388" s="2" t="s">
        <v>12</v>
      </c>
      <c r="G388" s="2"/>
      <c r="H388" s="2"/>
      <c r="I388" s="2"/>
    </row>
    <row r="389">
      <c r="A389" s="2" t="s">
        <v>389</v>
      </c>
      <c r="B389" s="2" t="s">
        <v>20</v>
      </c>
      <c r="C389" s="2"/>
      <c r="D389" s="2" t="s">
        <v>11</v>
      </c>
      <c r="E389" s="2">
        <v>15.0</v>
      </c>
      <c r="F389" s="2" t="s">
        <v>12</v>
      </c>
      <c r="G389" s="2"/>
      <c r="H389" s="2"/>
      <c r="I389" s="2"/>
    </row>
    <row r="390">
      <c r="A390" s="2" t="s">
        <v>390</v>
      </c>
      <c r="B390" s="2" t="s">
        <v>20</v>
      </c>
      <c r="C390" s="2"/>
      <c r="D390" s="2" t="s">
        <v>11</v>
      </c>
      <c r="E390" s="2">
        <v>10.0</v>
      </c>
      <c r="F390" s="2" t="s">
        <v>12</v>
      </c>
      <c r="G390" s="2"/>
      <c r="H390" s="2"/>
      <c r="I390" s="2"/>
    </row>
    <row r="391">
      <c r="A391" s="2" t="s">
        <v>391</v>
      </c>
      <c r="B391" s="2" t="s">
        <v>20</v>
      </c>
      <c r="C391" s="2"/>
      <c r="D391" s="2" t="s">
        <v>11</v>
      </c>
      <c r="E391" s="2">
        <v>10.0</v>
      </c>
      <c r="F391" s="2" t="s">
        <v>12</v>
      </c>
      <c r="G391" s="2"/>
      <c r="H391" s="2"/>
      <c r="I391" s="2"/>
    </row>
    <row r="392">
      <c r="A392" s="2" t="s">
        <v>392</v>
      </c>
      <c r="B392" s="2" t="s">
        <v>20</v>
      </c>
      <c r="C392" s="2"/>
      <c r="D392" s="2" t="s">
        <v>11</v>
      </c>
      <c r="E392" s="2">
        <v>10.0</v>
      </c>
      <c r="F392" s="2" t="s">
        <v>12</v>
      </c>
      <c r="G392" s="2"/>
      <c r="H392" s="2"/>
      <c r="I392" s="2"/>
    </row>
    <row r="393">
      <c r="A393" s="1" t="s">
        <v>393</v>
      </c>
      <c r="B393" s="2" t="s">
        <v>20</v>
      </c>
      <c r="C393" s="2"/>
      <c r="D393" s="2" t="s">
        <v>11</v>
      </c>
      <c r="E393" s="2">
        <v>10.0</v>
      </c>
      <c r="F393" s="2" t="s">
        <v>12</v>
      </c>
      <c r="G393" s="2"/>
      <c r="H393" s="2"/>
      <c r="I393" s="2"/>
    </row>
    <row r="394">
      <c r="A394" s="1" t="s">
        <v>394</v>
      </c>
      <c r="B394" s="2" t="s">
        <v>20</v>
      </c>
      <c r="C394" s="2"/>
      <c r="D394" s="2" t="s">
        <v>11</v>
      </c>
      <c r="E394" s="2">
        <v>15.0</v>
      </c>
      <c r="F394" s="2" t="s">
        <v>12</v>
      </c>
      <c r="G394" s="2"/>
      <c r="H394" s="2"/>
      <c r="I394" s="2"/>
    </row>
    <row r="395">
      <c r="A395" s="1" t="s">
        <v>395</v>
      </c>
      <c r="B395" s="2" t="s">
        <v>20</v>
      </c>
      <c r="C395" s="2"/>
      <c r="D395" s="2" t="s">
        <v>11</v>
      </c>
      <c r="E395" s="2">
        <v>15.0</v>
      </c>
      <c r="F395" s="2" t="s">
        <v>12</v>
      </c>
      <c r="G395" s="2"/>
      <c r="H395" s="2"/>
      <c r="I395" s="2"/>
    </row>
    <row r="396">
      <c r="A396" s="2" t="s">
        <v>396</v>
      </c>
      <c r="B396" s="2" t="s">
        <v>20</v>
      </c>
      <c r="C396" s="2"/>
      <c r="D396" s="2" t="s">
        <v>37</v>
      </c>
      <c r="E396" s="2">
        <v>10.0</v>
      </c>
      <c r="F396" s="2" t="s">
        <v>12</v>
      </c>
      <c r="G396" s="2"/>
      <c r="H396" s="2"/>
      <c r="I396" s="2"/>
    </row>
    <row r="397">
      <c r="A397" s="1" t="s">
        <v>397</v>
      </c>
      <c r="B397" s="2" t="s">
        <v>20</v>
      </c>
      <c r="C397" s="2"/>
      <c r="D397" s="2" t="s">
        <v>11</v>
      </c>
      <c r="E397" s="2">
        <v>10.0</v>
      </c>
      <c r="F397" s="2" t="s">
        <v>12</v>
      </c>
      <c r="G397" s="2"/>
      <c r="H397" s="2"/>
      <c r="I397" s="2"/>
    </row>
    <row r="398">
      <c r="A398" s="1" t="s">
        <v>397</v>
      </c>
      <c r="B398" s="2" t="s">
        <v>20</v>
      </c>
      <c r="C398" s="2"/>
      <c r="D398" s="2" t="s">
        <v>11</v>
      </c>
      <c r="E398" s="2">
        <v>15.0</v>
      </c>
      <c r="F398" s="2" t="s">
        <v>12</v>
      </c>
      <c r="G398" s="2"/>
      <c r="H398" s="2"/>
      <c r="I398" s="2"/>
    </row>
    <row r="399">
      <c r="A399" s="1" t="s">
        <v>398</v>
      </c>
      <c r="B399" s="2" t="s">
        <v>20</v>
      </c>
      <c r="C399" s="2"/>
      <c r="D399" s="2" t="s">
        <v>11</v>
      </c>
      <c r="E399" s="2">
        <v>10.0</v>
      </c>
      <c r="F399" s="2" t="s">
        <v>12</v>
      </c>
      <c r="G399" s="2"/>
      <c r="H399" s="2"/>
      <c r="I399" s="2"/>
    </row>
    <row r="400">
      <c r="A400" s="1" t="s">
        <v>399</v>
      </c>
      <c r="B400" s="2" t="s">
        <v>20</v>
      </c>
      <c r="C400" s="2"/>
      <c r="D400" s="2" t="s">
        <v>11</v>
      </c>
      <c r="E400" s="2">
        <v>10.0</v>
      </c>
      <c r="F400" s="2" t="s">
        <v>12</v>
      </c>
      <c r="G400" s="2"/>
      <c r="H400" s="2"/>
      <c r="I400" s="2"/>
    </row>
    <row r="401">
      <c r="A401" s="2" t="s">
        <v>400</v>
      </c>
      <c r="B401" s="2" t="s">
        <v>20</v>
      </c>
      <c r="C401" s="2"/>
      <c r="D401" s="2" t="s">
        <v>11</v>
      </c>
      <c r="E401" s="2">
        <v>10.0</v>
      </c>
      <c r="F401" s="2" t="s">
        <v>12</v>
      </c>
      <c r="G401" s="2"/>
      <c r="H401" s="2"/>
      <c r="I401" s="2"/>
    </row>
    <row r="402">
      <c r="A402" s="2" t="s">
        <v>400</v>
      </c>
      <c r="B402" s="2" t="s">
        <v>20</v>
      </c>
      <c r="C402" s="2"/>
      <c r="D402" s="2" t="s">
        <v>11</v>
      </c>
      <c r="E402" s="2">
        <v>15.0</v>
      </c>
      <c r="F402" s="2" t="s">
        <v>12</v>
      </c>
      <c r="G402" s="2"/>
      <c r="H402" s="2"/>
      <c r="I402" s="2"/>
    </row>
    <row r="403">
      <c r="A403" s="1" t="s">
        <v>401</v>
      </c>
      <c r="B403" s="2" t="s">
        <v>20</v>
      </c>
      <c r="C403" s="2"/>
      <c r="D403" s="2" t="s">
        <v>11</v>
      </c>
      <c r="E403" s="2">
        <v>10.0</v>
      </c>
      <c r="F403" s="2" t="s">
        <v>12</v>
      </c>
      <c r="G403" s="2"/>
      <c r="H403" s="2"/>
      <c r="I403" s="2"/>
    </row>
    <row r="404">
      <c r="A404" s="2" t="s">
        <v>402</v>
      </c>
      <c r="B404" s="2" t="s">
        <v>20</v>
      </c>
      <c r="C404" s="2"/>
      <c r="D404" s="2" t="s">
        <v>11</v>
      </c>
      <c r="E404" s="2">
        <v>10.0</v>
      </c>
      <c r="F404" s="2" t="s">
        <v>12</v>
      </c>
      <c r="G404" s="2"/>
      <c r="H404" s="2"/>
      <c r="I404" s="2"/>
    </row>
    <row r="405">
      <c r="A405" s="2" t="s">
        <v>403</v>
      </c>
      <c r="B405" s="2" t="s">
        <v>20</v>
      </c>
      <c r="C405" s="2"/>
      <c r="D405" s="2" t="s">
        <v>11</v>
      </c>
      <c r="E405" s="2">
        <v>15.0</v>
      </c>
      <c r="F405" s="2" t="s">
        <v>12</v>
      </c>
      <c r="G405" s="2"/>
      <c r="H405" s="2"/>
      <c r="I405" s="2"/>
    </row>
    <row r="406">
      <c r="A406" s="1" t="s">
        <v>404</v>
      </c>
      <c r="B406" s="2" t="s">
        <v>20</v>
      </c>
      <c r="C406" s="2"/>
      <c r="D406" s="2" t="s">
        <v>11</v>
      </c>
      <c r="E406" s="2">
        <v>10.0</v>
      </c>
      <c r="F406" s="2" t="s">
        <v>12</v>
      </c>
      <c r="G406" s="2"/>
      <c r="H406" s="2"/>
      <c r="I406" s="2"/>
    </row>
    <row r="407">
      <c r="A407" s="1" t="s">
        <v>404</v>
      </c>
      <c r="B407" s="2" t="s">
        <v>20</v>
      </c>
      <c r="C407" s="2"/>
      <c r="D407" s="2" t="s">
        <v>11</v>
      </c>
      <c r="E407" s="2">
        <v>15.0</v>
      </c>
      <c r="F407" s="2" t="s">
        <v>12</v>
      </c>
      <c r="G407" s="2"/>
      <c r="H407" s="2"/>
      <c r="I407" s="2"/>
    </row>
    <row r="408">
      <c r="A408" s="1" t="s">
        <v>405</v>
      </c>
      <c r="B408" s="2" t="s">
        <v>20</v>
      </c>
      <c r="C408" s="2"/>
      <c r="D408" s="2" t="s">
        <v>11</v>
      </c>
      <c r="E408" s="2">
        <v>10.0</v>
      </c>
      <c r="F408" s="2" t="s">
        <v>12</v>
      </c>
      <c r="G408" s="2"/>
      <c r="H408" s="2"/>
      <c r="I408" s="2"/>
    </row>
    <row r="409">
      <c r="A409" s="1" t="s">
        <v>405</v>
      </c>
      <c r="B409" s="2" t="s">
        <v>20</v>
      </c>
      <c r="C409" s="2"/>
      <c r="D409" s="2" t="s">
        <v>11</v>
      </c>
      <c r="E409" s="2">
        <v>15.0</v>
      </c>
      <c r="F409" s="2" t="s">
        <v>12</v>
      </c>
      <c r="G409" s="2"/>
      <c r="H409" s="2"/>
      <c r="I409" s="2"/>
    </row>
    <row r="410">
      <c r="A410" s="1" t="s">
        <v>406</v>
      </c>
      <c r="B410" s="2" t="s">
        <v>20</v>
      </c>
      <c r="C410" s="2"/>
      <c r="D410" s="2" t="s">
        <v>11</v>
      </c>
      <c r="E410" s="2">
        <v>10.0</v>
      </c>
      <c r="F410" s="2" t="s">
        <v>12</v>
      </c>
      <c r="G410" s="2"/>
      <c r="H410" s="2"/>
      <c r="I410" s="2"/>
    </row>
    <row r="411">
      <c r="A411" s="1" t="s">
        <v>407</v>
      </c>
      <c r="B411" s="2" t="s">
        <v>20</v>
      </c>
      <c r="C411" s="2"/>
      <c r="D411" s="2" t="s">
        <v>11</v>
      </c>
      <c r="E411" s="2">
        <v>10.0</v>
      </c>
      <c r="F411" s="2" t="s">
        <v>12</v>
      </c>
      <c r="G411" s="2"/>
      <c r="H411" s="2"/>
      <c r="I411" s="2"/>
    </row>
    <row r="412">
      <c r="A412" s="2" t="s">
        <v>408</v>
      </c>
      <c r="B412" s="2" t="s">
        <v>20</v>
      </c>
      <c r="C412" s="2"/>
      <c r="D412" s="2" t="s">
        <v>11</v>
      </c>
      <c r="E412" s="2">
        <v>10.0</v>
      </c>
      <c r="F412" s="2" t="s">
        <v>12</v>
      </c>
      <c r="G412" s="2"/>
      <c r="H412" s="2"/>
      <c r="I412" s="2"/>
    </row>
    <row r="413">
      <c r="A413" s="2" t="s">
        <v>409</v>
      </c>
      <c r="B413" s="2" t="s">
        <v>20</v>
      </c>
      <c r="C413" s="2"/>
      <c r="D413" s="2" t="s">
        <v>11</v>
      </c>
      <c r="E413" s="2">
        <v>10.0</v>
      </c>
      <c r="F413" s="2" t="s">
        <v>12</v>
      </c>
      <c r="G413" s="2"/>
      <c r="H413" s="2"/>
      <c r="I413" s="2"/>
    </row>
    <row r="414">
      <c r="A414" s="2" t="s">
        <v>409</v>
      </c>
      <c r="B414" s="2" t="s">
        <v>20</v>
      </c>
      <c r="C414" s="2"/>
      <c r="D414" s="2" t="s">
        <v>11</v>
      </c>
      <c r="E414" s="2">
        <v>15.0</v>
      </c>
      <c r="F414" s="2" t="s">
        <v>12</v>
      </c>
      <c r="G414" s="2"/>
      <c r="H414" s="2"/>
      <c r="I414" s="2"/>
    </row>
    <row r="415">
      <c r="A415" s="1" t="s">
        <v>410</v>
      </c>
      <c r="B415" s="2" t="s">
        <v>20</v>
      </c>
      <c r="C415" s="2"/>
      <c r="D415" s="2" t="s">
        <v>11</v>
      </c>
      <c r="E415" s="2">
        <v>10.0</v>
      </c>
      <c r="F415" s="2" t="s">
        <v>12</v>
      </c>
      <c r="G415" s="2"/>
      <c r="H415" s="2"/>
      <c r="I415" s="2"/>
    </row>
    <row r="416">
      <c r="A416" s="1" t="s">
        <v>410</v>
      </c>
      <c r="B416" s="2" t="s">
        <v>20</v>
      </c>
      <c r="C416" s="2"/>
      <c r="D416" s="2" t="s">
        <v>11</v>
      </c>
      <c r="E416" s="2">
        <v>15.0</v>
      </c>
      <c r="F416" s="2" t="s">
        <v>12</v>
      </c>
      <c r="G416" s="2"/>
      <c r="H416" s="2"/>
      <c r="I416" s="2"/>
    </row>
    <row r="417">
      <c r="A417" s="1" t="s">
        <v>411</v>
      </c>
      <c r="B417" s="2" t="s">
        <v>20</v>
      </c>
      <c r="C417" s="2"/>
      <c r="D417" s="2" t="s">
        <v>11</v>
      </c>
      <c r="E417" s="2">
        <v>10.0</v>
      </c>
      <c r="F417" s="2" t="s">
        <v>12</v>
      </c>
      <c r="G417" s="2"/>
      <c r="H417" s="2"/>
      <c r="I417" s="2"/>
    </row>
    <row r="418">
      <c r="A418" s="1" t="s">
        <v>411</v>
      </c>
      <c r="B418" s="2" t="s">
        <v>20</v>
      </c>
      <c r="C418" s="2"/>
      <c r="D418" s="2" t="s">
        <v>11</v>
      </c>
      <c r="E418" s="2">
        <v>15.0</v>
      </c>
      <c r="F418" s="2" t="s">
        <v>12</v>
      </c>
      <c r="G418" s="2"/>
      <c r="H418" s="2"/>
      <c r="I418" s="2"/>
    </row>
    <row r="419">
      <c r="A419" s="1" t="s">
        <v>412</v>
      </c>
      <c r="B419" s="2" t="s">
        <v>20</v>
      </c>
      <c r="C419" s="2"/>
      <c r="D419" s="2" t="s">
        <v>11</v>
      </c>
      <c r="E419" s="2">
        <v>10.0</v>
      </c>
      <c r="F419" s="2" t="s">
        <v>12</v>
      </c>
      <c r="G419" s="2"/>
      <c r="H419" s="2"/>
      <c r="I419" s="2"/>
    </row>
    <row r="420">
      <c r="A420" s="1" t="s">
        <v>413</v>
      </c>
      <c r="B420" s="2" t="s">
        <v>20</v>
      </c>
      <c r="C420" s="2"/>
      <c r="D420" s="2" t="s">
        <v>11</v>
      </c>
      <c r="E420" s="2">
        <v>10.0</v>
      </c>
      <c r="F420" s="2" t="s">
        <v>12</v>
      </c>
      <c r="G420" s="2"/>
      <c r="H420" s="2"/>
      <c r="I420" s="2"/>
    </row>
    <row r="421">
      <c r="A421" s="1" t="s">
        <v>413</v>
      </c>
      <c r="B421" s="2" t="s">
        <v>20</v>
      </c>
      <c r="C421" s="2"/>
      <c r="D421" s="2" t="s">
        <v>11</v>
      </c>
      <c r="E421" s="2">
        <v>15.0</v>
      </c>
      <c r="F421" s="2" t="s">
        <v>12</v>
      </c>
      <c r="G421" s="2"/>
      <c r="H421" s="2"/>
      <c r="I421" s="2"/>
    </row>
    <row r="422">
      <c r="A422" s="1" t="s">
        <v>414</v>
      </c>
      <c r="B422" s="2" t="s">
        <v>20</v>
      </c>
      <c r="C422" s="2"/>
      <c r="D422" s="2" t="s">
        <v>11</v>
      </c>
      <c r="E422" s="2">
        <v>10.0</v>
      </c>
      <c r="F422" s="2" t="s">
        <v>12</v>
      </c>
      <c r="G422" s="2"/>
      <c r="H422" s="2"/>
      <c r="I422" s="2"/>
    </row>
    <row r="423">
      <c r="A423" s="1" t="s">
        <v>415</v>
      </c>
      <c r="B423" s="2" t="s">
        <v>20</v>
      </c>
      <c r="C423" s="2"/>
      <c r="D423" s="2" t="s">
        <v>11</v>
      </c>
      <c r="E423" s="2">
        <v>10.0</v>
      </c>
      <c r="F423" s="2" t="s">
        <v>12</v>
      </c>
      <c r="G423" s="2"/>
      <c r="H423" s="2"/>
      <c r="I423" s="2"/>
    </row>
    <row r="424">
      <c r="A424" s="1" t="s">
        <v>415</v>
      </c>
      <c r="B424" s="2" t="s">
        <v>20</v>
      </c>
      <c r="C424" s="2"/>
      <c r="D424" s="2" t="s">
        <v>11</v>
      </c>
      <c r="E424" s="2">
        <v>15.0</v>
      </c>
      <c r="F424" s="2" t="s">
        <v>12</v>
      </c>
      <c r="G424" s="2"/>
      <c r="H424" s="2"/>
      <c r="I424" s="2"/>
    </row>
    <row r="425">
      <c r="A425" s="1" t="s">
        <v>416</v>
      </c>
      <c r="B425" s="2" t="s">
        <v>20</v>
      </c>
      <c r="C425" s="2"/>
      <c r="D425" s="2" t="s">
        <v>11</v>
      </c>
      <c r="E425" s="2">
        <v>10.0</v>
      </c>
      <c r="F425" s="2" t="s">
        <v>12</v>
      </c>
      <c r="G425" s="2"/>
      <c r="H425" s="2"/>
      <c r="I425" s="2"/>
    </row>
    <row r="426">
      <c r="A426" s="1" t="s">
        <v>416</v>
      </c>
      <c r="B426" s="2" t="s">
        <v>20</v>
      </c>
      <c r="C426" s="2"/>
      <c r="D426" s="2" t="s">
        <v>11</v>
      </c>
      <c r="E426" s="2">
        <v>15.0</v>
      </c>
      <c r="F426" s="2" t="s">
        <v>12</v>
      </c>
      <c r="G426" s="2"/>
      <c r="H426" s="2"/>
      <c r="I426" s="2"/>
    </row>
    <row r="427">
      <c r="A427" s="2" t="s">
        <v>417</v>
      </c>
      <c r="B427" s="2" t="s">
        <v>20</v>
      </c>
      <c r="C427" s="2"/>
      <c r="D427" s="2" t="s">
        <v>11</v>
      </c>
      <c r="E427" s="2">
        <v>10.0</v>
      </c>
      <c r="F427" s="2" t="s">
        <v>12</v>
      </c>
      <c r="G427" s="2"/>
      <c r="H427" s="2"/>
      <c r="I427" s="2"/>
    </row>
    <row r="428">
      <c r="A428" s="1" t="s">
        <v>418</v>
      </c>
      <c r="B428" s="2" t="s">
        <v>20</v>
      </c>
      <c r="C428" s="2"/>
      <c r="D428" s="2" t="s">
        <v>11</v>
      </c>
      <c r="E428" s="2">
        <v>10.0</v>
      </c>
      <c r="F428" s="2" t="s">
        <v>12</v>
      </c>
      <c r="G428" s="2"/>
      <c r="H428" s="2"/>
      <c r="I428" s="2"/>
    </row>
    <row r="429">
      <c r="A429" s="1" t="s">
        <v>419</v>
      </c>
      <c r="B429" s="2" t="s">
        <v>20</v>
      </c>
      <c r="C429" s="2"/>
      <c r="D429" s="2" t="s">
        <v>11</v>
      </c>
      <c r="E429" s="2">
        <v>10.0</v>
      </c>
      <c r="F429" s="2" t="s">
        <v>12</v>
      </c>
      <c r="G429" s="2"/>
      <c r="H429" s="2"/>
      <c r="I429" s="2"/>
    </row>
    <row r="430">
      <c r="A430" s="1" t="s">
        <v>419</v>
      </c>
      <c r="B430" s="2" t="s">
        <v>20</v>
      </c>
      <c r="C430" s="2"/>
      <c r="D430" s="2" t="s">
        <v>11</v>
      </c>
      <c r="E430" s="2">
        <v>15.0</v>
      </c>
      <c r="F430" s="2" t="s">
        <v>12</v>
      </c>
      <c r="G430" s="2"/>
      <c r="H430" s="2"/>
      <c r="I430" s="2"/>
    </row>
    <row r="431">
      <c r="A431" s="1" t="s">
        <v>420</v>
      </c>
      <c r="B431" s="2" t="s">
        <v>20</v>
      </c>
      <c r="C431" s="2"/>
      <c r="D431" s="2" t="s">
        <v>11</v>
      </c>
      <c r="E431" s="2">
        <v>10.0</v>
      </c>
      <c r="F431" s="2" t="s">
        <v>12</v>
      </c>
      <c r="G431" s="2"/>
      <c r="H431" s="2"/>
      <c r="I431" s="2"/>
    </row>
    <row r="432">
      <c r="A432" s="1" t="s">
        <v>420</v>
      </c>
      <c r="B432" s="2" t="s">
        <v>20</v>
      </c>
      <c r="C432" s="2"/>
      <c r="D432" s="2" t="s">
        <v>11</v>
      </c>
      <c r="E432" s="2">
        <v>15.0</v>
      </c>
      <c r="F432" s="2" t="s">
        <v>12</v>
      </c>
      <c r="G432" s="2"/>
      <c r="H432" s="2"/>
      <c r="I432" s="2"/>
    </row>
    <row r="433">
      <c r="A433" s="1" t="s">
        <v>421</v>
      </c>
      <c r="B433" s="2" t="s">
        <v>20</v>
      </c>
      <c r="C433" s="2"/>
      <c r="D433" s="2" t="s">
        <v>11</v>
      </c>
      <c r="E433" s="2">
        <v>10.0</v>
      </c>
      <c r="F433" s="2" t="s">
        <v>12</v>
      </c>
      <c r="G433" s="2"/>
      <c r="H433" s="2"/>
      <c r="I433" s="2"/>
    </row>
    <row r="434">
      <c r="A434" s="1" t="s">
        <v>422</v>
      </c>
      <c r="B434" s="2" t="s">
        <v>20</v>
      </c>
      <c r="C434" s="2"/>
      <c r="D434" s="2" t="s">
        <v>11</v>
      </c>
      <c r="E434" s="2">
        <v>10.0</v>
      </c>
      <c r="F434" s="2" t="s">
        <v>12</v>
      </c>
      <c r="G434" s="2"/>
      <c r="H434" s="2"/>
      <c r="I434" s="2"/>
    </row>
    <row r="435">
      <c r="A435" s="1" t="s">
        <v>423</v>
      </c>
      <c r="B435" s="2" t="s">
        <v>20</v>
      </c>
      <c r="C435" s="2"/>
      <c r="D435" s="2" t="s">
        <v>11</v>
      </c>
      <c r="E435" s="2">
        <v>10.0</v>
      </c>
      <c r="F435" s="2" t="s">
        <v>12</v>
      </c>
      <c r="G435" s="2"/>
      <c r="H435" s="2"/>
      <c r="I435" s="2"/>
    </row>
    <row r="436">
      <c r="A436" s="1" t="s">
        <v>423</v>
      </c>
      <c r="B436" s="2" t="s">
        <v>20</v>
      </c>
      <c r="C436" s="2"/>
      <c r="D436" s="2" t="s">
        <v>11</v>
      </c>
      <c r="E436" s="2">
        <v>15.0</v>
      </c>
      <c r="F436" s="2" t="s">
        <v>12</v>
      </c>
      <c r="G436" s="2"/>
      <c r="H436" s="2"/>
      <c r="I436" s="2"/>
    </row>
    <row r="437">
      <c r="A437" s="1" t="s">
        <v>424</v>
      </c>
      <c r="B437" s="2" t="s">
        <v>20</v>
      </c>
      <c r="C437" s="2"/>
      <c r="D437" s="2" t="s">
        <v>11</v>
      </c>
      <c r="E437" s="2">
        <v>10.0</v>
      </c>
      <c r="F437" s="2" t="s">
        <v>12</v>
      </c>
      <c r="G437" s="2"/>
      <c r="H437" s="2"/>
      <c r="I437" s="2"/>
    </row>
    <row r="438">
      <c r="A438" s="1" t="s">
        <v>424</v>
      </c>
      <c r="B438" s="2" t="s">
        <v>20</v>
      </c>
      <c r="C438" s="2"/>
      <c r="D438" s="2" t="s">
        <v>11</v>
      </c>
      <c r="E438" s="2">
        <v>15.0</v>
      </c>
      <c r="F438" s="2" t="s">
        <v>12</v>
      </c>
      <c r="G438" s="2"/>
      <c r="H438" s="2"/>
      <c r="I438" s="2"/>
    </row>
    <row r="439">
      <c r="A439" s="1" t="s">
        <v>425</v>
      </c>
      <c r="B439" s="2" t="s">
        <v>20</v>
      </c>
      <c r="C439" s="2"/>
      <c r="D439" s="2" t="s">
        <v>11</v>
      </c>
      <c r="E439" s="2">
        <v>15.0</v>
      </c>
      <c r="F439" s="2" t="s">
        <v>12</v>
      </c>
      <c r="G439" s="2"/>
      <c r="H439" s="2"/>
      <c r="I439" s="2"/>
    </row>
    <row r="440">
      <c r="A440" s="1" t="s">
        <v>426</v>
      </c>
      <c r="B440" s="2" t="s">
        <v>20</v>
      </c>
      <c r="C440" s="2"/>
      <c r="D440" s="2" t="s">
        <v>11</v>
      </c>
      <c r="E440" s="2">
        <v>10.0</v>
      </c>
      <c r="F440" s="2" t="s">
        <v>12</v>
      </c>
      <c r="G440" s="2"/>
      <c r="H440" s="2"/>
      <c r="I440" s="2"/>
    </row>
    <row r="441">
      <c r="A441" s="1" t="s">
        <v>426</v>
      </c>
      <c r="B441" s="2" t="s">
        <v>20</v>
      </c>
      <c r="C441" s="2"/>
      <c r="D441" s="2" t="s">
        <v>11</v>
      </c>
      <c r="E441" s="2">
        <v>15.0</v>
      </c>
      <c r="F441" s="2" t="s">
        <v>12</v>
      </c>
      <c r="G441" s="2"/>
      <c r="H441" s="2"/>
      <c r="I441" s="2"/>
    </row>
    <row r="442">
      <c r="A442" s="2" t="s">
        <v>427</v>
      </c>
      <c r="B442" s="2" t="s">
        <v>20</v>
      </c>
      <c r="C442" s="1"/>
      <c r="D442" s="2"/>
      <c r="E442" s="2"/>
      <c r="F442" s="2"/>
      <c r="G442" s="2"/>
      <c r="H442" s="2"/>
      <c r="I442" s="2"/>
    </row>
    <row r="443">
      <c r="A443" s="2" t="s">
        <v>428</v>
      </c>
      <c r="B443" s="2" t="s">
        <v>20</v>
      </c>
      <c r="C443" s="1"/>
      <c r="D443" s="2"/>
      <c r="E443" s="2"/>
      <c r="F443" s="2"/>
      <c r="G443" s="2"/>
      <c r="H443" s="2"/>
      <c r="I443" s="2"/>
    </row>
    <row r="444">
      <c r="A444" s="1" t="s">
        <v>429</v>
      </c>
      <c r="B444" s="2" t="s">
        <v>20</v>
      </c>
      <c r="C444" s="2"/>
      <c r="D444" s="2" t="s">
        <v>11</v>
      </c>
      <c r="E444" s="2">
        <v>10.0</v>
      </c>
      <c r="F444" s="2" t="s">
        <v>12</v>
      </c>
      <c r="G444" s="2"/>
      <c r="H444" s="2"/>
      <c r="I444" s="2"/>
    </row>
    <row r="445">
      <c r="A445" s="1" t="s">
        <v>430</v>
      </c>
      <c r="B445" s="2" t="s">
        <v>20</v>
      </c>
      <c r="C445" s="2"/>
      <c r="D445" s="2" t="s">
        <v>37</v>
      </c>
      <c r="E445" s="2">
        <v>10.0</v>
      </c>
      <c r="F445" s="2" t="s">
        <v>12</v>
      </c>
      <c r="G445" s="2"/>
      <c r="H445" s="2"/>
      <c r="I445" s="2"/>
    </row>
    <row r="446">
      <c r="A446" s="2" t="s">
        <v>431</v>
      </c>
      <c r="B446" s="2" t="s">
        <v>20</v>
      </c>
      <c r="C446" s="1"/>
      <c r="D446" s="2"/>
      <c r="E446" s="2"/>
      <c r="F446" s="2"/>
      <c r="G446" s="2"/>
      <c r="H446" s="2"/>
      <c r="I446" s="2"/>
    </row>
    <row r="447">
      <c r="A447" s="2" t="s">
        <v>432</v>
      </c>
      <c r="B447" s="2" t="s">
        <v>20</v>
      </c>
      <c r="C447" s="1"/>
      <c r="D447" s="2"/>
      <c r="E447" s="2"/>
      <c r="F447" s="2"/>
      <c r="G447" s="2"/>
      <c r="H447" s="2"/>
      <c r="I447" s="2"/>
    </row>
    <row r="448">
      <c r="A448" s="2" t="s">
        <v>433</v>
      </c>
      <c r="B448" s="2" t="s">
        <v>20</v>
      </c>
      <c r="C448" s="1"/>
      <c r="D448" s="2"/>
      <c r="E448" s="2"/>
      <c r="F448" s="2"/>
      <c r="G448" s="2"/>
      <c r="H448" s="2"/>
      <c r="I448" s="2"/>
    </row>
    <row r="449">
      <c r="A449" s="2" t="s">
        <v>434</v>
      </c>
      <c r="B449" s="2" t="s">
        <v>20</v>
      </c>
      <c r="C449" s="1"/>
      <c r="D449" s="2"/>
      <c r="E449" s="2"/>
      <c r="F449" s="2"/>
      <c r="G449" s="2"/>
      <c r="H449" s="2"/>
      <c r="I449" s="2"/>
    </row>
    <row r="450">
      <c r="A450" s="2" t="s">
        <v>435</v>
      </c>
      <c r="B450" s="2" t="s">
        <v>20</v>
      </c>
      <c r="C450" s="1"/>
      <c r="D450" s="2"/>
      <c r="E450" s="2"/>
      <c r="F450" s="2"/>
      <c r="G450" s="2"/>
      <c r="H450" s="2"/>
      <c r="I450" s="2"/>
    </row>
    <row r="451">
      <c r="A451" s="2" t="s">
        <v>436</v>
      </c>
      <c r="B451" s="2" t="s">
        <v>20</v>
      </c>
      <c r="C451" s="1"/>
      <c r="D451" s="2"/>
      <c r="E451" s="2"/>
      <c r="F451" s="2"/>
      <c r="G451" s="2"/>
      <c r="H451" s="2"/>
      <c r="I451" s="2"/>
    </row>
    <row r="452">
      <c r="A452" s="2" t="s">
        <v>437</v>
      </c>
      <c r="B452" s="2" t="s">
        <v>20</v>
      </c>
      <c r="C452" s="1"/>
      <c r="D452" s="2"/>
      <c r="E452" s="2"/>
      <c r="F452" s="2"/>
      <c r="G452" s="2"/>
      <c r="H452" s="2"/>
      <c r="I452" s="2"/>
    </row>
    <row r="453">
      <c r="A453" s="2" t="s">
        <v>438</v>
      </c>
      <c r="B453" s="2" t="s">
        <v>20</v>
      </c>
      <c r="C453" s="2"/>
      <c r="D453" s="2" t="s">
        <v>11</v>
      </c>
      <c r="E453" s="2">
        <v>7.0</v>
      </c>
      <c r="F453" s="2" t="s">
        <v>12</v>
      </c>
      <c r="G453" s="2"/>
      <c r="H453" s="2"/>
      <c r="I453" s="2"/>
    </row>
    <row r="454">
      <c r="A454" s="1" t="s">
        <v>439</v>
      </c>
      <c r="B454" s="2" t="s">
        <v>20</v>
      </c>
      <c r="C454" s="2"/>
      <c r="D454" s="2" t="s">
        <v>11</v>
      </c>
      <c r="E454" s="2">
        <v>10.0</v>
      </c>
      <c r="F454" s="2" t="s">
        <v>12</v>
      </c>
      <c r="G454" s="2"/>
      <c r="H454" s="2"/>
      <c r="I454" s="2"/>
    </row>
    <row r="455">
      <c r="A455" s="1" t="s">
        <v>440</v>
      </c>
      <c r="B455" s="2" t="s">
        <v>20</v>
      </c>
      <c r="C455" s="2"/>
      <c r="D455" s="2" t="s">
        <v>11</v>
      </c>
      <c r="E455" s="2">
        <v>10.0</v>
      </c>
      <c r="F455" s="2" t="s">
        <v>12</v>
      </c>
      <c r="G455" s="2"/>
      <c r="H455" s="2"/>
      <c r="I455" s="2"/>
    </row>
    <row r="456">
      <c r="A456" s="1" t="s">
        <v>441</v>
      </c>
      <c r="B456" s="2" t="s">
        <v>20</v>
      </c>
      <c r="C456" s="2"/>
      <c r="D456" s="2" t="s">
        <v>11</v>
      </c>
      <c r="E456" s="2">
        <v>10.0</v>
      </c>
      <c r="F456" s="2" t="s">
        <v>12</v>
      </c>
      <c r="G456" s="2"/>
      <c r="H456" s="2"/>
      <c r="I456" s="2"/>
    </row>
    <row r="457">
      <c r="A457" s="1" t="s">
        <v>442</v>
      </c>
      <c r="B457" s="2" t="s">
        <v>20</v>
      </c>
      <c r="C457" s="2"/>
      <c r="D457" s="2" t="s">
        <v>11</v>
      </c>
      <c r="E457" s="2">
        <v>10.0</v>
      </c>
      <c r="F457" s="2" t="s">
        <v>12</v>
      </c>
      <c r="G457" s="2"/>
      <c r="H457" s="2"/>
      <c r="I457" s="2"/>
    </row>
    <row r="458">
      <c r="A458" s="1" t="s">
        <v>443</v>
      </c>
      <c r="B458" s="2" t="s">
        <v>20</v>
      </c>
      <c r="C458" s="2"/>
      <c r="D458" s="2" t="s">
        <v>11</v>
      </c>
      <c r="E458" s="2">
        <v>10.0</v>
      </c>
      <c r="F458" s="2" t="s">
        <v>12</v>
      </c>
      <c r="G458" s="2"/>
      <c r="H458" s="2"/>
      <c r="I458" s="2"/>
    </row>
    <row r="459">
      <c r="A459" s="1" t="s">
        <v>444</v>
      </c>
      <c r="B459" s="2" t="s">
        <v>20</v>
      </c>
      <c r="C459" s="1"/>
      <c r="D459" s="2"/>
      <c r="E459" s="2"/>
      <c r="F459" s="2"/>
      <c r="G459" s="2"/>
      <c r="H459" s="2"/>
      <c r="I459" s="2"/>
    </row>
    <row r="460">
      <c r="A460" s="1" t="s">
        <v>445</v>
      </c>
      <c r="B460" s="2" t="s">
        <v>20</v>
      </c>
      <c r="C460" s="1"/>
      <c r="D460" s="2"/>
      <c r="E460" s="2"/>
      <c r="F460" s="2"/>
      <c r="G460" s="2"/>
      <c r="H460" s="2"/>
      <c r="I460" s="2"/>
    </row>
    <row r="461">
      <c r="A461" s="1" t="s">
        <v>446</v>
      </c>
      <c r="B461" s="2" t="s">
        <v>20</v>
      </c>
      <c r="C461" s="2"/>
      <c r="D461" s="2" t="s">
        <v>11</v>
      </c>
      <c r="E461" s="2">
        <v>10.0</v>
      </c>
      <c r="F461" s="2" t="s">
        <v>12</v>
      </c>
      <c r="G461" s="2"/>
      <c r="H461" s="2"/>
      <c r="I461" s="2"/>
    </row>
    <row r="462">
      <c r="A462" s="1" t="s">
        <v>446</v>
      </c>
      <c r="B462" s="2" t="s">
        <v>20</v>
      </c>
      <c r="C462" s="2"/>
      <c r="D462" s="2" t="s">
        <v>11</v>
      </c>
      <c r="E462" s="2">
        <v>15.0</v>
      </c>
      <c r="F462" s="2" t="s">
        <v>12</v>
      </c>
      <c r="G462" s="2"/>
      <c r="H462" s="2"/>
      <c r="I462" s="2"/>
    </row>
    <row r="463">
      <c r="A463" s="1" t="s">
        <v>447</v>
      </c>
      <c r="B463" s="2" t="s">
        <v>20</v>
      </c>
      <c r="C463" s="2"/>
      <c r="D463" s="2" t="s">
        <v>11</v>
      </c>
      <c r="E463" s="2">
        <v>10.0</v>
      </c>
      <c r="F463" s="2" t="s">
        <v>12</v>
      </c>
      <c r="G463" s="2"/>
      <c r="H463" s="2"/>
      <c r="I463" s="2"/>
    </row>
    <row r="464">
      <c r="A464" s="1" t="s">
        <v>448</v>
      </c>
      <c r="B464" s="2" t="s">
        <v>20</v>
      </c>
      <c r="C464" s="2"/>
      <c r="D464" s="2" t="s">
        <v>11</v>
      </c>
      <c r="E464" s="2">
        <v>10.0</v>
      </c>
      <c r="F464" s="2" t="s">
        <v>12</v>
      </c>
      <c r="G464" s="2"/>
      <c r="H464" s="2"/>
      <c r="I464" s="2"/>
    </row>
    <row r="465">
      <c r="A465" s="1" t="s">
        <v>448</v>
      </c>
      <c r="B465" s="2" t="s">
        <v>20</v>
      </c>
      <c r="C465" s="2"/>
      <c r="D465" s="2" t="s">
        <v>11</v>
      </c>
      <c r="E465" s="2">
        <v>15.0</v>
      </c>
      <c r="F465" s="2" t="s">
        <v>12</v>
      </c>
      <c r="G465" s="2"/>
      <c r="H465" s="2"/>
      <c r="I465" s="2"/>
    </row>
    <row r="466">
      <c r="A466" s="1" t="s">
        <v>449</v>
      </c>
      <c r="B466" s="2" t="s">
        <v>20</v>
      </c>
      <c r="C466" s="2"/>
      <c r="D466" s="2" t="s">
        <v>11</v>
      </c>
      <c r="E466" s="2">
        <v>10.0</v>
      </c>
      <c r="F466" s="2" t="s">
        <v>12</v>
      </c>
      <c r="G466" s="2"/>
      <c r="H466" s="2"/>
      <c r="I466" s="2"/>
    </row>
    <row r="467">
      <c r="A467" s="1" t="s">
        <v>449</v>
      </c>
      <c r="B467" s="2" t="s">
        <v>20</v>
      </c>
      <c r="C467" s="2"/>
      <c r="D467" s="2" t="s">
        <v>11</v>
      </c>
      <c r="E467" s="2">
        <v>15.0</v>
      </c>
      <c r="F467" s="2" t="s">
        <v>12</v>
      </c>
      <c r="G467" s="2"/>
      <c r="H467" s="2"/>
      <c r="I467" s="2"/>
    </row>
    <row r="468">
      <c r="A468" s="1" t="s">
        <v>450</v>
      </c>
      <c r="B468" s="2" t="s">
        <v>20</v>
      </c>
      <c r="C468" s="2"/>
      <c r="D468" s="2" t="s">
        <v>11</v>
      </c>
      <c r="E468" s="2">
        <v>10.0</v>
      </c>
      <c r="F468" s="2" t="s">
        <v>12</v>
      </c>
      <c r="G468" s="2"/>
      <c r="H468" s="2"/>
      <c r="I468" s="2"/>
    </row>
    <row r="469">
      <c r="A469" s="2" t="s">
        <v>451</v>
      </c>
      <c r="B469" s="2" t="s">
        <v>20</v>
      </c>
      <c r="C469" s="1"/>
      <c r="D469" s="2"/>
      <c r="E469" s="2"/>
      <c r="F469" s="2"/>
      <c r="G469" s="2"/>
      <c r="H469" s="2"/>
      <c r="I469" s="2"/>
    </row>
    <row r="470">
      <c r="A470" s="1" t="s">
        <v>452</v>
      </c>
      <c r="B470" s="2" t="s">
        <v>20</v>
      </c>
      <c r="C470" s="2"/>
      <c r="D470" s="2" t="s">
        <v>11</v>
      </c>
      <c r="E470" s="2">
        <v>10.0</v>
      </c>
      <c r="F470" s="2" t="s">
        <v>12</v>
      </c>
      <c r="G470" s="2"/>
      <c r="H470" s="2"/>
      <c r="I470" s="2"/>
    </row>
    <row r="471">
      <c r="A471" s="1" t="s">
        <v>453</v>
      </c>
      <c r="B471" s="2" t="s">
        <v>20</v>
      </c>
      <c r="C471" s="2"/>
      <c r="D471" s="2" t="s">
        <v>11</v>
      </c>
      <c r="E471" s="2">
        <v>10.0</v>
      </c>
      <c r="F471" s="2" t="s">
        <v>12</v>
      </c>
      <c r="G471" s="2"/>
      <c r="H471" s="2"/>
      <c r="I471" s="2"/>
    </row>
    <row r="472">
      <c r="A472" s="1" t="s">
        <v>454</v>
      </c>
      <c r="B472" s="2" t="s">
        <v>20</v>
      </c>
      <c r="C472" s="2"/>
      <c r="D472" s="2" t="s">
        <v>11</v>
      </c>
      <c r="E472" s="2">
        <v>10.0</v>
      </c>
      <c r="F472" s="2" t="s">
        <v>12</v>
      </c>
      <c r="G472" s="2"/>
      <c r="H472" s="2"/>
      <c r="I472" s="2"/>
    </row>
    <row r="473">
      <c r="A473" s="1" t="s">
        <v>455</v>
      </c>
      <c r="B473" s="2" t="s">
        <v>20</v>
      </c>
      <c r="C473" s="2"/>
      <c r="D473" s="2" t="s">
        <v>11</v>
      </c>
      <c r="E473" s="2">
        <v>10.0</v>
      </c>
      <c r="F473" s="2" t="s">
        <v>12</v>
      </c>
      <c r="G473" s="2"/>
      <c r="H473" s="2"/>
      <c r="I473" s="2"/>
    </row>
    <row r="474">
      <c r="A474" s="1" t="s">
        <v>455</v>
      </c>
      <c r="B474" s="2" t="s">
        <v>20</v>
      </c>
      <c r="C474" s="2"/>
      <c r="D474" s="2" t="s">
        <v>11</v>
      </c>
      <c r="E474" s="2">
        <v>15.0</v>
      </c>
      <c r="F474" s="2" t="s">
        <v>12</v>
      </c>
      <c r="G474" s="2"/>
      <c r="H474" s="2"/>
      <c r="I474" s="2"/>
    </row>
    <row r="475">
      <c r="A475" s="1" t="s">
        <v>456</v>
      </c>
      <c r="B475" s="2" t="s">
        <v>20</v>
      </c>
      <c r="C475" s="2"/>
      <c r="D475" s="2" t="s">
        <v>11</v>
      </c>
      <c r="E475" s="2">
        <v>10.0</v>
      </c>
      <c r="F475" s="2" t="s">
        <v>12</v>
      </c>
      <c r="G475" s="2"/>
      <c r="H475" s="2"/>
      <c r="I475" s="2"/>
    </row>
    <row r="476">
      <c r="A476" s="1" t="s">
        <v>457</v>
      </c>
      <c r="B476" s="2" t="s">
        <v>20</v>
      </c>
      <c r="C476" s="2"/>
      <c r="D476" s="2" t="s">
        <v>11</v>
      </c>
      <c r="E476" s="2">
        <v>10.0</v>
      </c>
      <c r="F476" s="2" t="s">
        <v>12</v>
      </c>
      <c r="G476" s="2"/>
      <c r="H476" s="2"/>
      <c r="I476" s="2"/>
    </row>
    <row r="477">
      <c r="A477" s="1" t="s">
        <v>458</v>
      </c>
      <c r="B477" s="2" t="s">
        <v>20</v>
      </c>
      <c r="C477" s="2"/>
      <c r="D477" s="2" t="s">
        <v>11</v>
      </c>
      <c r="E477" s="2">
        <v>10.0</v>
      </c>
      <c r="F477" s="2" t="s">
        <v>12</v>
      </c>
      <c r="G477" s="2"/>
      <c r="H477" s="2"/>
      <c r="I477" s="2"/>
    </row>
    <row r="478">
      <c r="A478" s="1" t="s">
        <v>459</v>
      </c>
      <c r="B478" s="2" t="s">
        <v>20</v>
      </c>
      <c r="C478" s="2"/>
      <c r="D478" s="2" t="s">
        <v>11</v>
      </c>
      <c r="E478" s="2">
        <v>10.0</v>
      </c>
      <c r="F478" s="2" t="s">
        <v>12</v>
      </c>
      <c r="G478" s="2"/>
      <c r="H478" s="2"/>
      <c r="I478" s="2"/>
    </row>
    <row r="479">
      <c r="A479" s="1" t="s">
        <v>460</v>
      </c>
      <c r="B479" s="2" t="s">
        <v>20</v>
      </c>
      <c r="C479" s="2"/>
      <c r="D479" s="2" t="s">
        <v>11</v>
      </c>
      <c r="E479" s="2">
        <v>10.0</v>
      </c>
      <c r="F479" s="2" t="s">
        <v>12</v>
      </c>
      <c r="G479" s="2"/>
      <c r="H479" s="2"/>
      <c r="I479" s="2"/>
    </row>
    <row r="480">
      <c r="A480" s="2" t="s">
        <v>461</v>
      </c>
      <c r="B480" s="2" t="s">
        <v>20</v>
      </c>
      <c r="C480" s="2"/>
      <c r="D480" s="2" t="s">
        <v>11</v>
      </c>
      <c r="E480" s="2">
        <v>10.0</v>
      </c>
      <c r="F480" s="2" t="s">
        <v>12</v>
      </c>
      <c r="G480" s="2"/>
      <c r="H480" s="2"/>
      <c r="I480" s="2"/>
    </row>
    <row r="481">
      <c r="A481" s="1" t="s">
        <v>462</v>
      </c>
      <c r="B481" s="2" t="s">
        <v>20</v>
      </c>
      <c r="C481" s="2"/>
      <c r="D481" s="2" t="s">
        <v>11</v>
      </c>
      <c r="E481" s="2">
        <v>10.0</v>
      </c>
      <c r="F481" s="2" t="s">
        <v>12</v>
      </c>
      <c r="G481" s="2"/>
      <c r="H481" s="2"/>
      <c r="I481" s="2"/>
    </row>
    <row r="482">
      <c r="A482" s="1" t="s">
        <v>463</v>
      </c>
      <c r="B482" s="2" t="s">
        <v>20</v>
      </c>
      <c r="C482" s="2"/>
      <c r="D482" s="2" t="s">
        <v>11</v>
      </c>
      <c r="E482" s="2">
        <v>10.0</v>
      </c>
      <c r="F482" s="2" t="s">
        <v>12</v>
      </c>
      <c r="G482" s="2"/>
      <c r="H482" s="2"/>
      <c r="I482" s="2"/>
    </row>
    <row r="483">
      <c r="A483" s="1" t="s">
        <v>464</v>
      </c>
      <c r="B483" s="2" t="s">
        <v>20</v>
      </c>
      <c r="C483" s="2"/>
      <c r="D483" s="2" t="s">
        <v>11</v>
      </c>
      <c r="E483" s="2">
        <v>10.0</v>
      </c>
      <c r="F483" s="2" t="s">
        <v>12</v>
      </c>
      <c r="G483" s="2"/>
      <c r="H483" s="2"/>
      <c r="I483" s="2"/>
    </row>
    <row r="484">
      <c r="A484" s="1" t="s">
        <v>465</v>
      </c>
      <c r="B484" s="2" t="s">
        <v>20</v>
      </c>
      <c r="C484" s="2"/>
      <c r="D484" s="2" t="s">
        <v>11</v>
      </c>
      <c r="E484" s="2">
        <v>10.0</v>
      </c>
      <c r="F484" s="2" t="s">
        <v>12</v>
      </c>
      <c r="G484" s="2"/>
      <c r="H484" s="2"/>
      <c r="I484" s="2"/>
    </row>
    <row r="485">
      <c r="A485" s="1" t="s">
        <v>465</v>
      </c>
      <c r="B485" s="2" t="s">
        <v>20</v>
      </c>
      <c r="C485" s="2"/>
      <c r="D485" s="2" t="s">
        <v>11</v>
      </c>
      <c r="E485" s="2">
        <v>15.0</v>
      </c>
      <c r="F485" s="2" t="s">
        <v>12</v>
      </c>
      <c r="G485" s="2"/>
      <c r="H485" s="2"/>
      <c r="I485" s="2"/>
    </row>
    <row r="486">
      <c r="A486" s="2" t="s">
        <v>466</v>
      </c>
      <c r="B486" s="2" t="s">
        <v>20</v>
      </c>
      <c r="C486" s="2"/>
      <c r="D486" s="2" t="s">
        <v>11</v>
      </c>
      <c r="E486" s="2">
        <v>14.0</v>
      </c>
      <c r="F486" s="2" t="s">
        <v>12</v>
      </c>
      <c r="G486" s="2"/>
      <c r="H486" s="2"/>
      <c r="I486" s="2"/>
    </row>
    <row r="487">
      <c r="A487" s="2" t="s">
        <v>467</v>
      </c>
      <c r="B487" s="2" t="s">
        <v>468</v>
      </c>
      <c r="C487" s="1"/>
      <c r="D487" s="2"/>
      <c r="E487" s="2"/>
      <c r="F487" s="2"/>
      <c r="G487" s="2"/>
      <c r="H487" s="2"/>
      <c r="I487" s="2"/>
    </row>
    <row r="488">
      <c r="A488" s="2" t="s">
        <v>469</v>
      </c>
      <c r="B488" s="2" t="s">
        <v>468</v>
      </c>
      <c r="C488" s="1"/>
      <c r="D488" s="2"/>
      <c r="E488" s="2"/>
      <c r="F488" s="2"/>
      <c r="G488" s="2"/>
      <c r="H488" s="2"/>
      <c r="I488" s="2"/>
    </row>
    <row r="489">
      <c r="A489" s="2" t="s">
        <v>470</v>
      </c>
      <c r="B489" s="2" t="s">
        <v>468</v>
      </c>
      <c r="C489" s="1"/>
      <c r="D489" s="2"/>
      <c r="E489" s="2"/>
      <c r="F489" s="2"/>
      <c r="G489" s="2"/>
      <c r="H489" s="2"/>
      <c r="I489" s="2"/>
    </row>
    <row r="490">
      <c r="A490" s="2" t="s">
        <v>471</v>
      </c>
      <c r="B490" s="2" t="s">
        <v>468</v>
      </c>
      <c r="C490" s="2"/>
      <c r="D490" s="2" t="s">
        <v>11</v>
      </c>
      <c r="E490" s="2">
        <v>15.0</v>
      </c>
      <c r="F490" s="2" t="s">
        <v>12</v>
      </c>
      <c r="G490" s="2"/>
      <c r="H490" s="2"/>
      <c r="I490" s="2"/>
    </row>
    <row r="491">
      <c r="A491" s="1" t="s">
        <v>472</v>
      </c>
      <c r="B491" s="2" t="s">
        <v>473</v>
      </c>
      <c r="C491" s="2"/>
      <c r="D491" s="2" t="s">
        <v>37</v>
      </c>
      <c r="E491" s="2">
        <v>10.0</v>
      </c>
      <c r="F491" s="2" t="s">
        <v>12</v>
      </c>
      <c r="G491" s="2"/>
      <c r="H491" s="2"/>
      <c r="I491" s="2"/>
    </row>
    <row r="492">
      <c r="A492" s="2" t="s">
        <v>474</v>
      </c>
      <c r="B492" s="2" t="s">
        <v>473</v>
      </c>
      <c r="C492" s="2"/>
      <c r="D492" s="2" t="s">
        <v>11</v>
      </c>
      <c r="E492" s="2">
        <v>10.0</v>
      </c>
      <c r="F492" s="2" t="s">
        <v>12</v>
      </c>
      <c r="G492" s="2"/>
      <c r="H492" s="2"/>
      <c r="I492" s="2"/>
    </row>
    <row r="493">
      <c r="A493" s="1" t="s">
        <v>475</v>
      </c>
      <c r="B493" s="2" t="s">
        <v>473</v>
      </c>
      <c r="C493" s="2"/>
      <c r="D493" s="2" t="s">
        <v>11</v>
      </c>
      <c r="E493" s="2">
        <v>10.0</v>
      </c>
      <c r="F493" s="2" t="s">
        <v>12</v>
      </c>
      <c r="G493" s="2"/>
      <c r="H493" s="2"/>
      <c r="I493" s="2"/>
    </row>
    <row r="494">
      <c r="A494" s="2" t="s">
        <v>476</v>
      </c>
      <c r="B494" s="2" t="s">
        <v>473</v>
      </c>
      <c r="C494" s="2"/>
      <c r="D494" s="2" t="s">
        <v>11</v>
      </c>
      <c r="E494" s="2">
        <v>10.0</v>
      </c>
      <c r="F494" s="2" t="s">
        <v>12</v>
      </c>
      <c r="G494" s="2"/>
      <c r="H494" s="2"/>
      <c r="I494" s="2"/>
    </row>
    <row r="495">
      <c r="A495" s="1" t="s">
        <v>477</v>
      </c>
      <c r="B495" s="2" t="s">
        <v>473</v>
      </c>
      <c r="C495" s="2"/>
      <c r="D495" s="2" t="s">
        <v>11</v>
      </c>
      <c r="E495" s="2">
        <v>10.0</v>
      </c>
      <c r="F495" s="2" t="s">
        <v>12</v>
      </c>
      <c r="G495" s="2"/>
      <c r="H495" s="2"/>
      <c r="I495" s="2"/>
    </row>
    <row r="496">
      <c r="A496" s="1" t="s">
        <v>478</v>
      </c>
      <c r="B496" s="2" t="s">
        <v>473</v>
      </c>
      <c r="C496" s="2"/>
      <c r="D496" s="2" t="s">
        <v>11</v>
      </c>
      <c r="E496" s="2">
        <v>10.0</v>
      </c>
      <c r="F496" s="2" t="s">
        <v>12</v>
      </c>
      <c r="G496" s="2"/>
      <c r="H496" s="2"/>
      <c r="I496" s="2"/>
    </row>
    <row r="497">
      <c r="A497" s="2" t="s">
        <v>479</v>
      </c>
      <c r="B497" s="2" t="s">
        <v>480</v>
      </c>
      <c r="C497" s="1"/>
      <c r="D497" s="2"/>
      <c r="E497" s="2"/>
      <c r="F497" s="2"/>
      <c r="G497" s="2"/>
      <c r="H497" s="2"/>
      <c r="I497" s="2"/>
    </row>
    <row r="498">
      <c r="A498" s="1" t="s">
        <v>481</v>
      </c>
      <c r="B498" s="2" t="s">
        <v>480</v>
      </c>
      <c r="C498" s="2"/>
      <c r="D498" s="2" t="s">
        <v>11</v>
      </c>
      <c r="E498" s="2">
        <v>10.0</v>
      </c>
      <c r="F498" s="2" t="s">
        <v>12</v>
      </c>
      <c r="G498" s="2"/>
      <c r="H498" s="2"/>
      <c r="I498" s="2"/>
    </row>
    <row r="499">
      <c r="A499" s="1" t="s">
        <v>482</v>
      </c>
      <c r="B499" s="2" t="s">
        <v>480</v>
      </c>
      <c r="C499" s="2"/>
      <c r="D499" s="2" t="s">
        <v>11</v>
      </c>
      <c r="E499" s="2">
        <v>10.0</v>
      </c>
      <c r="F499" s="2" t="s">
        <v>12</v>
      </c>
      <c r="G499" s="2"/>
      <c r="H499" s="2"/>
      <c r="I499" s="2"/>
    </row>
    <row r="500">
      <c r="A500" s="1" t="s">
        <v>483</v>
      </c>
      <c r="B500" s="2" t="s">
        <v>480</v>
      </c>
      <c r="C500" s="2"/>
      <c r="D500" s="2" t="s">
        <v>11</v>
      </c>
      <c r="E500" s="2">
        <v>10.0</v>
      </c>
      <c r="F500" s="2" t="s">
        <v>12</v>
      </c>
      <c r="G500" s="2"/>
      <c r="H500" s="2"/>
      <c r="I500" s="2"/>
    </row>
    <row r="501">
      <c r="A501" s="1" t="s">
        <v>484</v>
      </c>
      <c r="B501" s="2" t="s">
        <v>480</v>
      </c>
      <c r="C501" s="2"/>
      <c r="D501" s="2" t="s">
        <v>11</v>
      </c>
      <c r="E501" s="2">
        <v>10.0</v>
      </c>
      <c r="F501" s="2" t="s">
        <v>12</v>
      </c>
      <c r="G501" s="2"/>
      <c r="H501" s="2"/>
      <c r="I501" s="2"/>
    </row>
    <row r="502">
      <c r="A502" s="1" t="s">
        <v>297</v>
      </c>
      <c r="B502" s="2" t="s">
        <v>485</v>
      </c>
      <c r="C502" s="2"/>
      <c r="D502" s="2" t="s">
        <v>11</v>
      </c>
      <c r="E502" s="2">
        <v>15.0</v>
      </c>
      <c r="F502" s="2" t="s">
        <v>12</v>
      </c>
      <c r="G502" s="2"/>
      <c r="H502" s="2"/>
      <c r="I502" s="2"/>
    </row>
    <row r="503">
      <c r="A503" s="1" t="s">
        <v>486</v>
      </c>
      <c r="B503" s="2" t="s">
        <v>485</v>
      </c>
      <c r="C503" s="2"/>
      <c r="D503" s="2" t="s">
        <v>11</v>
      </c>
      <c r="E503" s="2">
        <v>10.0</v>
      </c>
      <c r="F503" s="2" t="s">
        <v>12</v>
      </c>
      <c r="G503" s="2"/>
      <c r="H503" s="2"/>
      <c r="I503" s="2"/>
    </row>
    <row r="504">
      <c r="A504" s="1" t="s">
        <v>311</v>
      </c>
      <c r="B504" s="2" t="s">
        <v>485</v>
      </c>
      <c r="C504" s="2"/>
      <c r="D504" s="2" t="s">
        <v>11</v>
      </c>
      <c r="E504" s="2">
        <v>10.0</v>
      </c>
      <c r="F504" s="2" t="s">
        <v>12</v>
      </c>
      <c r="G504" s="2"/>
      <c r="H504" s="2"/>
      <c r="I504" s="2"/>
    </row>
    <row r="505">
      <c r="A505" s="1" t="s">
        <v>368</v>
      </c>
      <c r="B505" s="2" t="s">
        <v>485</v>
      </c>
      <c r="C505" s="2"/>
      <c r="D505" s="2" t="s">
        <v>11</v>
      </c>
      <c r="E505" s="2">
        <v>10.0</v>
      </c>
      <c r="F505" s="2" t="s">
        <v>12</v>
      </c>
      <c r="G505" s="2"/>
      <c r="H505" s="2"/>
      <c r="I505" s="2"/>
    </row>
    <row r="506">
      <c r="A506" s="2" t="s">
        <v>403</v>
      </c>
      <c r="B506" s="2" t="s">
        <v>485</v>
      </c>
      <c r="C506" s="2"/>
      <c r="D506" s="2" t="s">
        <v>11</v>
      </c>
      <c r="E506" s="2">
        <v>10.0</v>
      </c>
      <c r="F506" s="2" t="s">
        <v>12</v>
      </c>
      <c r="G506" s="2"/>
      <c r="H506" s="2"/>
      <c r="I506" s="2"/>
    </row>
    <row r="507">
      <c r="A507" s="2" t="s">
        <v>487</v>
      </c>
      <c r="B507" s="2" t="s">
        <v>488</v>
      </c>
      <c r="C507" s="2"/>
      <c r="D507" s="2" t="s">
        <v>11</v>
      </c>
      <c r="E507" s="2">
        <v>10.0</v>
      </c>
      <c r="F507" s="2" t="s">
        <v>12</v>
      </c>
      <c r="G507" s="2"/>
      <c r="H507" s="2"/>
      <c r="I507" s="2"/>
    </row>
    <row r="508">
      <c r="A508" s="2" t="s">
        <v>489</v>
      </c>
      <c r="B508" s="2" t="s">
        <v>490</v>
      </c>
      <c r="C508" s="1"/>
      <c r="D508" s="2"/>
      <c r="E508" s="2"/>
      <c r="F508" s="2"/>
      <c r="G508" s="2"/>
      <c r="H508" s="2"/>
      <c r="I508" s="2"/>
    </row>
    <row r="509">
      <c r="A509" s="1" t="s">
        <v>491</v>
      </c>
      <c r="B509" s="2" t="s">
        <v>490</v>
      </c>
      <c r="C509" s="1"/>
      <c r="D509" s="2"/>
      <c r="E509" s="2"/>
      <c r="F509" s="2"/>
      <c r="G509" s="2"/>
      <c r="H509" s="2"/>
      <c r="I509" s="2"/>
    </row>
    <row r="510">
      <c r="A510" s="2" t="s">
        <v>492</v>
      </c>
      <c r="B510" s="2" t="s">
        <v>490</v>
      </c>
      <c r="C510" s="2"/>
      <c r="D510" s="2" t="s">
        <v>493</v>
      </c>
      <c r="E510" s="2">
        <v>1.0</v>
      </c>
      <c r="F510" s="2"/>
      <c r="G510" s="2"/>
      <c r="H510" s="2"/>
      <c r="I510" s="2"/>
    </row>
    <row r="511">
      <c r="A511" s="2" t="s">
        <v>494</v>
      </c>
      <c r="B511" s="2" t="s">
        <v>490</v>
      </c>
      <c r="C511" s="1"/>
      <c r="D511" s="2"/>
      <c r="E511" s="2"/>
      <c r="F511" s="2"/>
      <c r="G511" s="2"/>
      <c r="H511" s="2"/>
      <c r="I511" s="2"/>
    </row>
    <row r="512">
      <c r="A512" s="2" t="s">
        <v>495</v>
      </c>
      <c r="B512" s="2" t="s">
        <v>490</v>
      </c>
      <c r="C512" s="2"/>
      <c r="D512" s="2" t="s">
        <v>37</v>
      </c>
      <c r="E512" s="2">
        <v>15.0</v>
      </c>
      <c r="F512" s="2" t="s">
        <v>12</v>
      </c>
      <c r="G512" s="2"/>
      <c r="H512" s="2"/>
      <c r="I512" s="2"/>
    </row>
    <row r="513">
      <c r="A513" s="2" t="s">
        <v>496</v>
      </c>
      <c r="B513" s="2" t="s">
        <v>497</v>
      </c>
      <c r="C513" s="2"/>
      <c r="D513" s="2" t="s">
        <v>11</v>
      </c>
      <c r="E513" s="2">
        <v>15.0</v>
      </c>
      <c r="F513" s="2" t="s">
        <v>12</v>
      </c>
      <c r="G513" s="2"/>
      <c r="H513" s="2"/>
      <c r="I513" s="2"/>
    </row>
    <row r="514">
      <c r="A514" s="1" t="s">
        <v>498</v>
      </c>
      <c r="B514" s="2" t="s">
        <v>497</v>
      </c>
      <c r="C514" s="2"/>
      <c r="D514" s="2" t="s">
        <v>11</v>
      </c>
      <c r="E514" s="2">
        <v>10.0</v>
      </c>
      <c r="F514" s="2" t="s">
        <v>12</v>
      </c>
      <c r="G514" s="2"/>
      <c r="H514" s="2"/>
      <c r="I514" s="2"/>
    </row>
    <row r="515">
      <c r="A515" s="1" t="s">
        <v>499</v>
      </c>
      <c r="B515" s="2" t="s">
        <v>497</v>
      </c>
      <c r="C515" s="2"/>
      <c r="D515" s="2" t="s">
        <v>11</v>
      </c>
      <c r="E515" s="2">
        <v>10.0</v>
      </c>
      <c r="F515" s="2" t="s">
        <v>12</v>
      </c>
      <c r="G515" s="2"/>
      <c r="H515" s="2"/>
      <c r="I515" s="2"/>
    </row>
    <row r="516">
      <c r="A516" s="1" t="s">
        <v>500</v>
      </c>
      <c r="B516" s="2" t="s">
        <v>497</v>
      </c>
      <c r="C516" s="2"/>
      <c r="D516" s="2" t="s">
        <v>11</v>
      </c>
      <c r="E516" s="2">
        <v>10.0</v>
      </c>
      <c r="F516" s="2" t="s">
        <v>12</v>
      </c>
      <c r="G516" s="2"/>
      <c r="H516" s="2"/>
      <c r="I516" s="2"/>
    </row>
    <row r="517">
      <c r="A517" s="1" t="s">
        <v>501</v>
      </c>
      <c r="B517" s="2" t="s">
        <v>497</v>
      </c>
      <c r="C517" s="2"/>
      <c r="D517" s="2" t="s">
        <v>11</v>
      </c>
      <c r="E517" s="2">
        <v>10.0</v>
      </c>
      <c r="F517" s="2" t="s">
        <v>12</v>
      </c>
      <c r="G517" s="2"/>
      <c r="H517" s="2"/>
      <c r="I517" s="2"/>
    </row>
    <row r="518">
      <c r="A518" s="1" t="s">
        <v>502</v>
      </c>
      <c r="B518" s="2" t="s">
        <v>497</v>
      </c>
      <c r="C518" s="2"/>
      <c r="D518" s="2" t="s">
        <v>11</v>
      </c>
      <c r="E518" s="2">
        <v>10.0</v>
      </c>
      <c r="F518" s="2" t="s">
        <v>12</v>
      </c>
      <c r="G518" s="2"/>
      <c r="H518" s="2"/>
      <c r="I518" s="2"/>
    </row>
    <row r="519">
      <c r="A519" s="1" t="s">
        <v>503</v>
      </c>
      <c r="B519" s="2" t="s">
        <v>504</v>
      </c>
      <c r="C519" s="2"/>
      <c r="D519" s="2" t="s">
        <v>37</v>
      </c>
      <c r="E519" s="2">
        <v>10.0</v>
      </c>
      <c r="F519" s="2" t="s">
        <v>12</v>
      </c>
      <c r="G519" s="2"/>
      <c r="H519" s="2"/>
      <c r="I519" s="2"/>
    </row>
    <row r="520">
      <c r="A520" s="2" t="s">
        <v>505</v>
      </c>
      <c r="B520" s="2" t="s">
        <v>506</v>
      </c>
      <c r="C520" s="1"/>
      <c r="D520" s="2"/>
      <c r="E520" s="2"/>
      <c r="F520" s="2"/>
      <c r="G520" s="2"/>
      <c r="H520" s="2"/>
      <c r="I520" s="2"/>
    </row>
    <row r="521">
      <c r="A521" s="2" t="s">
        <v>507</v>
      </c>
      <c r="B521" s="2" t="s">
        <v>506</v>
      </c>
      <c r="C521" s="2"/>
      <c r="D521" s="2" t="s">
        <v>11</v>
      </c>
      <c r="E521" s="2">
        <v>10.0</v>
      </c>
      <c r="F521" s="2" t="s">
        <v>12</v>
      </c>
      <c r="G521" s="2"/>
      <c r="H521" s="2"/>
      <c r="I521" s="2"/>
    </row>
    <row r="522">
      <c r="A522" s="1" t="s">
        <v>508</v>
      </c>
      <c r="B522" s="2" t="s">
        <v>509</v>
      </c>
      <c r="C522" s="2"/>
      <c r="D522" s="2" t="s">
        <v>11</v>
      </c>
      <c r="E522" s="2">
        <v>10.0</v>
      </c>
      <c r="F522" s="2" t="s">
        <v>12</v>
      </c>
      <c r="G522" s="2"/>
      <c r="H522" s="2"/>
      <c r="I522" s="2"/>
    </row>
    <row r="523">
      <c r="A523" s="1" t="s">
        <v>510</v>
      </c>
      <c r="B523" s="2" t="s">
        <v>509</v>
      </c>
      <c r="C523" s="2"/>
      <c r="D523" s="2" t="s">
        <v>11</v>
      </c>
      <c r="E523" s="2">
        <v>10.0</v>
      </c>
      <c r="F523" s="2" t="s">
        <v>12</v>
      </c>
      <c r="G523" s="2"/>
      <c r="H523" s="2"/>
      <c r="I523" s="2"/>
    </row>
    <row r="524">
      <c r="A524" s="1" t="s">
        <v>511</v>
      </c>
      <c r="B524" s="2" t="s">
        <v>509</v>
      </c>
      <c r="C524" s="2"/>
      <c r="D524" s="2" t="s">
        <v>11</v>
      </c>
      <c r="E524" s="2">
        <v>10.0</v>
      </c>
      <c r="F524" s="2" t="s">
        <v>12</v>
      </c>
      <c r="G524" s="2"/>
      <c r="H524" s="2"/>
      <c r="I524" s="2"/>
    </row>
    <row r="525">
      <c r="A525" s="1" t="s">
        <v>512</v>
      </c>
      <c r="B525" s="2" t="s">
        <v>513</v>
      </c>
      <c r="C525" s="2"/>
      <c r="D525" s="2" t="s">
        <v>73</v>
      </c>
      <c r="E525" s="2">
        <v>1.0</v>
      </c>
      <c r="F525" s="2" t="s">
        <v>74</v>
      </c>
      <c r="G525" s="2"/>
      <c r="H525" s="2"/>
      <c r="I525" s="2"/>
    </row>
    <row r="526">
      <c r="A526" s="1" t="s">
        <v>514</v>
      </c>
      <c r="B526" s="2" t="s">
        <v>513</v>
      </c>
      <c r="C526" s="2"/>
      <c r="D526" s="2" t="s">
        <v>73</v>
      </c>
      <c r="E526" s="2">
        <v>1.0</v>
      </c>
      <c r="F526" s="2" t="s">
        <v>74</v>
      </c>
      <c r="G526" s="2"/>
      <c r="H526" s="2"/>
      <c r="I526" s="2"/>
    </row>
    <row r="527">
      <c r="A527" s="2" t="s">
        <v>515</v>
      </c>
      <c r="B527" s="2" t="s">
        <v>513</v>
      </c>
      <c r="C527" s="1"/>
      <c r="D527" s="2"/>
      <c r="E527" s="2"/>
      <c r="F527" s="2"/>
      <c r="G527" s="2"/>
      <c r="H527" s="2"/>
      <c r="I527" s="2"/>
    </row>
    <row r="528">
      <c r="A528" s="2" t="s">
        <v>516</v>
      </c>
      <c r="B528" s="2" t="s">
        <v>513</v>
      </c>
      <c r="C528" s="1"/>
      <c r="D528" s="2"/>
      <c r="E528" s="2"/>
      <c r="F528" s="2"/>
      <c r="G528" s="2"/>
      <c r="H528" s="2"/>
      <c r="I528" s="2"/>
    </row>
    <row r="529">
      <c r="A529" s="2" t="s">
        <v>517</v>
      </c>
      <c r="B529" s="2" t="s">
        <v>513</v>
      </c>
      <c r="C529" s="1"/>
      <c r="D529" s="2"/>
      <c r="E529" s="2"/>
      <c r="F529" s="2"/>
      <c r="G529" s="2"/>
      <c r="H529" s="2"/>
      <c r="I529" s="2"/>
    </row>
    <row r="530">
      <c r="A530" s="1" t="s">
        <v>518</v>
      </c>
      <c r="B530" s="2" t="s">
        <v>513</v>
      </c>
      <c r="C530" s="2"/>
      <c r="D530" s="2" t="s">
        <v>37</v>
      </c>
      <c r="E530" s="2">
        <v>10.0</v>
      </c>
      <c r="F530" s="2" t="s">
        <v>12</v>
      </c>
      <c r="G530" s="2"/>
      <c r="H530" s="2"/>
      <c r="I530" s="2"/>
    </row>
    <row r="531">
      <c r="A531" s="1" t="s">
        <v>519</v>
      </c>
      <c r="B531" s="2" t="s">
        <v>513</v>
      </c>
      <c r="C531" s="2"/>
      <c r="D531" s="2" t="s">
        <v>37</v>
      </c>
      <c r="E531" s="2">
        <v>10.0</v>
      </c>
      <c r="F531" s="2" t="s">
        <v>12</v>
      </c>
      <c r="G531" s="2"/>
      <c r="H531" s="2"/>
      <c r="I531" s="2"/>
    </row>
    <row r="532">
      <c r="A532" s="2" t="s">
        <v>520</v>
      </c>
      <c r="B532" s="2" t="s">
        <v>513</v>
      </c>
      <c r="C532" s="1"/>
      <c r="D532" s="2"/>
      <c r="E532" s="2"/>
      <c r="F532" s="2"/>
      <c r="G532" s="2"/>
      <c r="H532" s="2"/>
      <c r="I532" s="2"/>
    </row>
    <row r="533">
      <c r="A533" s="2" t="s">
        <v>521</v>
      </c>
      <c r="B533" s="2" t="s">
        <v>513</v>
      </c>
      <c r="C533" s="1"/>
      <c r="D533" s="2"/>
      <c r="E533" s="2"/>
      <c r="F533" s="2"/>
      <c r="G533" s="2"/>
      <c r="H533" s="2"/>
      <c r="I533" s="2"/>
    </row>
    <row r="534">
      <c r="A534" s="2" t="s">
        <v>522</v>
      </c>
      <c r="B534" s="2" t="s">
        <v>513</v>
      </c>
      <c r="C534" s="1"/>
      <c r="D534" s="2"/>
      <c r="E534" s="2"/>
      <c r="F534" s="2"/>
      <c r="G534" s="2"/>
      <c r="H534" s="2"/>
      <c r="I534" s="2"/>
    </row>
    <row r="535">
      <c r="A535" s="1" t="s">
        <v>523</v>
      </c>
      <c r="B535" s="2" t="s">
        <v>513</v>
      </c>
      <c r="C535" s="2"/>
      <c r="D535" s="2" t="s">
        <v>37</v>
      </c>
      <c r="E535" s="2">
        <v>10.0</v>
      </c>
      <c r="F535" s="2" t="s">
        <v>12</v>
      </c>
      <c r="G535" s="2"/>
      <c r="H535" s="2"/>
      <c r="I535" s="2"/>
    </row>
    <row r="536">
      <c r="A536" s="2" t="s">
        <v>390</v>
      </c>
      <c r="B536" s="2" t="s">
        <v>513</v>
      </c>
      <c r="C536" s="2"/>
      <c r="D536" s="2" t="s">
        <v>11</v>
      </c>
      <c r="E536" s="2">
        <v>15.0</v>
      </c>
      <c r="F536" s="2" t="s">
        <v>12</v>
      </c>
      <c r="G536" s="2"/>
      <c r="H536" s="2"/>
      <c r="I536" s="2"/>
    </row>
    <row r="537">
      <c r="A537" s="1" t="s">
        <v>524</v>
      </c>
      <c r="B537" s="2" t="s">
        <v>513</v>
      </c>
      <c r="C537" s="2"/>
      <c r="D537" s="2" t="s">
        <v>11</v>
      </c>
      <c r="E537" s="2">
        <v>10.0</v>
      </c>
      <c r="F537" s="2" t="s">
        <v>12</v>
      </c>
      <c r="G537" s="2"/>
      <c r="H537" s="2"/>
      <c r="I537" s="2"/>
    </row>
    <row r="538">
      <c r="A538" s="2" t="s">
        <v>525</v>
      </c>
      <c r="B538" s="2" t="s">
        <v>526</v>
      </c>
      <c r="C538" s="2"/>
      <c r="D538" s="2" t="s">
        <v>11</v>
      </c>
      <c r="E538" s="2">
        <v>15.0</v>
      </c>
      <c r="F538" s="2" t="s">
        <v>12</v>
      </c>
      <c r="G538" s="2"/>
      <c r="H538" s="2"/>
      <c r="I538" s="2"/>
    </row>
    <row r="539">
      <c r="A539" s="2" t="s">
        <v>527</v>
      </c>
      <c r="B539" s="2" t="s">
        <v>526</v>
      </c>
      <c r="C539" s="1"/>
      <c r="D539" s="2"/>
      <c r="E539" s="2"/>
      <c r="F539" s="2"/>
      <c r="G539" s="2"/>
      <c r="H539" s="2"/>
      <c r="I539" s="2"/>
    </row>
    <row r="540">
      <c r="A540" s="2" t="s">
        <v>528</v>
      </c>
      <c r="B540" s="2" t="s">
        <v>526</v>
      </c>
      <c r="C540" s="2"/>
      <c r="D540" s="2" t="s">
        <v>11</v>
      </c>
      <c r="E540" s="2">
        <v>10.0</v>
      </c>
      <c r="F540" s="2" t="s">
        <v>12</v>
      </c>
      <c r="G540" s="2"/>
      <c r="H540" s="2"/>
      <c r="I540" s="2"/>
    </row>
    <row r="541">
      <c r="A541" s="2" t="s">
        <v>529</v>
      </c>
      <c r="B541" s="2" t="s">
        <v>526</v>
      </c>
      <c r="C541" s="2"/>
      <c r="D541" s="2" t="s">
        <v>11</v>
      </c>
      <c r="E541" s="2">
        <v>10.0</v>
      </c>
      <c r="F541" s="2" t="s">
        <v>12</v>
      </c>
      <c r="G541" s="2"/>
      <c r="H541" s="2"/>
      <c r="I541" s="2"/>
    </row>
    <row r="542">
      <c r="A542" s="2" t="s">
        <v>530</v>
      </c>
      <c r="B542" s="2" t="s">
        <v>526</v>
      </c>
      <c r="C542" s="2"/>
      <c r="D542" s="2" t="s">
        <v>11</v>
      </c>
      <c r="E542" s="2">
        <v>10.0</v>
      </c>
      <c r="F542" s="2" t="s">
        <v>12</v>
      </c>
      <c r="G542" s="2"/>
      <c r="H542" s="2"/>
      <c r="I542" s="2"/>
    </row>
    <row r="543">
      <c r="A543" s="2" t="s">
        <v>531</v>
      </c>
      <c r="B543" s="2" t="s">
        <v>526</v>
      </c>
      <c r="C543" s="2"/>
      <c r="D543" s="2" t="s">
        <v>11</v>
      </c>
      <c r="E543" s="2">
        <v>10.0</v>
      </c>
      <c r="F543" s="2" t="s">
        <v>12</v>
      </c>
      <c r="G543" s="2"/>
      <c r="H543" s="2"/>
      <c r="I543" s="2"/>
    </row>
    <row r="544">
      <c r="A544" s="2" t="s">
        <v>532</v>
      </c>
      <c r="B544" s="2" t="s">
        <v>526</v>
      </c>
      <c r="C544" s="2"/>
      <c r="D544" s="2" t="s">
        <v>11</v>
      </c>
      <c r="E544" s="2">
        <v>15.0</v>
      </c>
      <c r="F544" s="2" t="s">
        <v>12</v>
      </c>
      <c r="G544" s="2"/>
      <c r="H544" s="2"/>
      <c r="I544" s="2"/>
    </row>
    <row r="545">
      <c r="A545" s="2" t="s">
        <v>533</v>
      </c>
      <c r="B545" s="2" t="s">
        <v>526</v>
      </c>
      <c r="C545" s="2"/>
      <c r="D545" s="2" t="s">
        <v>11</v>
      </c>
      <c r="E545" s="2">
        <v>10.0</v>
      </c>
      <c r="F545" s="2" t="s">
        <v>12</v>
      </c>
      <c r="G545" s="2"/>
      <c r="H545" s="2"/>
      <c r="I545" s="2"/>
    </row>
    <row r="546">
      <c r="A546" s="1" t="s">
        <v>534</v>
      </c>
      <c r="B546" s="2" t="s">
        <v>535</v>
      </c>
      <c r="C546" s="2"/>
      <c r="D546" s="2" t="s">
        <v>11</v>
      </c>
      <c r="E546" s="2">
        <v>10.0</v>
      </c>
      <c r="F546" s="2" t="s">
        <v>12</v>
      </c>
      <c r="G546" s="2"/>
      <c r="H546" s="2"/>
      <c r="I546" s="2"/>
    </row>
    <row r="547">
      <c r="A547" s="1" t="s">
        <v>536</v>
      </c>
      <c r="B547" s="2" t="s">
        <v>535</v>
      </c>
      <c r="C547" s="2"/>
      <c r="D547" s="2" t="s">
        <v>11</v>
      </c>
      <c r="E547" s="2">
        <v>10.0</v>
      </c>
      <c r="F547" s="2" t="s">
        <v>12</v>
      </c>
      <c r="G547" s="2"/>
      <c r="H547" s="2"/>
      <c r="I547" s="2"/>
    </row>
    <row r="548">
      <c r="A548" s="2" t="s">
        <v>537</v>
      </c>
      <c r="B548" s="2" t="s">
        <v>535</v>
      </c>
      <c r="C548" s="2"/>
      <c r="D548" s="2" t="s">
        <v>11</v>
      </c>
      <c r="E548" s="2">
        <v>7.0</v>
      </c>
      <c r="F548" s="2" t="s">
        <v>12</v>
      </c>
      <c r="G548" s="2"/>
      <c r="H548" s="2"/>
      <c r="I548" s="2"/>
    </row>
    <row r="549">
      <c r="A549" s="1" t="s">
        <v>538</v>
      </c>
      <c r="B549" s="2" t="s">
        <v>535</v>
      </c>
      <c r="C549" s="2"/>
      <c r="D549" s="2" t="s">
        <v>11</v>
      </c>
      <c r="E549" s="2">
        <v>10.0</v>
      </c>
      <c r="F549" s="2" t="s">
        <v>12</v>
      </c>
      <c r="G549" s="2"/>
      <c r="H549" s="2"/>
      <c r="I549" s="2"/>
    </row>
    <row r="550">
      <c r="A550" s="2" t="s">
        <v>539</v>
      </c>
      <c r="B550" s="2" t="s">
        <v>535</v>
      </c>
      <c r="C550" s="2"/>
      <c r="D550" s="2" t="s">
        <v>11</v>
      </c>
      <c r="E550" s="2">
        <v>10.0</v>
      </c>
      <c r="F550" s="2" t="s">
        <v>12</v>
      </c>
      <c r="G550" s="2"/>
      <c r="H550" s="2"/>
      <c r="I550" s="2"/>
    </row>
    <row r="551">
      <c r="A551" s="2" t="s">
        <v>540</v>
      </c>
      <c r="B551" s="2" t="s">
        <v>535</v>
      </c>
      <c r="C551" s="2"/>
      <c r="D551" s="2" t="s">
        <v>11</v>
      </c>
      <c r="E551" s="2">
        <v>10.0</v>
      </c>
      <c r="F551" s="2" t="s">
        <v>12</v>
      </c>
      <c r="G551" s="2"/>
      <c r="H551" s="2"/>
      <c r="I551" s="2"/>
    </row>
    <row r="552">
      <c r="A552" s="1" t="s">
        <v>541</v>
      </c>
      <c r="B552" s="2" t="s">
        <v>535</v>
      </c>
      <c r="C552" s="2"/>
      <c r="D552" s="2" t="s">
        <v>11</v>
      </c>
      <c r="E552" s="2">
        <v>10.0</v>
      </c>
      <c r="F552" s="2" t="s">
        <v>12</v>
      </c>
      <c r="G552" s="2"/>
      <c r="H552" s="2"/>
      <c r="I552" s="2"/>
    </row>
    <row r="553">
      <c r="A553" s="1" t="s">
        <v>542</v>
      </c>
      <c r="B553" s="2" t="s">
        <v>535</v>
      </c>
      <c r="C553" s="2"/>
      <c r="D553" s="2" t="s">
        <v>11</v>
      </c>
      <c r="E553" s="2">
        <v>10.0</v>
      </c>
      <c r="F553" s="2" t="s">
        <v>12</v>
      </c>
      <c r="G553" s="2"/>
      <c r="H553" s="2"/>
      <c r="I553" s="2"/>
    </row>
    <row r="554">
      <c r="A554" s="1" t="s">
        <v>543</v>
      </c>
      <c r="B554" s="2" t="s">
        <v>535</v>
      </c>
      <c r="C554" s="2"/>
      <c r="D554" s="2" t="s">
        <v>11</v>
      </c>
      <c r="E554" s="2">
        <v>10.0</v>
      </c>
      <c r="F554" s="2" t="s">
        <v>12</v>
      </c>
      <c r="G554" s="2"/>
      <c r="H554" s="2"/>
      <c r="I554" s="2"/>
    </row>
    <row r="555">
      <c r="A555" s="1" t="s">
        <v>544</v>
      </c>
      <c r="B555" s="2" t="s">
        <v>535</v>
      </c>
      <c r="C555" s="2"/>
      <c r="D555" s="2" t="s">
        <v>11</v>
      </c>
      <c r="E555" s="2">
        <v>10.0</v>
      </c>
      <c r="F555" s="2" t="s">
        <v>12</v>
      </c>
      <c r="G555" s="2"/>
      <c r="H555" s="2"/>
      <c r="I555" s="2"/>
    </row>
    <row r="556">
      <c r="A556" s="1" t="s">
        <v>545</v>
      </c>
      <c r="B556" s="2" t="s">
        <v>535</v>
      </c>
      <c r="C556" s="2"/>
      <c r="D556" s="2" t="s">
        <v>11</v>
      </c>
      <c r="E556" s="2">
        <v>10.0</v>
      </c>
      <c r="F556" s="2" t="s">
        <v>12</v>
      </c>
      <c r="G556" s="2"/>
      <c r="H556" s="2"/>
      <c r="I556" s="2"/>
    </row>
    <row r="557">
      <c r="A557" s="1" t="s">
        <v>546</v>
      </c>
      <c r="B557" s="2" t="s">
        <v>535</v>
      </c>
      <c r="C557" s="2"/>
      <c r="D557" s="2" t="s">
        <v>11</v>
      </c>
      <c r="E557" s="2">
        <v>10.0</v>
      </c>
      <c r="F557" s="2" t="s">
        <v>12</v>
      </c>
      <c r="G557" s="2"/>
      <c r="H557" s="2"/>
      <c r="I557" s="2"/>
    </row>
    <row r="558">
      <c r="A558" s="1" t="s">
        <v>547</v>
      </c>
      <c r="B558" s="2" t="s">
        <v>535</v>
      </c>
      <c r="C558" s="2"/>
      <c r="D558" s="2" t="s">
        <v>11</v>
      </c>
      <c r="E558" s="2">
        <v>10.0</v>
      </c>
      <c r="F558" s="2" t="s">
        <v>12</v>
      </c>
      <c r="G558" s="2"/>
      <c r="H558" s="2"/>
      <c r="I558" s="2"/>
    </row>
    <row r="559">
      <c r="A559" s="1" t="s">
        <v>548</v>
      </c>
      <c r="B559" s="2" t="s">
        <v>535</v>
      </c>
      <c r="C559" s="2"/>
      <c r="D559" s="2" t="s">
        <v>11</v>
      </c>
      <c r="E559" s="2">
        <v>10.0</v>
      </c>
      <c r="F559" s="2" t="s">
        <v>12</v>
      </c>
      <c r="G559" s="2"/>
      <c r="H559" s="2"/>
      <c r="I559" s="2"/>
    </row>
    <row r="560">
      <c r="A560" s="2" t="s">
        <v>549</v>
      </c>
      <c r="B560" s="2" t="s">
        <v>535</v>
      </c>
      <c r="C560" s="2"/>
      <c r="D560" s="2" t="s">
        <v>11</v>
      </c>
      <c r="E560" s="2">
        <v>10.0</v>
      </c>
      <c r="F560" s="2" t="s">
        <v>12</v>
      </c>
      <c r="G560" s="2"/>
      <c r="H560" s="2"/>
      <c r="I560" s="2"/>
    </row>
    <row r="561">
      <c r="A561" s="2" t="s">
        <v>550</v>
      </c>
      <c r="B561" s="2" t="s">
        <v>535</v>
      </c>
      <c r="C561" s="2"/>
      <c r="D561" s="2" t="s">
        <v>11</v>
      </c>
      <c r="E561" s="2">
        <v>10.0</v>
      </c>
      <c r="F561" s="2" t="s">
        <v>12</v>
      </c>
      <c r="G561" s="2"/>
      <c r="H561" s="2"/>
      <c r="I561" s="2"/>
    </row>
    <row r="562">
      <c r="A562" s="1" t="s">
        <v>551</v>
      </c>
      <c r="B562" s="2" t="s">
        <v>535</v>
      </c>
      <c r="C562" s="2"/>
      <c r="D562" s="2" t="s">
        <v>11</v>
      </c>
      <c r="E562" s="2">
        <v>10.0</v>
      </c>
      <c r="F562" s="2" t="s">
        <v>12</v>
      </c>
      <c r="G562" s="2"/>
      <c r="H562" s="2"/>
      <c r="I562" s="2"/>
    </row>
    <row r="563">
      <c r="A563" s="1" t="s">
        <v>552</v>
      </c>
      <c r="B563" s="2" t="s">
        <v>535</v>
      </c>
      <c r="C563" s="2"/>
      <c r="D563" s="2" t="s">
        <v>37</v>
      </c>
      <c r="E563" s="2">
        <v>10.0</v>
      </c>
      <c r="F563" s="2" t="s">
        <v>12</v>
      </c>
      <c r="G563" s="2"/>
      <c r="H563" s="2"/>
      <c r="I563" s="2"/>
    </row>
    <row r="564">
      <c r="A564" s="2" t="s">
        <v>553</v>
      </c>
      <c r="B564" s="2" t="s">
        <v>535</v>
      </c>
      <c r="C564" s="2"/>
      <c r="D564" s="2" t="s">
        <v>37</v>
      </c>
      <c r="E564" s="2">
        <v>10.0</v>
      </c>
      <c r="F564" s="2" t="s">
        <v>12</v>
      </c>
      <c r="G564" s="2"/>
      <c r="H564" s="2"/>
      <c r="I564" s="2"/>
    </row>
    <row r="565">
      <c r="A565" s="1" t="s">
        <v>554</v>
      </c>
      <c r="B565" s="2" t="s">
        <v>535</v>
      </c>
      <c r="C565" s="2"/>
      <c r="D565" s="2" t="s">
        <v>11</v>
      </c>
      <c r="E565" s="2">
        <v>14.0</v>
      </c>
      <c r="F565" s="2" t="s">
        <v>12</v>
      </c>
      <c r="G565" s="2"/>
      <c r="H565" s="2"/>
      <c r="I565" s="2"/>
    </row>
    <row r="566">
      <c r="A566" s="1" t="s">
        <v>555</v>
      </c>
      <c r="B566" s="2" t="s">
        <v>535</v>
      </c>
      <c r="C566" s="1"/>
      <c r="D566" s="2"/>
      <c r="E566" s="2"/>
      <c r="F566" s="2"/>
      <c r="G566" s="2"/>
      <c r="H566" s="2"/>
      <c r="I566" s="2"/>
    </row>
    <row r="567">
      <c r="A567" s="1" t="s">
        <v>556</v>
      </c>
      <c r="B567" s="2" t="s">
        <v>535</v>
      </c>
      <c r="C567" s="1"/>
      <c r="D567" s="2"/>
      <c r="E567" s="2"/>
      <c r="F567" s="2"/>
      <c r="G567" s="2"/>
      <c r="H567" s="2"/>
      <c r="I567" s="2"/>
    </row>
    <row r="568">
      <c r="A568" s="2" t="s">
        <v>557</v>
      </c>
      <c r="B568" s="2" t="s">
        <v>535</v>
      </c>
      <c r="C568" s="2"/>
      <c r="D568" s="2" t="s">
        <v>37</v>
      </c>
      <c r="E568" s="2">
        <v>10.0</v>
      </c>
      <c r="F568" s="2" t="s">
        <v>12</v>
      </c>
      <c r="G568" s="2"/>
      <c r="H568" s="2"/>
      <c r="I568" s="2"/>
    </row>
    <row r="569">
      <c r="A569" s="2" t="s">
        <v>558</v>
      </c>
      <c r="B569" s="2" t="s">
        <v>535</v>
      </c>
      <c r="C569" s="2"/>
      <c r="D569" s="2" t="s">
        <v>11</v>
      </c>
      <c r="E569" s="2">
        <v>10.0</v>
      </c>
      <c r="F569" s="2" t="s">
        <v>12</v>
      </c>
      <c r="G569" s="2"/>
      <c r="H569" s="2"/>
      <c r="I569" s="2"/>
    </row>
    <row r="570">
      <c r="A570" s="2" t="s">
        <v>559</v>
      </c>
      <c r="B570" s="2" t="s">
        <v>535</v>
      </c>
      <c r="C570" s="2"/>
      <c r="D570" s="2" t="s">
        <v>73</v>
      </c>
      <c r="E570" s="2">
        <v>1.0</v>
      </c>
      <c r="F570" s="2" t="s">
        <v>74</v>
      </c>
      <c r="G570" s="2"/>
      <c r="H570" s="2"/>
      <c r="I570" s="2"/>
    </row>
    <row r="571">
      <c r="A571" s="2" t="s">
        <v>560</v>
      </c>
      <c r="B571" s="2" t="s">
        <v>535</v>
      </c>
      <c r="C571" s="2"/>
      <c r="D571" s="2" t="s">
        <v>37</v>
      </c>
      <c r="E571" s="2">
        <v>10.0</v>
      </c>
      <c r="F571" s="2" t="s">
        <v>12</v>
      </c>
      <c r="G571" s="2"/>
      <c r="H571" s="2"/>
      <c r="I571" s="2"/>
    </row>
    <row r="572">
      <c r="A572" s="1" t="s">
        <v>561</v>
      </c>
      <c r="B572" s="2" t="s">
        <v>535</v>
      </c>
      <c r="C572" s="2"/>
      <c r="D572" s="2" t="s">
        <v>11</v>
      </c>
      <c r="E572" s="2">
        <v>10.0</v>
      </c>
      <c r="F572" s="2" t="s">
        <v>12</v>
      </c>
      <c r="G572" s="2"/>
      <c r="H572" s="2"/>
      <c r="I572" s="2"/>
    </row>
    <row r="573">
      <c r="A573" s="1" t="s">
        <v>562</v>
      </c>
      <c r="B573" s="2" t="s">
        <v>535</v>
      </c>
      <c r="C573" s="2"/>
      <c r="D573" s="2" t="s">
        <v>11</v>
      </c>
      <c r="E573" s="2">
        <v>10.0</v>
      </c>
      <c r="F573" s="2" t="s">
        <v>12</v>
      </c>
      <c r="G573" s="2"/>
      <c r="H573" s="2"/>
      <c r="I573" s="2"/>
    </row>
    <row r="574">
      <c r="A574" s="1" t="s">
        <v>563</v>
      </c>
      <c r="B574" s="2" t="s">
        <v>535</v>
      </c>
      <c r="C574" s="2"/>
      <c r="D574" s="2" t="s">
        <v>11</v>
      </c>
      <c r="E574" s="2">
        <v>10.0</v>
      </c>
      <c r="F574" s="2" t="s">
        <v>12</v>
      </c>
      <c r="G574" s="2"/>
      <c r="H574" s="2"/>
      <c r="I574" s="2"/>
    </row>
    <row r="575">
      <c r="A575" s="1" t="s">
        <v>564</v>
      </c>
      <c r="B575" s="2" t="s">
        <v>535</v>
      </c>
      <c r="C575" s="2"/>
      <c r="D575" s="2" t="s">
        <v>11</v>
      </c>
      <c r="E575" s="2">
        <v>10.0</v>
      </c>
      <c r="F575" s="2" t="s">
        <v>12</v>
      </c>
      <c r="G575" s="2"/>
      <c r="H575" s="2"/>
      <c r="I575" s="2"/>
    </row>
    <row r="576">
      <c r="A576" s="1" t="s">
        <v>565</v>
      </c>
      <c r="B576" s="2" t="s">
        <v>535</v>
      </c>
      <c r="C576" s="2"/>
      <c r="D576" s="2" t="s">
        <v>11</v>
      </c>
      <c r="E576" s="2">
        <v>10.0</v>
      </c>
      <c r="F576" s="2" t="s">
        <v>12</v>
      </c>
      <c r="G576" s="2"/>
      <c r="H576" s="2"/>
      <c r="I576" s="2"/>
    </row>
    <row r="577">
      <c r="A577" s="1" t="s">
        <v>566</v>
      </c>
      <c r="B577" s="2" t="s">
        <v>535</v>
      </c>
      <c r="C577" s="2"/>
      <c r="D577" s="2" t="s">
        <v>11</v>
      </c>
      <c r="E577" s="2">
        <v>10.0</v>
      </c>
      <c r="F577" s="2" t="s">
        <v>12</v>
      </c>
      <c r="G577" s="2"/>
      <c r="H577" s="2"/>
      <c r="I577" s="2"/>
    </row>
    <row r="578">
      <c r="A578" s="1" t="s">
        <v>567</v>
      </c>
      <c r="B578" s="2" t="s">
        <v>535</v>
      </c>
      <c r="C578" s="2"/>
      <c r="D578" s="2" t="s">
        <v>11</v>
      </c>
      <c r="E578" s="2">
        <v>10.0</v>
      </c>
      <c r="F578" s="2" t="s">
        <v>12</v>
      </c>
      <c r="G578" s="2"/>
      <c r="H578" s="2"/>
      <c r="I578" s="2"/>
    </row>
    <row r="579">
      <c r="A579" s="1" t="s">
        <v>568</v>
      </c>
      <c r="B579" s="2" t="s">
        <v>535</v>
      </c>
      <c r="C579" s="2"/>
      <c r="D579" s="2" t="s">
        <v>11</v>
      </c>
      <c r="E579" s="2">
        <v>10.0</v>
      </c>
      <c r="F579" s="2" t="s">
        <v>12</v>
      </c>
      <c r="G579" s="2"/>
      <c r="H579" s="2"/>
      <c r="I579" s="2"/>
    </row>
    <row r="580">
      <c r="A580" s="1" t="s">
        <v>569</v>
      </c>
      <c r="B580" s="2" t="s">
        <v>535</v>
      </c>
      <c r="C580" s="2"/>
      <c r="D580" s="2" t="s">
        <v>11</v>
      </c>
      <c r="E580" s="2">
        <v>10.0</v>
      </c>
      <c r="F580" s="2" t="s">
        <v>12</v>
      </c>
      <c r="G580" s="2"/>
      <c r="H580" s="2"/>
      <c r="I580" s="2"/>
    </row>
    <row r="581">
      <c r="A581" s="2" t="s">
        <v>570</v>
      </c>
      <c r="B581" s="2" t="s">
        <v>535</v>
      </c>
      <c r="C581" s="2"/>
      <c r="D581" s="2" t="s">
        <v>11</v>
      </c>
      <c r="E581" s="2">
        <v>10.0</v>
      </c>
      <c r="F581" s="2" t="s">
        <v>12</v>
      </c>
      <c r="G581" s="2"/>
      <c r="H581" s="2"/>
      <c r="I581" s="2"/>
    </row>
    <row r="582">
      <c r="A582" s="2" t="s">
        <v>571</v>
      </c>
      <c r="B582" s="2" t="s">
        <v>535</v>
      </c>
      <c r="C582" s="2"/>
      <c r="D582" s="2" t="s">
        <v>11</v>
      </c>
      <c r="E582" s="2">
        <v>10.0</v>
      </c>
      <c r="F582" s="2" t="s">
        <v>12</v>
      </c>
      <c r="G582" s="2"/>
      <c r="H582" s="2"/>
      <c r="I582" s="2"/>
    </row>
    <row r="583">
      <c r="A583" s="1" t="s">
        <v>572</v>
      </c>
      <c r="B583" s="2" t="s">
        <v>535</v>
      </c>
      <c r="C583" s="2"/>
      <c r="D583" s="2" t="s">
        <v>11</v>
      </c>
      <c r="E583" s="2">
        <v>10.0</v>
      </c>
      <c r="F583" s="2" t="s">
        <v>12</v>
      </c>
      <c r="G583" s="2"/>
      <c r="H583" s="2"/>
      <c r="I583" s="2"/>
    </row>
    <row r="584">
      <c r="A584" s="1" t="s">
        <v>573</v>
      </c>
      <c r="B584" s="2" t="s">
        <v>535</v>
      </c>
      <c r="C584" s="2"/>
      <c r="D584" s="2" t="s">
        <v>11</v>
      </c>
      <c r="E584" s="2">
        <v>10.0</v>
      </c>
      <c r="F584" s="2" t="s">
        <v>12</v>
      </c>
      <c r="G584" s="2"/>
      <c r="H584" s="2"/>
      <c r="I584" s="2"/>
    </row>
    <row r="585">
      <c r="A585" s="2" t="s">
        <v>574</v>
      </c>
      <c r="B585" s="2" t="s">
        <v>535</v>
      </c>
      <c r="C585" s="2"/>
      <c r="D585" s="2" t="s">
        <v>11</v>
      </c>
      <c r="E585" s="2">
        <v>10.0</v>
      </c>
      <c r="F585" s="2" t="s">
        <v>12</v>
      </c>
      <c r="G585" s="2"/>
      <c r="H585" s="2"/>
      <c r="I585" s="2"/>
    </row>
    <row r="586">
      <c r="A586" s="2" t="s">
        <v>575</v>
      </c>
      <c r="B586" s="2" t="s">
        <v>535</v>
      </c>
      <c r="C586" s="2"/>
      <c r="D586" s="2" t="s">
        <v>11</v>
      </c>
      <c r="E586" s="2">
        <v>10.0</v>
      </c>
      <c r="F586" s="2" t="s">
        <v>12</v>
      </c>
      <c r="G586" s="2"/>
      <c r="H586" s="2"/>
      <c r="I586" s="2"/>
    </row>
    <row r="587">
      <c r="A587" s="2" t="s">
        <v>576</v>
      </c>
      <c r="B587" s="2" t="s">
        <v>535</v>
      </c>
      <c r="C587" s="2"/>
      <c r="D587" s="2" t="s">
        <v>37</v>
      </c>
      <c r="E587" s="2">
        <v>10.0</v>
      </c>
      <c r="F587" s="2" t="s">
        <v>12</v>
      </c>
      <c r="G587" s="2"/>
      <c r="H587" s="2"/>
      <c r="I587" s="2"/>
    </row>
    <row r="588">
      <c r="A588" s="2" t="s">
        <v>577</v>
      </c>
      <c r="B588" s="2" t="s">
        <v>535</v>
      </c>
      <c r="C588" s="1"/>
      <c r="D588" s="2"/>
      <c r="E588" s="2"/>
      <c r="F588" s="2"/>
      <c r="G588" s="2"/>
      <c r="H588" s="2"/>
      <c r="I588" s="2"/>
    </row>
    <row r="589">
      <c r="A589" s="2" t="s">
        <v>578</v>
      </c>
      <c r="B589" s="2" t="s">
        <v>535</v>
      </c>
      <c r="C589" s="2"/>
      <c r="D589" s="2"/>
      <c r="E589" s="2"/>
      <c r="F589" s="2"/>
      <c r="G589" s="2"/>
      <c r="H589" s="2"/>
      <c r="I589" s="2"/>
    </row>
    <row r="590">
      <c r="A590" s="1" t="s">
        <v>579</v>
      </c>
      <c r="B590" s="2" t="s">
        <v>535</v>
      </c>
      <c r="C590" s="2"/>
      <c r="D590" s="2" t="s">
        <v>11</v>
      </c>
      <c r="E590" s="2">
        <v>10.0</v>
      </c>
      <c r="F590" s="2" t="s">
        <v>12</v>
      </c>
      <c r="G590" s="2"/>
      <c r="H590" s="2"/>
      <c r="I590" s="2"/>
    </row>
    <row r="591">
      <c r="A591" s="1" t="s">
        <v>580</v>
      </c>
      <c r="B591" s="2" t="s">
        <v>535</v>
      </c>
      <c r="C591" s="2"/>
      <c r="D591" s="2" t="s">
        <v>11</v>
      </c>
      <c r="E591" s="2">
        <v>10.0</v>
      </c>
      <c r="F591" s="2" t="s">
        <v>12</v>
      </c>
      <c r="G591" s="2"/>
      <c r="H591" s="2"/>
      <c r="I591" s="2"/>
    </row>
    <row r="592">
      <c r="A592" s="2" t="s">
        <v>581</v>
      </c>
      <c r="B592" s="2" t="s">
        <v>535</v>
      </c>
      <c r="C592" s="2"/>
      <c r="D592" s="2" t="s">
        <v>37</v>
      </c>
      <c r="E592" s="2">
        <v>10.0</v>
      </c>
      <c r="F592" s="2" t="s">
        <v>12</v>
      </c>
      <c r="G592" s="2"/>
      <c r="H592" s="2"/>
      <c r="I592" s="2"/>
    </row>
    <row r="593">
      <c r="A593" s="2" t="s">
        <v>582</v>
      </c>
      <c r="B593" s="2" t="s">
        <v>535</v>
      </c>
      <c r="C593" s="2"/>
      <c r="D593" s="2" t="s">
        <v>37</v>
      </c>
      <c r="E593" s="2">
        <v>10.0</v>
      </c>
      <c r="F593" s="2" t="s">
        <v>12</v>
      </c>
      <c r="G593" s="2"/>
      <c r="H593" s="2"/>
      <c r="I593" s="2"/>
    </row>
    <row r="594">
      <c r="A594" s="1" t="s">
        <v>583</v>
      </c>
      <c r="B594" s="2" t="s">
        <v>535</v>
      </c>
      <c r="C594" s="2"/>
      <c r="D594" s="2" t="s">
        <v>11</v>
      </c>
      <c r="E594" s="2"/>
      <c r="F594" s="2"/>
      <c r="G594" s="2"/>
      <c r="H594" s="2"/>
      <c r="I594" s="2"/>
    </row>
    <row r="595">
      <c r="A595" s="1" t="s">
        <v>584</v>
      </c>
      <c r="B595" s="2" t="s">
        <v>535</v>
      </c>
      <c r="C595" s="2"/>
      <c r="D595" s="2" t="s">
        <v>11</v>
      </c>
      <c r="E595" s="2"/>
      <c r="F595" s="2"/>
      <c r="G595" s="2"/>
      <c r="H595" s="2"/>
      <c r="I595" s="2"/>
    </row>
    <row r="596">
      <c r="A596" s="1" t="s">
        <v>585</v>
      </c>
      <c r="B596" s="2" t="s">
        <v>535</v>
      </c>
      <c r="C596" s="2"/>
      <c r="D596" s="2" t="s">
        <v>11</v>
      </c>
      <c r="E596" s="2">
        <v>10.0</v>
      </c>
      <c r="F596" s="2" t="s">
        <v>12</v>
      </c>
      <c r="G596" s="2"/>
      <c r="H596" s="2"/>
      <c r="I596" s="2"/>
    </row>
    <row r="597">
      <c r="A597" s="1" t="s">
        <v>586</v>
      </c>
      <c r="B597" s="2" t="s">
        <v>535</v>
      </c>
      <c r="C597" s="2"/>
      <c r="D597" s="2" t="s">
        <v>11</v>
      </c>
      <c r="E597" s="2">
        <v>10.0</v>
      </c>
      <c r="F597" s="2" t="s">
        <v>12</v>
      </c>
      <c r="G597" s="2"/>
      <c r="H597" s="2"/>
      <c r="I597" s="2"/>
    </row>
    <row r="598">
      <c r="A598" s="2" t="s">
        <v>587</v>
      </c>
      <c r="B598" s="2" t="s">
        <v>535</v>
      </c>
      <c r="C598" s="2"/>
      <c r="D598" s="2" t="s">
        <v>11</v>
      </c>
      <c r="E598" s="2">
        <v>10.0</v>
      </c>
      <c r="F598" s="2" t="s">
        <v>12</v>
      </c>
      <c r="G598" s="2"/>
      <c r="H598" s="2"/>
      <c r="I598" s="2"/>
    </row>
    <row r="599">
      <c r="A599" s="2" t="s">
        <v>588</v>
      </c>
      <c r="B599" s="2" t="s">
        <v>535</v>
      </c>
      <c r="C599" s="2"/>
      <c r="D599" s="2" t="s">
        <v>11</v>
      </c>
      <c r="E599" s="2">
        <v>10.0</v>
      </c>
      <c r="F599" s="2" t="s">
        <v>12</v>
      </c>
      <c r="G599" s="2"/>
      <c r="H599" s="2"/>
      <c r="I599" s="2"/>
    </row>
    <row r="600">
      <c r="A600" s="1" t="s">
        <v>589</v>
      </c>
      <c r="B600" s="2" t="s">
        <v>535</v>
      </c>
      <c r="C600" s="2"/>
      <c r="D600" s="2" t="s">
        <v>11</v>
      </c>
      <c r="E600" s="2">
        <v>10.0</v>
      </c>
      <c r="F600" s="2" t="s">
        <v>12</v>
      </c>
      <c r="G600" s="2"/>
      <c r="H600" s="2"/>
      <c r="I600" s="2"/>
    </row>
    <row r="601">
      <c r="A601" s="1" t="s">
        <v>590</v>
      </c>
      <c r="B601" s="2" t="s">
        <v>535</v>
      </c>
      <c r="C601" s="2"/>
      <c r="D601" s="2" t="s">
        <v>11</v>
      </c>
      <c r="E601" s="2">
        <v>10.0</v>
      </c>
      <c r="F601" s="2" t="s">
        <v>12</v>
      </c>
      <c r="G601" s="2"/>
      <c r="H601" s="2"/>
      <c r="I601" s="2"/>
    </row>
    <row r="602">
      <c r="A602" s="1" t="s">
        <v>591</v>
      </c>
      <c r="B602" s="2" t="s">
        <v>535</v>
      </c>
      <c r="C602" s="2"/>
      <c r="D602" s="2" t="s">
        <v>11</v>
      </c>
      <c r="E602" s="2">
        <v>10.0</v>
      </c>
      <c r="F602" s="2" t="s">
        <v>12</v>
      </c>
      <c r="G602" s="2"/>
      <c r="H602" s="2"/>
      <c r="I602" s="2"/>
    </row>
    <row r="603">
      <c r="A603" s="1" t="s">
        <v>592</v>
      </c>
      <c r="B603" s="2" t="s">
        <v>535</v>
      </c>
      <c r="C603" s="2"/>
      <c r="D603" s="2" t="s">
        <v>11</v>
      </c>
      <c r="E603" s="2">
        <v>10.0</v>
      </c>
      <c r="F603" s="2" t="s">
        <v>12</v>
      </c>
      <c r="G603" s="2"/>
      <c r="H603" s="2"/>
      <c r="I603" s="2"/>
    </row>
    <row r="604">
      <c r="A604" s="2" t="s">
        <v>593</v>
      </c>
      <c r="B604" s="2" t="s">
        <v>535</v>
      </c>
      <c r="C604" s="2"/>
      <c r="D604" s="2" t="s">
        <v>11</v>
      </c>
      <c r="E604" s="2">
        <v>10.0</v>
      </c>
      <c r="F604" s="2" t="s">
        <v>12</v>
      </c>
      <c r="G604" s="2"/>
      <c r="H604" s="2"/>
      <c r="I604" s="2"/>
    </row>
    <row r="605">
      <c r="A605" s="2" t="s">
        <v>594</v>
      </c>
      <c r="B605" s="2" t="s">
        <v>535</v>
      </c>
      <c r="C605" s="2"/>
      <c r="D605" s="2" t="s">
        <v>11</v>
      </c>
      <c r="E605" s="2">
        <v>10.0</v>
      </c>
      <c r="F605" s="2" t="s">
        <v>12</v>
      </c>
      <c r="G605" s="2"/>
      <c r="H605" s="2"/>
      <c r="I605" s="2"/>
    </row>
    <row r="606">
      <c r="A606" s="1" t="s">
        <v>595</v>
      </c>
      <c r="B606" s="2" t="s">
        <v>535</v>
      </c>
      <c r="C606" s="2"/>
      <c r="D606" s="2" t="s">
        <v>11</v>
      </c>
      <c r="E606" s="2">
        <v>10.0</v>
      </c>
      <c r="F606" s="2" t="s">
        <v>12</v>
      </c>
      <c r="G606" s="2"/>
      <c r="H606" s="2"/>
      <c r="I606" s="2"/>
    </row>
    <row r="607">
      <c r="A607" s="1" t="s">
        <v>596</v>
      </c>
      <c r="B607" s="2" t="s">
        <v>535</v>
      </c>
      <c r="C607" s="2"/>
      <c r="D607" s="2" t="s">
        <v>11</v>
      </c>
      <c r="E607" s="2">
        <v>10.0</v>
      </c>
      <c r="F607" s="2" t="s">
        <v>12</v>
      </c>
      <c r="G607" s="2"/>
      <c r="H607" s="2"/>
      <c r="I607" s="2"/>
    </row>
    <row r="608">
      <c r="A608" s="1" t="s">
        <v>597</v>
      </c>
      <c r="B608" s="2" t="s">
        <v>535</v>
      </c>
      <c r="C608" s="1"/>
      <c r="D608" s="2"/>
      <c r="E608" s="2"/>
      <c r="F608" s="2"/>
      <c r="G608" s="2"/>
      <c r="H608" s="2"/>
      <c r="I608" s="2"/>
    </row>
    <row r="609">
      <c r="A609" s="1" t="s">
        <v>598</v>
      </c>
      <c r="B609" s="2" t="s">
        <v>535</v>
      </c>
      <c r="C609" s="2"/>
      <c r="D609" s="2" t="s">
        <v>11</v>
      </c>
      <c r="E609" s="2">
        <v>10.0</v>
      </c>
      <c r="F609" s="2" t="s">
        <v>12</v>
      </c>
      <c r="G609" s="2"/>
      <c r="H609" s="2"/>
      <c r="I609" s="2"/>
    </row>
    <row r="610">
      <c r="A610" s="1" t="s">
        <v>599</v>
      </c>
      <c r="B610" s="2" t="s">
        <v>535</v>
      </c>
      <c r="C610" s="1"/>
      <c r="D610" s="2"/>
      <c r="E610" s="2"/>
      <c r="F610" s="2"/>
      <c r="G610" s="2"/>
      <c r="H610" s="2"/>
      <c r="I610" s="2"/>
    </row>
    <row r="611">
      <c r="A611" s="2" t="s">
        <v>600</v>
      </c>
      <c r="B611" s="2" t="s">
        <v>535</v>
      </c>
      <c r="C611" s="1"/>
      <c r="D611" s="2"/>
      <c r="E611" s="2"/>
      <c r="F611" s="2"/>
      <c r="G611" s="2"/>
      <c r="H611" s="2"/>
      <c r="I611" s="2"/>
    </row>
    <row r="612">
      <c r="A612" s="1" t="s">
        <v>601</v>
      </c>
      <c r="B612" s="2" t="s">
        <v>535</v>
      </c>
      <c r="C612" s="2"/>
      <c r="D612" s="2" t="s">
        <v>37</v>
      </c>
      <c r="E612" s="2">
        <v>10.0</v>
      </c>
      <c r="F612" s="2" t="s">
        <v>12</v>
      </c>
      <c r="G612" s="2"/>
      <c r="H612" s="2"/>
      <c r="I612" s="2"/>
    </row>
    <row r="613">
      <c r="A613" s="1" t="s">
        <v>602</v>
      </c>
      <c r="B613" s="2" t="s">
        <v>535</v>
      </c>
      <c r="C613" s="2"/>
      <c r="D613" s="2" t="s">
        <v>11</v>
      </c>
      <c r="E613" s="2">
        <v>10.0</v>
      </c>
      <c r="F613" s="2" t="s">
        <v>12</v>
      </c>
      <c r="G613" s="2"/>
      <c r="H613" s="2"/>
      <c r="I613" s="2"/>
    </row>
    <row r="614">
      <c r="A614" s="1" t="s">
        <v>603</v>
      </c>
      <c r="B614" s="2" t="s">
        <v>535</v>
      </c>
      <c r="C614" s="2"/>
      <c r="D614" s="2" t="s">
        <v>11</v>
      </c>
      <c r="E614" s="2">
        <v>10.0</v>
      </c>
      <c r="F614" s="2" t="s">
        <v>12</v>
      </c>
      <c r="G614" s="2"/>
      <c r="H614" s="2"/>
      <c r="I614" s="2"/>
    </row>
    <row r="615">
      <c r="A615" s="2" t="s">
        <v>604</v>
      </c>
      <c r="B615" s="2" t="s">
        <v>535</v>
      </c>
      <c r="C615" s="2"/>
      <c r="D615" s="2" t="s">
        <v>11</v>
      </c>
      <c r="E615" s="2">
        <v>10.0</v>
      </c>
      <c r="F615" s="2" t="s">
        <v>12</v>
      </c>
      <c r="G615" s="2"/>
      <c r="H615" s="2"/>
      <c r="I615" s="2"/>
    </row>
    <row r="616">
      <c r="A616" s="1" t="s">
        <v>605</v>
      </c>
      <c r="B616" s="2" t="s">
        <v>535</v>
      </c>
      <c r="C616" s="2"/>
      <c r="D616" s="2" t="s">
        <v>11</v>
      </c>
      <c r="E616" s="2">
        <v>10.0</v>
      </c>
      <c r="F616" s="2" t="s">
        <v>12</v>
      </c>
      <c r="G616" s="2"/>
      <c r="H616" s="2"/>
      <c r="I616" s="2"/>
    </row>
    <row r="617">
      <c r="A617" s="1" t="s">
        <v>606</v>
      </c>
      <c r="B617" s="2" t="s">
        <v>535</v>
      </c>
      <c r="C617" s="2"/>
      <c r="D617" s="2" t="s">
        <v>11</v>
      </c>
      <c r="E617" s="2">
        <v>10.0</v>
      </c>
      <c r="F617" s="2" t="s">
        <v>12</v>
      </c>
      <c r="G617" s="2"/>
      <c r="H617" s="2"/>
      <c r="I617" s="2"/>
    </row>
    <row r="618">
      <c r="A618" s="1" t="s">
        <v>607</v>
      </c>
      <c r="B618" s="2" t="s">
        <v>535</v>
      </c>
      <c r="C618" s="2"/>
      <c r="D618" s="2" t="s">
        <v>11</v>
      </c>
      <c r="E618" s="2">
        <v>10.0</v>
      </c>
      <c r="F618" s="2" t="s">
        <v>12</v>
      </c>
      <c r="G618" s="2"/>
      <c r="H618" s="2"/>
      <c r="I618" s="2"/>
    </row>
    <row r="619">
      <c r="A619" s="1" t="s">
        <v>608</v>
      </c>
      <c r="B619" s="2" t="s">
        <v>535</v>
      </c>
      <c r="C619" s="2"/>
      <c r="D619" s="2" t="s">
        <v>11</v>
      </c>
      <c r="E619" s="2">
        <v>10.0</v>
      </c>
      <c r="F619" s="2" t="s">
        <v>12</v>
      </c>
      <c r="G619" s="2"/>
      <c r="H619" s="2"/>
      <c r="I619" s="2"/>
    </row>
    <row r="620">
      <c r="A620" s="1" t="s">
        <v>609</v>
      </c>
      <c r="B620" s="2" t="s">
        <v>535</v>
      </c>
      <c r="C620" s="2"/>
      <c r="D620" s="2" t="s">
        <v>11</v>
      </c>
      <c r="E620" s="2">
        <v>10.0</v>
      </c>
      <c r="F620" s="2" t="s">
        <v>12</v>
      </c>
      <c r="G620" s="2"/>
      <c r="H620" s="2"/>
      <c r="I620" s="2"/>
    </row>
    <row r="621">
      <c r="A621" s="1" t="s">
        <v>610</v>
      </c>
      <c r="B621" s="2" t="s">
        <v>535</v>
      </c>
      <c r="C621" s="2"/>
      <c r="D621" s="2" t="s">
        <v>11</v>
      </c>
      <c r="E621" s="2">
        <v>10.0</v>
      </c>
      <c r="F621" s="2" t="s">
        <v>12</v>
      </c>
      <c r="G621" s="2"/>
      <c r="H621" s="2"/>
      <c r="I621" s="2"/>
    </row>
    <row r="622">
      <c r="A622" s="1" t="s">
        <v>611</v>
      </c>
      <c r="B622" s="2" t="s">
        <v>535</v>
      </c>
      <c r="C622" s="2"/>
      <c r="D622" s="2" t="s">
        <v>11</v>
      </c>
      <c r="E622" s="2">
        <v>10.0</v>
      </c>
      <c r="F622" s="2" t="s">
        <v>12</v>
      </c>
      <c r="G622" s="2"/>
      <c r="H622" s="2"/>
      <c r="I622" s="2"/>
    </row>
    <row r="623">
      <c r="A623" s="1" t="s">
        <v>612</v>
      </c>
      <c r="B623" s="2" t="s">
        <v>535</v>
      </c>
      <c r="C623" s="2"/>
      <c r="D623" s="2" t="s">
        <v>11</v>
      </c>
      <c r="E623" s="2">
        <v>10.0</v>
      </c>
      <c r="F623" s="2" t="s">
        <v>12</v>
      </c>
      <c r="G623" s="2"/>
      <c r="H623" s="2"/>
      <c r="I623" s="2"/>
    </row>
    <row r="624">
      <c r="A624" s="2" t="s">
        <v>613</v>
      </c>
      <c r="B624" s="2" t="s">
        <v>535</v>
      </c>
      <c r="C624" s="2"/>
      <c r="D624" s="2" t="s">
        <v>37</v>
      </c>
      <c r="E624" s="2">
        <v>10.0</v>
      </c>
      <c r="F624" s="2" t="s">
        <v>12</v>
      </c>
      <c r="G624" s="2"/>
      <c r="H624" s="2"/>
      <c r="I624" s="2"/>
    </row>
    <row r="625">
      <c r="A625" s="1" t="s">
        <v>614</v>
      </c>
      <c r="B625" s="2" t="s">
        <v>535</v>
      </c>
      <c r="C625" s="2"/>
      <c r="D625" s="2" t="s">
        <v>11</v>
      </c>
      <c r="E625" s="2">
        <v>10.0</v>
      </c>
      <c r="F625" s="2" t="s">
        <v>12</v>
      </c>
      <c r="G625" s="2"/>
      <c r="H625" s="2"/>
      <c r="I625" s="2"/>
    </row>
    <row r="626">
      <c r="A626" s="1" t="s">
        <v>615</v>
      </c>
      <c r="B626" s="2" t="s">
        <v>535</v>
      </c>
      <c r="C626" s="2"/>
      <c r="D626" s="2" t="s">
        <v>11</v>
      </c>
      <c r="E626" s="2">
        <v>10.0</v>
      </c>
      <c r="F626" s="2" t="s">
        <v>12</v>
      </c>
      <c r="G626" s="2"/>
      <c r="H626" s="2"/>
      <c r="I626" s="2"/>
    </row>
    <row r="627">
      <c r="A627" s="2" t="s">
        <v>616</v>
      </c>
      <c r="B627" s="2" t="s">
        <v>617</v>
      </c>
      <c r="C627" s="2"/>
      <c r="D627" s="2" t="s">
        <v>37</v>
      </c>
      <c r="E627" s="2">
        <v>10.0</v>
      </c>
      <c r="F627" s="2" t="s">
        <v>12</v>
      </c>
      <c r="G627" s="2"/>
      <c r="H627" s="2"/>
      <c r="I627" s="2"/>
    </row>
    <row r="628">
      <c r="A628" s="2" t="s">
        <v>618</v>
      </c>
      <c r="B628" s="2" t="s">
        <v>617</v>
      </c>
      <c r="C628" s="1"/>
      <c r="D628" s="2"/>
      <c r="E628" s="2"/>
      <c r="F628" s="2"/>
      <c r="G628" s="2"/>
      <c r="H628" s="2"/>
      <c r="I628" s="2"/>
    </row>
    <row r="629">
      <c r="A629" s="2" t="s">
        <v>619</v>
      </c>
      <c r="B629" s="2" t="s">
        <v>617</v>
      </c>
      <c r="C629" s="2"/>
      <c r="D629" s="2" t="s">
        <v>620</v>
      </c>
      <c r="E629" s="2">
        <v>3.0</v>
      </c>
      <c r="F629" s="2"/>
      <c r="G629" s="2"/>
      <c r="H629" s="2"/>
      <c r="I629" s="2"/>
    </row>
    <row r="630">
      <c r="A630" s="2" t="s">
        <v>621</v>
      </c>
      <c r="B630" s="2" t="s">
        <v>617</v>
      </c>
      <c r="C630" s="2"/>
      <c r="D630" s="2" t="s">
        <v>11</v>
      </c>
      <c r="E630" s="2">
        <v>7.0</v>
      </c>
      <c r="F630" s="2" t="s">
        <v>12</v>
      </c>
      <c r="G630" s="2"/>
      <c r="H630" s="2"/>
      <c r="I630" s="2"/>
    </row>
    <row r="631">
      <c r="A631" s="2" t="s">
        <v>622</v>
      </c>
      <c r="B631" s="2" t="s">
        <v>617</v>
      </c>
      <c r="C631" s="2"/>
      <c r="D631" s="2" t="s">
        <v>620</v>
      </c>
      <c r="E631" s="2">
        <v>7.0</v>
      </c>
      <c r="F631" s="2"/>
      <c r="G631" s="2"/>
      <c r="H631" s="2"/>
      <c r="I631" s="2"/>
    </row>
    <row r="632">
      <c r="A632" s="2" t="s">
        <v>623</v>
      </c>
      <c r="B632" s="2" t="s">
        <v>617</v>
      </c>
      <c r="C632" s="1"/>
      <c r="D632" s="2"/>
      <c r="E632" s="2"/>
      <c r="F632" s="2"/>
      <c r="G632" s="2"/>
      <c r="H632" s="2"/>
      <c r="I632" s="2"/>
    </row>
    <row r="633">
      <c r="A633" s="1" t="s">
        <v>624</v>
      </c>
      <c r="B633" s="2" t="s">
        <v>617</v>
      </c>
      <c r="C633" s="2"/>
      <c r="D633" s="2" t="s">
        <v>37</v>
      </c>
      <c r="E633" s="2">
        <v>15.0</v>
      </c>
      <c r="F633" s="2" t="s">
        <v>12</v>
      </c>
      <c r="G633" s="2"/>
      <c r="H633" s="2"/>
      <c r="I633" s="2"/>
    </row>
    <row r="634">
      <c r="A634" s="2" t="s">
        <v>625</v>
      </c>
      <c r="B634" s="2" t="s">
        <v>617</v>
      </c>
      <c r="C634" s="2"/>
      <c r="D634" s="2" t="s">
        <v>11</v>
      </c>
      <c r="E634" s="2">
        <v>10.0</v>
      </c>
      <c r="F634" s="2" t="s">
        <v>12</v>
      </c>
      <c r="G634" s="2"/>
      <c r="H634" s="2"/>
      <c r="I634" s="2"/>
    </row>
    <row r="635">
      <c r="A635" s="2" t="s">
        <v>626</v>
      </c>
      <c r="B635" s="2" t="s">
        <v>617</v>
      </c>
      <c r="C635" s="2"/>
      <c r="D635" s="2" t="s">
        <v>11</v>
      </c>
      <c r="E635" s="2"/>
      <c r="F635" s="2"/>
      <c r="G635" s="2"/>
      <c r="H635" s="2"/>
      <c r="I635" s="2"/>
    </row>
    <row r="636">
      <c r="A636" s="2" t="s">
        <v>627</v>
      </c>
      <c r="B636" s="2" t="s">
        <v>617</v>
      </c>
      <c r="C636" s="2"/>
      <c r="D636" s="2" t="s">
        <v>37</v>
      </c>
      <c r="E636" s="2">
        <v>10.0</v>
      </c>
      <c r="F636" s="2" t="s">
        <v>12</v>
      </c>
      <c r="G636" s="2"/>
      <c r="H636" s="2"/>
      <c r="I636" s="2"/>
    </row>
    <row r="637">
      <c r="A637" s="2" t="s">
        <v>628</v>
      </c>
      <c r="B637" s="2" t="s">
        <v>617</v>
      </c>
      <c r="C637" s="1"/>
      <c r="D637" s="2"/>
      <c r="E637" s="2"/>
      <c r="F637" s="2"/>
      <c r="G637" s="2"/>
      <c r="H637" s="2"/>
      <c r="I637" s="2"/>
    </row>
    <row r="638">
      <c r="A638" s="2" t="s">
        <v>629</v>
      </c>
      <c r="B638" s="2" t="s">
        <v>617</v>
      </c>
      <c r="C638" s="1"/>
      <c r="D638" s="2"/>
      <c r="E638" s="2"/>
      <c r="F638" s="2"/>
      <c r="G638" s="2"/>
      <c r="H638" s="2"/>
      <c r="I638" s="2"/>
    </row>
    <row r="639">
      <c r="A639" s="2" t="s">
        <v>630</v>
      </c>
      <c r="B639" s="2" t="s">
        <v>617</v>
      </c>
      <c r="C639" s="2"/>
      <c r="D639" s="2" t="s">
        <v>11</v>
      </c>
      <c r="E639" s="2">
        <v>10.0</v>
      </c>
      <c r="F639" s="2" t="s">
        <v>12</v>
      </c>
      <c r="G639" s="2"/>
      <c r="H639" s="2"/>
      <c r="I639" s="2"/>
    </row>
    <row r="640">
      <c r="A640" s="1" t="s">
        <v>631</v>
      </c>
      <c r="B640" s="2" t="s">
        <v>617</v>
      </c>
      <c r="C640" s="2"/>
      <c r="D640" s="2" t="s">
        <v>11</v>
      </c>
      <c r="E640" s="2">
        <v>21.0</v>
      </c>
      <c r="F640" s="2" t="s">
        <v>12</v>
      </c>
      <c r="G640" s="2"/>
      <c r="H640" s="2"/>
      <c r="I640" s="2"/>
    </row>
    <row r="641">
      <c r="A641" s="1" t="s">
        <v>632</v>
      </c>
      <c r="B641" s="2" t="s">
        <v>617</v>
      </c>
      <c r="C641" s="2"/>
      <c r="D641" s="2" t="s">
        <v>11</v>
      </c>
      <c r="E641" s="2">
        <v>21.0</v>
      </c>
      <c r="F641" s="2" t="s">
        <v>12</v>
      </c>
      <c r="G641" s="2"/>
      <c r="H641" s="2"/>
      <c r="I641" s="2"/>
    </row>
    <row r="642">
      <c r="A642" s="1" t="s">
        <v>633</v>
      </c>
      <c r="B642" s="2" t="s">
        <v>617</v>
      </c>
      <c r="C642" s="2"/>
      <c r="D642" s="2" t="s">
        <v>11</v>
      </c>
      <c r="E642" s="2">
        <v>10.0</v>
      </c>
      <c r="F642" s="2" t="s">
        <v>12</v>
      </c>
      <c r="G642" s="2"/>
      <c r="H642" s="2"/>
      <c r="I642" s="2"/>
    </row>
    <row r="643">
      <c r="A643" s="2" t="s">
        <v>634</v>
      </c>
      <c r="B643" s="2" t="s">
        <v>617</v>
      </c>
      <c r="C643" s="2"/>
      <c r="D643" s="2" t="s">
        <v>11</v>
      </c>
      <c r="E643" s="2">
        <v>21.0</v>
      </c>
      <c r="F643" s="2" t="s">
        <v>12</v>
      </c>
      <c r="G643" s="2"/>
      <c r="H643" s="2"/>
      <c r="I643" s="2"/>
    </row>
    <row r="644">
      <c r="A644" s="2" t="s">
        <v>635</v>
      </c>
      <c r="B644" s="2" t="s">
        <v>617</v>
      </c>
      <c r="C644" s="2"/>
      <c r="D644" s="2" t="s">
        <v>11</v>
      </c>
      <c r="E644" s="2">
        <v>10.0</v>
      </c>
      <c r="F644" s="2" t="s">
        <v>12</v>
      </c>
      <c r="G644" s="2"/>
      <c r="H644" s="2"/>
      <c r="I644" s="2"/>
    </row>
    <row r="645">
      <c r="A645" s="1" t="s">
        <v>636</v>
      </c>
      <c r="B645" s="2" t="s">
        <v>617</v>
      </c>
      <c r="C645" s="2"/>
      <c r="D645" s="2" t="s">
        <v>11</v>
      </c>
      <c r="E645" s="2">
        <v>10.0</v>
      </c>
      <c r="F645" s="2" t="s">
        <v>12</v>
      </c>
      <c r="G645" s="2"/>
      <c r="H645" s="2"/>
      <c r="I645" s="2"/>
    </row>
    <row r="646">
      <c r="A646" s="2" t="s">
        <v>637</v>
      </c>
      <c r="B646" s="2" t="s">
        <v>617</v>
      </c>
      <c r="C646" s="2"/>
      <c r="D646" s="2" t="s">
        <v>11</v>
      </c>
      <c r="E646" s="2">
        <v>10.0</v>
      </c>
      <c r="F646" s="2" t="s">
        <v>12</v>
      </c>
      <c r="G646" s="2"/>
      <c r="H646" s="2"/>
      <c r="I646" s="2"/>
    </row>
    <row r="647">
      <c r="A647" s="1" t="s">
        <v>638</v>
      </c>
      <c r="B647" s="2" t="s">
        <v>617</v>
      </c>
      <c r="C647" s="2"/>
      <c r="D647" s="2" t="s">
        <v>11</v>
      </c>
      <c r="E647" s="2">
        <v>10.0</v>
      </c>
      <c r="F647" s="2" t="s">
        <v>12</v>
      </c>
      <c r="G647" s="2"/>
      <c r="H647" s="2"/>
      <c r="I647" s="2"/>
    </row>
    <row r="648">
      <c r="A648" s="2" t="s">
        <v>639</v>
      </c>
      <c r="B648" s="2" t="s">
        <v>617</v>
      </c>
      <c r="C648" s="2"/>
      <c r="D648" s="2" t="s">
        <v>11</v>
      </c>
      <c r="E648" s="2">
        <v>10.0</v>
      </c>
      <c r="F648" s="2" t="s">
        <v>12</v>
      </c>
      <c r="G648" s="2"/>
      <c r="H648" s="2"/>
      <c r="I648" s="2"/>
    </row>
    <row r="649">
      <c r="A649" s="2" t="s">
        <v>640</v>
      </c>
      <c r="B649" s="2" t="s">
        <v>617</v>
      </c>
      <c r="C649" s="2"/>
      <c r="D649" s="2" t="s">
        <v>11</v>
      </c>
      <c r="E649" s="2">
        <v>10.0</v>
      </c>
      <c r="F649" s="2" t="s">
        <v>12</v>
      </c>
      <c r="G649" s="2"/>
      <c r="H649" s="2"/>
      <c r="I649" s="2"/>
    </row>
    <row r="650">
      <c r="A650" s="2" t="s">
        <v>641</v>
      </c>
      <c r="B650" s="2" t="s">
        <v>617</v>
      </c>
      <c r="C650" s="2"/>
      <c r="D650" s="2" t="s">
        <v>11</v>
      </c>
      <c r="E650" s="2">
        <v>20.0</v>
      </c>
      <c r="F650" s="2" t="s">
        <v>12</v>
      </c>
      <c r="G650" s="2"/>
      <c r="H650" s="2"/>
      <c r="I650" s="2"/>
    </row>
    <row r="651">
      <c r="A651" s="2" t="s">
        <v>642</v>
      </c>
      <c r="B651" s="2" t="s">
        <v>617</v>
      </c>
      <c r="C651" s="1"/>
      <c r="D651" s="2"/>
      <c r="E651" s="2"/>
      <c r="F651" s="2"/>
      <c r="G651" s="2"/>
      <c r="H651" s="2"/>
      <c r="I651" s="2"/>
    </row>
    <row r="652">
      <c r="A652" s="1" t="s">
        <v>643</v>
      </c>
      <c r="B652" s="2" t="s">
        <v>617</v>
      </c>
      <c r="C652" s="2"/>
      <c r="D652" s="2" t="s">
        <v>37</v>
      </c>
      <c r="E652" s="2">
        <v>10.0</v>
      </c>
      <c r="F652" s="2" t="s">
        <v>12</v>
      </c>
      <c r="G652" s="2"/>
      <c r="H652" s="2"/>
      <c r="I652" s="2"/>
    </row>
    <row r="653">
      <c r="A653" s="2" t="s">
        <v>644</v>
      </c>
      <c r="B653" s="2" t="s">
        <v>617</v>
      </c>
      <c r="C653" s="1"/>
      <c r="D653" s="2"/>
      <c r="E653" s="2"/>
      <c r="F653" s="2"/>
      <c r="G653" s="2"/>
      <c r="H653" s="2"/>
      <c r="I653" s="2"/>
    </row>
    <row r="654">
      <c r="A654" s="2" t="s">
        <v>645</v>
      </c>
      <c r="B654" s="2" t="s">
        <v>617</v>
      </c>
      <c r="C654" s="1"/>
      <c r="D654" s="2"/>
      <c r="E654" s="2"/>
      <c r="F654" s="2"/>
      <c r="G654" s="2"/>
      <c r="H654" s="2"/>
      <c r="I654" s="2"/>
    </row>
    <row r="655">
      <c r="A655" s="2" t="s">
        <v>646</v>
      </c>
      <c r="B655" s="2" t="s">
        <v>617</v>
      </c>
      <c r="C655" s="2"/>
      <c r="D655" s="2" t="s">
        <v>11</v>
      </c>
      <c r="E655" s="2">
        <v>10.0</v>
      </c>
      <c r="F655" s="2" t="s">
        <v>12</v>
      </c>
      <c r="G655" s="2"/>
      <c r="H655" s="2"/>
      <c r="I655" s="2"/>
    </row>
    <row r="656">
      <c r="A656" s="2" t="s">
        <v>647</v>
      </c>
      <c r="B656" s="2" t="s">
        <v>617</v>
      </c>
      <c r="C656" s="2"/>
      <c r="D656" s="1" t="s">
        <v>11</v>
      </c>
      <c r="E656" s="2">
        <v>4.0</v>
      </c>
      <c r="F656" s="2" t="s">
        <v>12</v>
      </c>
      <c r="G656" s="2"/>
      <c r="H656" s="2"/>
      <c r="I656" s="2"/>
    </row>
    <row r="657">
      <c r="A657" s="2" t="s">
        <v>648</v>
      </c>
      <c r="B657" s="2" t="s">
        <v>649</v>
      </c>
      <c r="C657" s="1"/>
      <c r="D657" s="2"/>
      <c r="E657" s="2"/>
      <c r="F657" s="2"/>
      <c r="G657" s="2"/>
      <c r="H657" s="2"/>
      <c r="I657" s="2"/>
    </row>
    <row r="658">
      <c r="A658" s="2" t="s">
        <v>650</v>
      </c>
      <c r="B658" s="2" t="s">
        <v>649</v>
      </c>
      <c r="C658" s="1"/>
      <c r="D658" s="2"/>
      <c r="E658" s="2"/>
      <c r="F658" s="2"/>
      <c r="G658" s="2"/>
      <c r="H658" s="2"/>
      <c r="I658" s="2"/>
    </row>
    <row r="659">
      <c r="A659" s="1" t="s">
        <v>651</v>
      </c>
      <c r="B659" s="2" t="s">
        <v>649</v>
      </c>
      <c r="C659" s="2"/>
      <c r="D659" s="2" t="s">
        <v>11</v>
      </c>
      <c r="E659" s="2">
        <v>7.0</v>
      </c>
      <c r="F659" s="2" t="s">
        <v>12</v>
      </c>
      <c r="G659" s="2"/>
      <c r="H659" s="2"/>
      <c r="I659" s="2"/>
    </row>
    <row r="660">
      <c r="A660" s="2" t="s">
        <v>652</v>
      </c>
      <c r="B660" s="2" t="s">
        <v>653</v>
      </c>
      <c r="C660" s="2"/>
      <c r="D660" s="2" t="s">
        <v>11</v>
      </c>
      <c r="E660" s="2">
        <v>10.0</v>
      </c>
      <c r="F660" s="2" t="s">
        <v>12</v>
      </c>
      <c r="G660" s="2"/>
      <c r="H660" s="2"/>
      <c r="I660" s="2"/>
    </row>
    <row r="661">
      <c r="A661" s="2" t="s">
        <v>654</v>
      </c>
      <c r="B661" s="2" t="s">
        <v>653</v>
      </c>
      <c r="C661" s="2"/>
      <c r="D661" s="2" t="s">
        <v>11</v>
      </c>
      <c r="E661" s="2">
        <v>10.0</v>
      </c>
      <c r="F661" s="2" t="s">
        <v>12</v>
      </c>
      <c r="G661" s="2"/>
      <c r="H661" s="2"/>
      <c r="I661" s="2"/>
    </row>
    <row r="662">
      <c r="A662" s="2" t="s">
        <v>655</v>
      </c>
      <c r="B662" s="2" t="s">
        <v>653</v>
      </c>
      <c r="C662" s="1"/>
      <c r="D662" s="2"/>
      <c r="E662" s="2"/>
      <c r="F662" s="2"/>
      <c r="G662" s="2"/>
      <c r="H662" s="2"/>
      <c r="I662" s="2"/>
    </row>
    <row r="663">
      <c r="A663" s="2" t="s">
        <v>656</v>
      </c>
      <c r="B663" s="2" t="s">
        <v>653</v>
      </c>
      <c r="C663" s="2"/>
      <c r="D663" s="2" t="s">
        <v>11</v>
      </c>
      <c r="E663" s="2">
        <v>10.0</v>
      </c>
      <c r="F663" s="2" t="s">
        <v>12</v>
      </c>
      <c r="G663" s="2"/>
      <c r="H663" s="2"/>
      <c r="I663" s="2"/>
    </row>
    <row r="664">
      <c r="A664" s="2" t="s">
        <v>657</v>
      </c>
      <c r="B664" s="2" t="s">
        <v>653</v>
      </c>
      <c r="C664" s="1"/>
      <c r="D664" s="2"/>
      <c r="E664" s="2"/>
      <c r="F664" s="2"/>
      <c r="G664" s="2"/>
      <c r="H664" s="2"/>
      <c r="I664" s="2"/>
    </row>
    <row r="665">
      <c r="A665" s="2" t="s">
        <v>658</v>
      </c>
      <c r="B665" s="2" t="s">
        <v>653</v>
      </c>
      <c r="C665" s="2"/>
      <c r="D665" s="2" t="s">
        <v>11</v>
      </c>
      <c r="E665" s="2">
        <v>10.0</v>
      </c>
      <c r="F665" s="2" t="s">
        <v>12</v>
      </c>
      <c r="G665" s="2"/>
      <c r="H665" s="2"/>
      <c r="I665" s="2"/>
    </row>
    <row r="666">
      <c r="A666" s="2" t="s">
        <v>659</v>
      </c>
      <c r="B666" s="2" t="s">
        <v>653</v>
      </c>
      <c r="C666" s="2"/>
      <c r="D666" s="2" t="s">
        <v>11</v>
      </c>
      <c r="E666" s="2">
        <v>10.0</v>
      </c>
      <c r="F666" s="2" t="s">
        <v>12</v>
      </c>
      <c r="G666" s="2"/>
      <c r="H666" s="2"/>
      <c r="I666" s="2"/>
    </row>
    <row r="667">
      <c r="A667" s="2" t="s">
        <v>660</v>
      </c>
      <c r="B667" s="2" t="s">
        <v>653</v>
      </c>
      <c r="C667" s="2"/>
      <c r="D667" s="2" t="s">
        <v>11</v>
      </c>
      <c r="E667" s="2">
        <v>10.0</v>
      </c>
      <c r="F667" s="2" t="s">
        <v>12</v>
      </c>
      <c r="G667" s="2"/>
      <c r="H667" s="2"/>
      <c r="I667" s="2"/>
    </row>
    <row r="668">
      <c r="A668" s="2" t="s">
        <v>661</v>
      </c>
      <c r="B668" s="2" t="s">
        <v>653</v>
      </c>
      <c r="C668" s="2"/>
      <c r="D668" s="2" t="s">
        <v>11</v>
      </c>
      <c r="E668" s="2">
        <v>10.0</v>
      </c>
      <c r="F668" s="2" t="s">
        <v>12</v>
      </c>
      <c r="G668" s="2"/>
      <c r="H668" s="2"/>
      <c r="I668" s="2"/>
    </row>
    <row r="669">
      <c r="A669" s="2" t="s">
        <v>662</v>
      </c>
      <c r="B669" s="2" t="s">
        <v>653</v>
      </c>
      <c r="C669" s="2"/>
      <c r="D669" s="2" t="s">
        <v>11</v>
      </c>
      <c r="E669" s="2">
        <v>5.0</v>
      </c>
      <c r="F669" s="2" t="s">
        <v>12</v>
      </c>
      <c r="G669" s="2"/>
      <c r="H669" s="2"/>
      <c r="I669" s="2"/>
    </row>
    <row r="670">
      <c r="A670" s="2" t="s">
        <v>663</v>
      </c>
      <c r="B670" s="2" t="s">
        <v>664</v>
      </c>
      <c r="C670" s="2"/>
      <c r="D670" s="2" t="s">
        <v>11</v>
      </c>
      <c r="E670" s="2">
        <v>10.0</v>
      </c>
      <c r="F670" s="2" t="s">
        <v>12</v>
      </c>
      <c r="G670" s="2"/>
      <c r="H670" s="2"/>
      <c r="I670" s="2"/>
    </row>
    <row r="671">
      <c r="A671" s="2" t="s">
        <v>665</v>
      </c>
      <c r="B671" s="2" t="s">
        <v>664</v>
      </c>
      <c r="C671" s="1"/>
      <c r="D671" s="2"/>
      <c r="E671" s="2"/>
      <c r="F671" s="2"/>
      <c r="G671" s="2"/>
      <c r="H671" s="2"/>
      <c r="I671" s="2"/>
    </row>
    <row r="672">
      <c r="A672" s="2" t="s">
        <v>666</v>
      </c>
      <c r="B672" s="2" t="s">
        <v>664</v>
      </c>
      <c r="C672" s="2"/>
      <c r="D672" s="2" t="s">
        <v>11</v>
      </c>
      <c r="E672" s="2">
        <v>10.0</v>
      </c>
      <c r="F672" s="2" t="s">
        <v>12</v>
      </c>
      <c r="G672" s="2"/>
      <c r="H672" s="2"/>
      <c r="I672" s="2"/>
    </row>
    <row r="673">
      <c r="A673" s="1" t="s">
        <v>667</v>
      </c>
      <c r="B673" s="2" t="s">
        <v>664</v>
      </c>
      <c r="C673" s="2"/>
      <c r="D673" s="2" t="s">
        <v>11</v>
      </c>
      <c r="E673" s="2">
        <v>10.0</v>
      </c>
      <c r="F673" s="2" t="s">
        <v>12</v>
      </c>
      <c r="G673" s="2"/>
      <c r="H673" s="2"/>
      <c r="I673" s="2"/>
    </row>
    <row r="674">
      <c r="A674" s="2" t="s">
        <v>668</v>
      </c>
      <c r="B674" s="2" t="s">
        <v>664</v>
      </c>
      <c r="C674" s="1"/>
      <c r="D674" s="2"/>
      <c r="E674" s="2"/>
      <c r="F674" s="2"/>
      <c r="G674" s="2"/>
      <c r="H674" s="2"/>
      <c r="I674" s="2"/>
    </row>
    <row r="675">
      <c r="A675" s="1" t="s">
        <v>669</v>
      </c>
      <c r="B675" s="2" t="s">
        <v>664</v>
      </c>
      <c r="C675" s="2"/>
      <c r="D675" s="2" t="s">
        <v>73</v>
      </c>
      <c r="E675" s="2">
        <v>1.0</v>
      </c>
      <c r="F675" s="2" t="s">
        <v>74</v>
      </c>
      <c r="G675" s="2"/>
      <c r="H675" s="2"/>
      <c r="I675" s="2"/>
    </row>
    <row r="676">
      <c r="A676" s="1" t="s">
        <v>670</v>
      </c>
      <c r="B676" s="2" t="s">
        <v>664</v>
      </c>
      <c r="C676" s="2"/>
      <c r="D676" s="2" t="s">
        <v>11</v>
      </c>
      <c r="E676" s="2">
        <v>5.0</v>
      </c>
      <c r="F676" s="2" t="s">
        <v>12</v>
      </c>
      <c r="G676" s="2"/>
      <c r="H676" s="2"/>
      <c r="I676" s="2"/>
    </row>
    <row r="677">
      <c r="A677" s="2" t="s">
        <v>671</v>
      </c>
      <c r="B677" s="2" t="s">
        <v>664</v>
      </c>
      <c r="C677" s="1"/>
      <c r="D677" s="2"/>
      <c r="E677" s="2"/>
      <c r="F677" s="2"/>
      <c r="G677" s="2"/>
      <c r="H677" s="2"/>
      <c r="I677" s="2"/>
    </row>
    <row r="678">
      <c r="A678" s="1" t="s">
        <v>672</v>
      </c>
      <c r="B678" s="2" t="s">
        <v>664</v>
      </c>
      <c r="C678" s="1"/>
      <c r="D678" s="2"/>
      <c r="E678" s="2"/>
      <c r="F678" s="2"/>
      <c r="G678" s="2"/>
      <c r="H678" s="2"/>
      <c r="I678" s="2"/>
    </row>
    <row r="679">
      <c r="A679" s="2" t="s">
        <v>673</v>
      </c>
      <c r="B679" s="2" t="s">
        <v>664</v>
      </c>
      <c r="C679" s="2"/>
      <c r="D679" s="2" t="s">
        <v>11</v>
      </c>
      <c r="E679" s="2">
        <v>10.0</v>
      </c>
      <c r="F679" s="2" t="s">
        <v>12</v>
      </c>
      <c r="G679" s="2"/>
      <c r="H679" s="2"/>
      <c r="I679" s="2"/>
    </row>
    <row r="680">
      <c r="A680" s="2" t="s">
        <v>674</v>
      </c>
      <c r="B680" s="2" t="s">
        <v>664</v>
      </c>
      <c r="C680" s="1"/>
      <c r="D680" s="2"/>
      <c r="E680" s="2"/>
      <c r="F680" s="2"/>
      <c r="G680" s="2"/>
      <c r="H680" s="2"/>
      <c r="I680" s="2"/>
    </row>
    <row r="681">
      <c r="A681" s="2" t="s">
        <v>675</v>
      </c>
      <c r="B681" s="2" t="s">
        <v>664</v>
      </c>
      <c r="C681" s="1"/>
      <c r="D681" s="2"/>
      <c r="E681" s="2"/>
      <c r="F681" s="2"/>
      <c r="G681" s="2"/>
      <c r="H681" s="2"/>
      <c r="I681" s="2"/>
    </row>
    <row r="682">
      <c r="A682" s="1" t="s">
        <v>676</v>
      </c>
      <c r="B682" s="2" t="s">
        <v>664</v>
      </c>
      <c r="C682" s="2"/>
      <c r="D682" s="2" t="s">
        <v>11</v>
      </c>
      <c r="E682" s="2">
        <v>10.0</v>
      </c>
      <c r="F682" s="2" t="s">
        <v>12</v>
      </c>
      <c r="G682" s="2"/>
      <c r="H682" s="2"/>
      <c r="I682" s="2"/>
    </row>
    <row r="683">
      <c r="A683" s="1" t="s">
        <v>677</v>
      </c>
      <c r="B683" s="2" t="s">
        <v>664</v>
      </c>
      <c r="C683" s="2"/>
      <c r="D683" s="2" t="s">
        <v>11</v>
      </c>
      <c r="E683" s="2">
        <v>10.0</v>
      </c>
      <c r="F683" s="2" t="s">
        <v>12</v>
      </c>
      <c r="G683" s="2"/>
      <c r="H683" s="2"/>
      <c r="I683" s="2"/>
    </row>
    <row r="684">
      <c r="A684" s="1" t="s">
        <v>678</v>
      </c>
      <c r="B684" s="2" t="s">
        <v>664</v>
      </c>
      <c r="C684" s="2"/>
      <c r="D684" s="2" t="s">
        <v>11</v>
      </c>
      <c r="E684" s="2">
        <v>15.0</v>
      </c>
      <c r="F684" s="2" t="s">
        <v>12</v>
      </c>
      <c r="G684" s="2"/>
      <c r="H684" s="2"/>
      <c r="I684" s="2"/>
    </row>
    <row r="685">
      <c r="A685" s="1" t="s">
        <v>679</v>
      </c>
      <c r="B685" s="2" t="s">
        <v>664</v>
      </c>
      <c r="C685" s="2"/>
      <c r="D685" s="2" t="s">
        <v>37</v>
      </c>
      <c r="E685" s="2">
        <v>10.0</v>
      </c>
      <c r="F685" s="2" t="s">
        <v>12</v>
      </c>
      <c r="G685" s="2"/>
      <c r="H685" s="2"/>
      <c r="I685" s="2"/>
    </row>
    <row r="686">
      <c r="A686" s="1" t="s">
        <v>680</v>
      </c>
      <c r="B686" s="2" t="s">
        <v>664</v>
      </c>
      <c r="C686" s="2"/>
      <c r="D686" s="2" t="s">
        <v>37</v>
      </c>
      <c r="E686" s="2">
        <v>10.0</v>
      </c>
      <c r="F686" s="2" t="s">
        <v>12</v>
      </c>
      <c r="G686" s="2"/>
      <c r="H686" s="2"/>
      <c r="I686" s="2"/>
    </row>
    <row r="687">
      <c r="A687" s="2" t="s">
        <v>681</v>
      </c>
      <c r="B687" s="2" t="s">
        <v>664</v>
      </c>
      <c r="C687" s="1"/>
      <c r="D687" s="2"/>
      <c r="E687" s="2"/>
      <c r="F687" s="2"/>
      <c r="G687" s="2"/>
      <c r="H687" s="2"/>
      <c r="I687" s="2"/>
    </row>
    <row r="688">
      <c r="A688" s="1" t="s">
        <v>682</v>
      </c>
      <c r="B688" s="2" t="s">
        <v>664</v>
      </c>
      <c r="C688" s="2"/>
      <c r="D688" s="2" t="s">
        <v>37</v>
      </c>
      <c r="E688" s="2">
        <v>10.0</v>
      </c>
      <c r="F688" s="2" t="s">
        <v>12</v>
      </c>
      <c r="G688" s="2"/>
      <c r="H688" s="2"/>
      <c r="I688" s="2"/>
    </row>
    <row r="689">
      <c r="A689" s="1" t="s">
        <v>682</v>
      </c>
      <c r="B689" s="2" t="s">
        <v>664</v>
      </c>
      <c r="C689" s="2"/>
      <c r="D689" s="2" t="s">
        <v>37</v>
      </c>
      <c r="E689" s="2">
        <v>15.0</v>
      </c>
      <c r="F689" s="2" t="s">
        <v>12</v>
      </c>
      <c r="G689" s="2"/>
      <c r="H689" s="2"/>
      <c r="I689" s="2"/>
    </row>
    <row r="690">
      <c r="A690" s="1" t="s">
        <v>683</v>
      </c>
      <c r="B690" s="2" t="s">
        <v>664</v>
      </c>
      <c r="C690" s="2"/>
      <c r="D690" s="2" t="s">
        <v>37</v>
      </c>
      <c r="E690" s="2">
        <v>30.0</v>
      </c>
      <c r="F690" s="2" t="s">
        <v>22</v>
      </c>
      <c r="G690" s="2"/>
      <c r="H690" s="2"/>
      <c r="I690" s="2"/>
    </row>
    <row r="691">
      <c r="A691" s="1" t="s">
        <v>684</v>
      </c>
      <c r="B691" s="2" t="s">
        <v>664</v>
      </c>
      <c r="C691" s="2"/>
      <c r="D691" s="2" t="s">
        <v>37</v>
      </c>
      <c r="E691" s="2">
        <v>10.0</v>
      </c>
      <c r="F691" s="2" t="s">
        <v>12</v>
      </c>
      <c r="G691" s="2"/>
      <c r="H691" s="2"/>
      <c r="I691" s="2"/>
    </row>
    <row r="692">
      <c r="A692" s="1" t="s">
        <v>685</v>
      </c>
      <c r="B692" s="2" t="s">
        <v>664</v>
      </c>
      <c r="C692" s="2"/>
      <c r="D692" s="2" t="s">
        <v>11</v>
      </c>
      <c r="E692" s="2">
        <v>15.0</v>
      </c>
      <c r="F692" s="2" t="s">
        <v>12</v>
      </c>
      <c r="G692" s="2"/>
      <c r="H692" s="2"/>
      <c r="I692" s="2"/>
    </row>
    <row r="693">
      <c r="A693" s="1" t="s">
        <v>686</v>
      </c>
      <c r="B693" s="2" t="s">
        <v>664</v>
      </c>
      <c r="C693" s="2"/>
      <c r="D693" s="2" t="s">
        <v>37</v>
      </c>
      <c r="E693" s="2">
        <v>20.0</v>
      </c>
      <c r="F693" s="2" t="s">
        <v>12</v>
      </c>
      <c r="G693" s="2"/>
      <c r="H693" s="2"/>
      <c r="I693" s="2"/>
    </row>
    <row r="694">
      <c r="A694" s="1" t="s">
        <v>687</v>
      </c>
      <c r="B694" s="2" t="s">
        <v>664</v>
      </c>
      <c r="C694" s="2"/>
      <c r="D694" s="2" t="s">
        <v>11</v>
      </c>
      <c r="E694" s="2"/>
      <c r="F694" s="2"/>
      <c r="G694" s="2"/>
      <c r="H694" s="2"/>
      <c r="I694" s="2"/>
    </row>
    <row r="695">
      <c r="A695" s="2" t="s">
        <v>688</v>
      </c>
      <c r="B695" s="2" t="s">
        <v>664</v>
      </c>
      <c r="C695" s="2"/>
      <c r="D695" s="2" t="s">
        <v>11</v>
      </c>
      <c r="E695" s="2">
        <v>15.0</v>
      </c>
      <c r="F695" s="2" t="s">
        <v>12</v>
      </c>
      <c r="G695" s="2"/>
      <c r="H695" s="2"/>
      <c r="I695" s="2"/>
    </row>
    <row r="696">
      <c r="A696" s="2" t="s">
        <v>689</v>
      </c>
      <c r="B696" s="2" t="s">
        <v>664</v>
      </c>
      <c r="C696" s="2"/>
      <c r="D696" s="2" t="s">
        <v>11</v>
      </c>
      <c r="E696" s="2"/>
      <c r="F696" s="2"/>
      <c r="G696" s="2"/>
      <c r="H696" s="2"/>
      <c r="I696" s="2"/>
    </row>
    <row r="697">
      <c r="A697" s="2" t="s">
        <v>690</v>
      </c>
      <c r="B697" s="2" t="s">
        <v>664</v>
      </c>
      <c r="C697" s="2"/>
      <c r="D697" s="2" t="s">
        <v>37</v>
      </c>
      <c r="E697" s="2">
        <v>15.0</v>
      </c>
      <c r="F697" s="2" t="s">
        <v>12</v>
      </c>
      <c r="G697" s="2"/>
      <c r="H697" s="2"/>
      <c r="I697" s="2"/>
    </row>
    <row r="698">
      <c r="A698" s="1" t="s">
        <v>691</v>
      </c>
      <c r="B698" s="2" t="s">
        <v>664</v>
      </c>
      <c r="C698" s="2"/>
      <c r="D698" s="2" t="s">
        <v>11</v>
      </c>
      <c r="E698" s="2">
        <v>10.0</v>
      </c>
      <c r="F698" s="2" t="s">
        <v>12</v>
      </c>
      <c r="G698" s="2"/>
      <c r="H698" s="2"/>
      <c r="I698" s="2"/>
    </row>
    <row r="699">
      <c r="A699" s="1" t="s">
        <v>692</v>
      </c>
      <c r="B699" s="2" t="s">
        <v>664</v>
      </c>
      <c r="C699" s="2"/>
      <c r="D699" s="2" t="s">
        <v>11</v>
      </c>
      <c r="E699" s="2">
        <v>10.0</v>
      </c>
      <c r="F699" s="2" t="s">
        <v>12</v>
      </c>
      <c r="G699" s="2"/>
      <c r="H699" s="2"/>
      <c r="I699" s="2"/>
    </row>
    <row r="700">
      <c r="A700" s="1" t="s">
        <v>693</v>
      </c>
      <c r="B700" s="2" t="s">
        <v>664</v>
      </c>
      <c r="C700" s="2"/>
      <c r="D700" s="2" t="s">
        <v>11</v>
      </c>
      <c r="E700" s="2">
        <v>10.0</v>
      </c>
      <c r="F700" s="2" t="s">
        <v>12</v>
      </c>
      <c r="G700" s="2"/>
      <c r="H700" s="2"/>
      <c r="I700" s="2"/>
    </row>
    <row r="701">
      <c r="A701" s="1" t="s">
        <v>694</v>
      </c>
      <c r="B701" s="2" t="s">
        <v>695</v>
      </c>
      <c r="C701" s="2"/>
      <c r="D701" s="2" t="s">
        <v>11</v>
      </c>
      <c r="E701" s="2">
        <v>10.0</v>
      </c>
      <c r="F701" s="2" t="s">
        <v>12</v>
      </c>
      <c r="G701" s="2"/>
      <c r="H701" s="2"/>
      <c r="I701" s="2"/>
    </row>
    <row r="702">
      <c r="A702" s="1" t="s">
        <v>696</v>
      </c>
      <c r="B702" s="2" t="s">
        <v>695</v>
      </c>
      <c r="C702" s="1"/>
      <c r="D702" s="2"/>
      <c r="E702" s="2"/>
      <c r="F702" s="2"/>
      <c r="G702" s="2"/>
      <c r="H702" s="2"/>
      <c r="I702" s="2"/>
    </row>
    <row r="703">
      <c r="A703" s="2" t="s">
        <v>697</v>
      </c>
      <c r="B703" s="2" t="s">
        <v>695</v>
      </c>
      <c r="C703" s="1"/>
      <c r="D703" s="2"/>
      <c r="E703" s="2"/>
      <c r="F703" s="2"/>
      <c r="G703" s="2"/>
      <c r="H703" s="2"/>
      <c r="I703" s="2"/>
    </row>
    <row r="704">
      <c r="A704" s="2" t="s">
        <v>698</v>
      </c>
      <c r="B704" s="2" t="s">
        <v>695</v>
      </c>
      <c r="C704" s="1"/>
      <c r="D704" s="2"/>
      <c r="E704" s="2"/>
      <c r="F704" s="2"/>
      <c r="G704" s="2"/>
      <c r="H704" s="2"/>
      <c r="I704" s="2"/>
    </row>
    <row r="705">
      <c r="A705" s="2" t="s">
        <v>699</v>
      </c>
      <c r="B705" s="2" t="s">
        <v>695</v>
      </c>
      <c r="C705" s="1"/>
      <c r="D705" s="2"/>
      <c r="E705" s="2"/>
      <c r="F705" s="2"/>
      <c r="G705" s="2"/>
      <c r="H705" s="2"/>
      <c r="I705" s="2"/>
    </row>
    <row r="706">
      <c r="A706" s="1" t="s">
        <v>700</v>
      </c>
      <c r="B706" s="2" t="s">
        <v>695</v>
      </c>
      <c r="C706" s="1"/>
      <c r="D706" s="2"/>
      <c r="E706" s="2"/>
      <c r="F706" s="2"/>
      <c r="G706" s="2"/>
      <c r="H706" s="2"/>
      <c r="I706" s="2"/>
    </row>
    <row r="707">
      <c r="A707" s="1" t="s">
        <v>701</v>
      </c>
      <c r="B707" s="2" t="s">
        <v>695</v>
      </c>
      <c r="C707" s="2"/>
      <c r="D707" s="2" t="s">
        <v>11</v>
      </c>
      <c r="E707" s="2">
        <v>3.0</v>
      </c>
      <c r="F707" s="2" t="s">
        <v>12</v>
      </c>
      <c r="G707" s="2"/>
      <c r="H707" s="2"/>
      <c r="I707" s="2"/>
    </row>
    <row r="708">
      <c r="A708" s="1" t="s">
        <v>702</v>
      </c>
      <c r="B708" s="2" t="s">
        <v>695</v>
      </c>
      <c r="C708" s="1"/>
      <c r="D708" s="2"/>
      <c r="E708" s="2"/>
      <c r="F708" s="2"/>
      <c r="G708" s="2"/>
      <c r="H708" s="2"/>
      <c r="I708" s="2"/>
    </row>
    <row r="709">
      <c r="A709" s="1" t="s">
        <v>703</v>
      </c>
      <c r="B709" s="2" t="s">
        <v>695</v>
      </c>
      <c r="C709" s="1"/>
      <c r="D709" s="2"/>
      <c r="E709" s="2"/>
      <c r="F709" s="2"/>
      <c r="G709" s="2"/>
      <c r="H709" s="2"/>
      <c r="I709" s="2"/>
    </row>
    <row r="710">
      <c r="A710" s="1" t="s">
        <v>704</v>
      </c>
      <c r="B710" s="2" t="s">
        <v>695</v>
      </c>
      <c r="C710" s="1"/>
      <c r="D710" s="2"/>
      <c r="E710" s="2"/>
      <c r="F710" s="2"/>
      <c r="G710" s="2"/>
      <c r="H710" s="2"/>
      <c r="I710" s="2"/>
    </row>
    <row r="711">
      <c r="A711" s="1" t="s">
        <v>705</v>
      </c>
      <c r="B711" s="2" t="s">
        <v>695</v>
      </c>
      <c r="C711" s="2"/>
      <c r="D711" s="2" t="s">
        <v>11</v>
      </c>
      <c r="E711" s="2">
        <v>10.0</v>
      </c>
      <c r="F711" s="2" t="s">
        <v>12</v>
      </c>
      <c r="G711" s="2"/>
      <c r="H711" s="2"/>
      <c r="I711" s="2"/>
    </row>
    <row r="712">
      <c r="A712" s="2" t="s">
        <v>706</v>
      </c>
      <c r="B712" s="2" t="s">
        <v>695</v>
      </c>
      <c r="C712" s="1"/>
      <c r="D712" s="2"/>
      <c r="E712" s="2"/>
      <c r="F712" s="2"/>
      <c r="G712" s="2"/>
      <c r="H712" s="2"/>
      <c r="I712" s="2"/>
    </row>
    <row r="713">
      <c r="A713" s="2" t="s">
        <v>707</v>
      </c>
      <c r="B713" s="2" t="s">
        <v>695</v>
      </c>
      <c r="C713" s="2"/>
      <c r="D713" s="2" t="s">
        <v>21</v>
      </c>
      <c r="E713" s="2">
        <v>1.0</v>
      </c>
      <c r="F713" s="2" t="s">
        <v>22</v>
      </c>
      <c r="G713" s="2"/>
      <c r="H713" s="2"/>
      <c r="I713" s="2"/>
    </row>
    <row r="714">
      <c r="A714" s="1" t="s">
        <v>708</v>
      </c>
      <c r="B714" s="2" t="s">
        <v>695</v>
      </c>
      <c r="C714" s="2"/>
      <c r="D714" s="2" t="s">
        <v>11</v>
      </c>
      <c r="E714" s="2">
        <v>10.0</v>
      </c>
      <c r="F714" s="2" t="s">
        <v>12</v>
      </c>
      <c r="G714" s="2"/>
      <c r="H714" s="2"/>
      <c r="I714" s="2"/>
    </row>
    <row r="715">
      <c r="A715" s="2" t="s">
        <v>709</v>
      </c>
      <c r="B715" s="2" t="s">
        <v>695</v>
      </c>
      <c r="C715" s="1"/>
      <c r="D715" s="2"/>
      <c r="E715" s="2"/>
      <c r="F715" s="2"/>
      <c r="G715" s="2"/>
      <c r="H715" s="2"/>
      <c r="I715" s="2"/>
    </row>
    <row r="716">
      <c r="A716" s="1" t="s">
        <v>710</v>
      </c>
      <c r="B716" s="2" t="s">
        <v>695</v>
      </c>
      <c r="C716" s="2"/>
      <c r="D716" s="2" t="s">
        <v>11</v>
      </c>
      <c r="E716" s="2">
        <v>10.0</v>
      </c>
      <c r="F716" s="2" t="s">
        <v>12</v>
      </c>
      <c r="G716" s="2"/>
      <c r="H716" s="2"/>
      <c r="I716" s="2"/>
    </row>
    <row r="717">
      <c r="A717" s="2" t="s">
        <v>711</v>
      </c>
      <c r="B717" s="2" t="s">
        <v>695</v>
      </c>
      <c r="C717" s="1"/>
      <c r="D717" s="2"/>
      <c r="E717" s="2"/>
      <c r="F717" s="2"/>
      <c r="G717" s="2"/>
      <c r="H717" s="2"/>
      <c r="I717" s="2"/>
    </row>
    <row r="718">
      <c r="A718" s="2" t="s">
        <v>712</v>
      </c>
      <c r="B718" s="2" t="s">
        <v>695</v>
      </c>
      <c r="C718" s="1"/>
      <c r="D718" s="2"/>
      <c r="E718" s="2"/>
      <c r="F718" s="2"/>
      <c r="G718" s="2"/>
      <c r="H718" s="2"/>
      <c r="I718" s="2"/>
    </row>
    <row r="719">
      <c r="A719" s="2" t="s">
        <v>713</v>
      </c>
      <c r="B719" s="2" t="s">
        <v>695</v>
      </c>
      <c r="C719" s="1"/>
      <c r="D719" s="2"/>
      <c r="E719" s="2"/>
      <c r="F719" s="2"/>
      <c r="G719" s="2"/>
      <c r="H719" s="2"/>
      <c r="I719" s="2"/>
    </row>
    <row r="720">
      <c r="A720" s="2" t="s">
        <v>714</v>
      </c>
      <c r="B720" s="2" t="s">
        <v>695</v>
      </c>
      <c r="C720" s="1"/>
      <c r="D720" s="2"/>
      <c r="E720" s="2"/>
      <c r="F720" s="2"/>
      <c r="G720" s="2"/>
      <c r="H720" s="2"/>
      <c r="I720" s="2"/>
    </row>
    <row r="721">
      <c r="A721" s="2" t="s">
        <v>715</v>
      </c>
      <c r="B721" s="2" t="s">
        <v>695</v>
      </c>
      <c r="C721" s="1"/>
      <c r="D721" s="2"/>
      <c r="E721" s="2"/>
      <c r="F721" s="2"/>
      <c r="G721" s="2"/>
      <c r="H721" s="2"/>
      <c r="I721" s="2"/>
    </row>
    <row r="722">
      <c r="A722" s="2" t="s">
        <v>716</v>
      </c>
      <c r="B722" s="2" t="s">
        <v>695</v>
      </c>
      <c r="C722" s="1"/>
      <c r="D722" s="2"/>
      <c r="E722" s="2"/>
      <c r="F722" s="2"/>
      <c r="G722" s="2"/>
      <c r="H722" s="2"/>
      <c r="I722" s="2"/>
    </row>
    <row r="723">
      <c r="A723" s="2" t="s">
        <v>717</v>
      </c>
      <c r="B723" s="2" t="s">
        <v>695</v>
      </c>
      <c r="C723" s="1"/>
      <c r="D723" s="2"/>
      <c r="E723" s="2"/>
      <c r="F723" s="2"/>
      <c r="G723" s="2"/>
      <c r="H723" s="2"/>
      <c r="I723" s="2"/>
    </row>
    <row r="724">
      <c r="A724" s="1" t="s">
        <v>718</v>
      </c>
      <c r="B724" s="2" t="s">
        <v>695</v>
      </c>
      <c r="C724" s="2"/>
      <c r="D724" s="2" t="s">
        <v>11</v>
      </c>
      <c r="E724" s="2">
        <v>15.0</v>
      </c>
      <c r="F724" s="2" t="s">
        <v>12</v>
      </c>
      <c r="G724" s="2"/>
      <c r="H724" s="2"/>
      <c r="I724" s="2"/>
    </row>
    <row r="725">
      <c r="A725" s="1" t="s">
        <v>719</v>
      </c>
      <c r="B725" s="2" t="s">
        <v>695</v>
      </c>
      <c r="C725" s="2"/>
      <c r="D725" s="2" t="s">
        <v>11</v>
      </c>
      <c r="E725" s="2">
        <v>10.0</v>
      </c>
      <c r="F725" s="2" t="s">
        <v>12</v>
      </c>
      <c r="G725" s="2"/>
      <c r="H725" s="2"/>
      <c r="I725" s="2"/>
    </row>
    <row r="726">
      <c r="A726" s="2" t="s">
        <v>720</v>
      </c>
      <c r="B726" s="2" t="s">
        <v>695</v>
      </c>
      <c r="C726" s="1"/>
      <c r="D726" s="2"/>
      <c r="E726" s="2"/>
      <c r="F726" s="2"/>
      <c r="G726" s="2"/>
      <c r="H726" s="2"/>
      <c r="I726" s="2"/>
    </row>
    <row r="727">
      <c r="A727" s="2" t="s">
        <v>721</v>
      </c>
      <c r="B727" s="2" t="s">
        <v>695</v>
      </c>
      <c r="C727" s="1"/>
      <c r="D727" s="2"/>
      <c r="E727" s="2"/>
      <c r="F727" s="2"/>
      <c r="G727" s="2"/>
      <c r="H727" s="2"/>
      <c r="I727" s="2"/>
    </row>
    <row r="728">
      <c r="A728" s="2" t="s">
        <v>722</v>
      </c>
      <c r="B728" s="2" t="s">
        <v>695</v>
      </c>
      <c r="C728" s="1"/>
      <c r="D728" s="2"/>
      <c r="E728" s="2"/>
      <c r="F728" s="2"/>
      <c r="G728" s="2"/>
      <c r="H728" s="2"/>
      <c r="I728" s="2"/>
    </row>
    <row r="729">
      <c r="A729" s="1" t="s">
        <v>723</v>
      </c>
      <c r="B729" s="2" t="s">
        <v>695</v>
      </c>
      <c r="C729" s="2"/>
      <c r="D729" s="2" t="s">
        <v>11</v>
      </c>
      <c r="E729" s="2">
        <v>10.0</v>
      </c>
      <c r="F729" s="2" t="s">
        <v>12</v>
      </c>
      <c r="G729" s="2"/>
      <c r="H729" s="2"/>
      <c r="I729" s="2"/>
    </row>
    <row r="730">
      <c r="A730" s="1" t="s">
        <v>723</v>
      </c>
      <c r="B730" s="2" t="s">
        <v>695</v>
      </c>
      <c r="C730" s="2"/>
      <c r="D730" s="2" t="s">
        <v>11</v>
      </c>
      <c r="E730" s="2">
        <v>15.0</v>
      </c>
      <c r="F730" s="2" t="s">
        <v>12</v>
      </c>
      <c r="G730" s="2"/>
      <c r="H730" s="2"/>
      <c r="I730" s="2"/>
    </row>
    <row r="731">
      <c r="A731" s="1" t="s">
        <v>724</v>
      </c>
      <c r="B731" s="2" t="s">
        <v>695</v>
      </c>
      <c r="C731" s="2"/>
      <c r="D731" s="2" t="s">
        <v>11</v>
      </c>
      <c r="E731" s="2">
        <v>10.0</v>
      </c>
      <c r="F731" s="2" t="s">
        <v>12</v>
      </c>
      <c r="G731" s="2"/>
      <c r="H731" s="2"/>
      <c r="I731" s="2"/>
    </row>
    <row r="732">
      <c r="A732" s="1" t="s">
        <v>724</v>
      </c>
      <c r="B732" s="2" t="s">
        <v>695</v>
      </c>
      <c r="C732" s="2"/>
      <c r="D732" s="2" t="s">
        <v>11</v>
      </c>
      <c r="E732" s="2">
        <v>15.0</v>
      </c>
      <c r="F732" s="2" t="s">
        <v>12</v>
      </c>
      <c r="G732" s="2"/>
      <c r="H732" s="2"/>
      <c r="I732" s="2"/>
    </row>
    <row r="733">
      <c r="A733" s="2" t="s">
        <v>725</v>
      </c>
      <c r="B733" s="2" t="s">
        <v>695</v>
      </c>
      <c r="C733" s="2"/>
      <c r="D733" s="2" t="s">
        <v>11</v>
      </c>
      <c r="E733" s="2">
        <v>10.0</v>
      </c>
      <c r="F733" s="2" t="s">
        <v>12</v>
      </c>
      <c r="G733" s="2"/>
      <c r="H733" s="2"/>
      <c r="I733" s="2"/>
    </row>
    <row r="734">
      <c r="A734" s="2" t="s">
        <v>726</v>
      </c>
      <c r="B734" s="2" t="s">
        <v>695</v>
      </c>
      <c r="C734" s="1"/>
      <c r="D734" s="2"/>
      <c r="E734" s="2"/>
      <c r="F734" s="2"/>
      <c r="G734" s="2"/>
      <c r="H734" s="2"/>
      <c r="I734" s="2"/>
    </row>
    <row r="735">
      <c r="A735" s="2" t="s">
        <v>727</v>
      </c>
      <c r="B735" s="2" t="s">
        <v>695</v>
      </c>
      <c r="C735" s="2"/>
      <c r="D735" s="2" t="s">
        <v>11</v>
      </c>
      <c r="E735" s="2">
        <v>10.0</v>
      </c>
      <c r="F735" s="2" t="s">
        <v>12</v>
      </c>
      <c r="G735" s="2"/>
      <c r="H735" s="2"/>
      <c r="I735" s="2"/>
    </row>
    <row r="736">
      <c r="A736" s="2" t="s">
        <v>728</v>
      </c>
      <c r="B736" s="2" t="s">
        <v>695</v>
      </c>
      <c r="C736" s="2"/>
      <c r="D736" s="2" t="s">
        <v>11</v>
      </c>
      <c r="E736" s="2">
        <v>10.0</v>
      </c>
      <c r="F736" s="2" t="s">
        <v>12</v>
      </c>
      <c r="G736" s="2"/>
      <c r="H736" s="2"/>
      <c r="I736" s="2"/>
    </row>
    <row r="737">
      <c r="A737" s="2" t="s">
        <v>729</v>
      </c>
      <c r="B737" s="2" t="s">
        <v>695</v>
      </c>
      <c r="C737" s="1"/>
      <c r="D737" s="2"/>
      <c r="E737" s="2"/>
      <c r="F737" s="2"/>
      <c r="G737" s="2"/>
      <c r="H737" s="2"/>
      <c r="I737" s="2"/>
    </row>
    <row r="738">
      <c r="A738" s="2" t="s">
        <v>730</v>
      </c>
      <c r="B738" s="2" t="s">
        <v>695</v>
      </c>
      <c r="C738" s="1"/>
      <c r="D738" s="1" t="s">
        <v>300</v>
      </c>
      <c r="E738" s="1" t="s">
        <v>731</v>
      </c>
      <c r="F738" s="1" t="s">
        <v>302</v>
      </c>
      <c r="G738" s="2"/>
      <c r="H738" s="2"/>
      <c r="I738" s="2"/>
    </row>
    <row r="739">
      <c r="A739" s="2" t="s">
        <v>732</v>
      </c>
      <c r="B739" s="2" t="s">
        <v>695</v>
      </c>
      <c r="C739" s="2"/>
      <c r="D739" s="2" t="s">
        <v>11</v>
      </c>
      <c r="E739" s="2">
        <v>10.0</v>
      </c>
      <c r="F739" s="2" t="s">
        <v>12</v>
      </c>
      <c r="G739" s="2"/>
      <c r="H739" s="2"/>
      <c r="I739" s="2"/>
    </row>
    <row r="740">
      <c r="A740" s="2" t="s">
        <v>733</v>
      </c>
      <c r="B740" s="2" t="s">
        <v>695</v>
      </c>
      <c r="C740" s="1"/>
      <c r="D740" s="2"/>
      <c r="E740" s="2"/>
      <c r="F740" s="2"/>
      <c r="G740" s="2"/>
      <c r="H740" s="2"/>
      <c r="I740" s="2"/>
    </row>
    <row r="741">
      <c r="A741" s="2" t="s">
        <v>734</v>
      </c>
      <c r="B741" s="2" t="s">
        <v>695</v>
      </c>
      <c r="C741" s="1"/>
      <c r="D741" s="2"/>
      <c r="E741" s="2"/>
      <c r="F741" s="2"/>
      <c r="G741" s="2"/>
      <c r="H741" s="2"/>
      <c r="I741" s="2"/>
    </row>
    <row r="742">
      <c r="A742" s="2" t="s">
        <v>735</v>
      </c>
      <c r="B742" s="2" t="s">
        <v>695</v>
      </c>
      <c r="C742" s="1"/>
      <c r="D742" s="2"/>
      <c r="E742" s="2"/>
      <c r="F742" s="2"/>
      <c r="G742" s="2"/>
      <c r="H742" s="2"/>
      <c r="I742" s="2"/>
    </row>
    <row r="743">
      <c r="A743" s="2" t="s">
        <v>736</v>
      </c>
      <c r="B743" s="2" t="s">
        <v>695</v>
      </c>
      <c r="C743" s="1"/>
      <c r="D743" s="2"/>
      <c r="E743" s="2"/>
      <c r="F743" s="2"/>
      <c r="G743" s="2"/>
      <c r="H743" s="2"/>
      <c r="I743" s="2"/>
    </row>
    <row r="744">
      <c r="A744" s="2" t="s">
        <v>737</v>
      </c>
      <c r="B744" s="2" t="s">
        <v>695</v>
      </c>
      <c r="C744" s="1"/>
      <c r="D744" s="2"/>
      <c r="E744" s="2"/>
      <c r="F744" s="2"/>
      <c r="G744" s="2"/>
      <c r="H744" s="2"/>
      <c r="I744" s="2"/>
    </row>
    <row r="745">
      <c r="A745" s="1" t="s">
        <v>738</v>
      </c>
      <c r="B745" s="2" t="s">
        <v>695</v>
      </c>
      <c r="C745" s="1"/>
      <c r="D745" s="2"/>
      <c r="E745" s="2"/>
      <c r="F745" s="2"/>
      <c r="G745" s="2"/>
      <c r="H745" s="2"/>
      <c r="I745" s="2"/>
    </row>
    <row r="746">
      <c r="A746" s="1" t="s">
        <v>739</v>
      </c>
      <c r="B746" s="2" t="s">
        <v>695</v>
      </c>
      <c r="C746" s="1"/>
      <c r="D746" s="2"/>
      <c r="E746" s="2"/>
      <c r="F746" s="2"/>
      <c r="G746" s="2"/>
      <c r="H746" s="2"/>
      <c r="I746" s="2"/>
    </row>
    <row r="747">
      <c r="A747" s="1" t="s">
        <v>740</v>
      </c>
      <c r="B747" s="2" t="s">
        <v>695</v>
      </c>
      <c r="C747" s="2"/>
      <c r="D747" s="2" t="s">
        <v>11</v>
      </c>
      <c r="E747" s="2">
        <v>10.0</v>
      </c>
      <c r="F747" s="2" t="s">
        <v>12</v>
      </c>
      <c r="G747" s="2"/>
      <c r="H747" s="2"/>
      <c r="I747" s="2"/>
    </row>
    <row r="748">
      <c r="A748" s="2" t="s">
        <v>741</v>
      </c>
      <c r="B748" s="2" t="s">
        <v>695</v>
      </c>
      <c r="C748" s="1"/>
      <c r="D748" s="2"/>
      <c r="E748" s="2"/>
      <c r="F748" s="2"/>
      <c r="G748" s="2"/>
      <c r="H748" s="2"/>
      <c r="I748" s="2"/>
    </row>
    <row r="749">
      <c r="A749" s="2" t="s">
        <v>742</v>
      </c>
      <c r="B749" s="2" t="s">
        <v>743</v>
      </c>
      <c r="C749" s="1"/>
      <c r="D749" s="2"/>
      <c r="E749" s="2"/>
      <c r="F749" s="2"/>
      <c r="G749" s="2"/>
      <c r="H749" s="2"/>
      <c r="I749" s="2"/>
    </row>
    <row r="750">
      <c r="A750" s="2" t="s">
        <v>744</v>
      </c>
      <c r="B750" s="2" t="s">
        <v>743</v>
      </c>
      <c r="C750" s="1"/>
      <c r="D750" s="2"/>
      <c r="E750" s="2"/>
      <c r="F750" s="2"/>
      <c r="G750" s="2"/>
      <c r="H750" s="2"/>
      <c r="I750" s="2"/>
    </row>
    <row r="751">
      <c r="A751" s="1" t="s">
        <v>745</v>
      </c>
      <c r="B751" s="2" t="s">
        <v>743</v>
      </c>
      <c r="C751" s="2"/>
      <c r="D751" s="2" t="s">
        <v>11</v>
      </c>
      <c r="E751" s="2">
        <v>10.0</v>
      </c>
      <c r="F751" s="2" t="s">
        <v>12</v>
      </c>
      <c r="G751" s="2"/>
      <c r="H751" s="2"/>
      <c r="I751" s="2"/>
    </row>
    <row r="752">
      <c r="A752" s="2" t="s">
        <v>746</v>
      </c>
      <c r="B752" s="2" t="s">
        <v>743</v>
      </c>
      <c r="C752" s="1"/>
      <c r="D752" s="2"/>
      <c r="E752" s="2"/>
      <c r="F752" s="2"/>
      <c r="G752" s="2"/>
      <c r="H752" s="2"/>
      <c r="I752" s="2"/>
    </row>
    <row r="753">
      <c r="A753" s="2" t="s">
        <v>747</v>
      </c>
      <c r="B753" s="2" t="s">
        <v>743</v>
      </c>
      <c r="C753" s="1"/>
      <c r="D753" s="2"/>
      <c r="E753" s="2"/>
      <c r="F753" s="2"/>
      <c r="G753" s="2"/>
      <c r="H753" s="2"/>
      <c r="I753" s="2"/>
    </row>
    <row r="754">
      <c r="A754" s="2" t="s">
        <v>748</v>
      </c>
      <c r="B754" s="2" t="s">
        <v>743</v>
      </c>
      <c r="C754" s="1"/>
      <c r="D754" s="2"/>
      <c r="E754" s="2"/>
      <c r="F754" s="2"/>
      <c r="G754" s="2"/>
      <c r="H754" s="2"/>
      <c r="I754" s="2"/>
    </row>
    <row r="755">
      <c r="A755" s="1" t="s">
        <v>749</v>
      </c>
      <c r="B755" s="2" t="s">
        <v>743</v>
      </c>
      <c r="C755" s="2"/>
      <c r="D755" s="2" t="s">
        <v>11</v>
      </c>
      <c r="E755" s="2">
        <v>10.0</v>
      </c>
      <c r="F755" s="2" t="s">
        <v>12</v>
      </c>
      <c r="G755" s="2"/>
      <c r="H755" s="2"/>
      <c r="I755" s="2"/>
    </row>
    <row r="756">
      <c r="A756" s="1" t="s">
        <v>750</v>
      </c>
      <c r="B756" s="2" t="s">
        <v>743</v>
      </c>
      <c r="C756" s="2"/>
      <c r="D756" s="2" t="s">
        <v>37</v>
      </c>
      <c r="E756" s="2">
        <v>10.0</v>
      </c>
      <c r="F756" s="2" t="s">
        <v>12</v>
      </c>
      <c r="G756" s="2"/>
      <c r="H756" s="2"/>
      <c r="I756" s="2"/>
    </row>
    <row r="757">
      <c r="A757" s="1" t="s">
        <v>751</v>
      </c>
      <c r="B757" s="2" t="s">
        <v>743</v>
      </c>
      <c r="C757" s="2"/>
      <c r="D757" s="2" t="s">
        <v>11</v>
      </c>
      <c r="E757" s="2">
        <v>10.0</v>
      </c>
      <c r="F757" s="2" t="s">
        <v>12</v>
      </c>
      <c r="G757" s="2"/>
      <c r="H757" s="2"/>
      <c r="I757" s="2"/>
    </row>
    <row r="758">
      <c r="A758" s="1" t="s">
        <v>752</v>
      </c>
      <c r="B758" s="2" t="s">
        <v>743</v>
      </c>
      <c r="C758" s="2"/>
      <c r="D758" s="2" t="s">
        <v>11</v>
      </c>
      <c r="E758" s="2">
        <v>10.0</v>
      </c>
      <c r="F758" s="2" t="s">
        <v>12</v>
      </c>
      <c r="G758" s="2"/>
      <c r="H758" s="2"/>
      <c r="I758" s="2"/>
    </row>
    <row r="759">
      <c r="A759" s="1" t="s">
        <v>753</v>
      </c>
      <c r="B759" s="2" t="s">
        <v>743</v>
      </c>
      <c r="C759" s="2"/>
      <c r="D759" s="2" t="s">
        <v>37</v>
      </c>
      <c r="E759" s="2">
        <v>15.0</v>
      </c>
      <c r="F759" s="2" t="s">
        <v>12</v>
      </c>
      <c r="G759" s="2"/>
      <c r="H759" s="2"/>
      <c r="I759" s="2"/>
    </row>
    <row r="760">
      <c r="A760" s="1" t="s">
        <v>754</v>
      </c>
      <c r="B760" s="2" t="s">
        <v>743</v>
      </c>
      <c r="C760" s="2"/>
      <c r="D760" s="2" t="s">
        <v>37</v>
      </c>
      <c r="E760" s="2">
        <v>7.0</v>
      </c>
      <c r="F760" s="2" t="s">
        <v>12</v>
      </c>
      <c r="G760" s="2"/>
      <c r="H760" s="2"/>
      <c r="I760" s="2"/>
    </row>
    <row r="761">
      <c r="A761" s="1" t="s">
        <v>755</v>
      </c>
      <c r="B761" s="2" t="s">
        <v>743</v>
      </c>
      <c r="C761" s="2"/>
      <c r="D761" s="2" t="s">
        <v>37</v>
      </c>
      <c r="E761" s="2">
        <v>7.0</v>
      </c>
      <c r="F761" s="2" t="s">
        <v>12</v>
      </c>
      <c r="G761" s="2"/>
      <c r="H761" s="2"/>
      <c r="I761" s="2"/>
    </row>
    <row r="762">
      <c r="A762" s="2" t="s">
        <v>756</v>
      </c>
      <c r="B762" s="2" t="s">
        <v>743</v>
      </c>
      <c r="C762" s="1"/>
      <c r="D762" s="2"/>
      <c r="E762" s="2"/>
      <c r="F762" s="2"/>
      <c r="G762" s="2"/>
      <c r="H762" s="2"/>
      <c r="I762" s="2"/>
    </row>
    <row r="763">
      <c r="A763" s="2" t="s">
        <v>757</v>
      </c>
      <c r="B763" s="2" t="s">
        <v>743</v>
      </c>
      <c r="C763" s="1"/>
      <c r="D763" s="2"/>
      <c r="E763" s="2"/>
      <c r="F763" s="2"/>
      <c r="G763" s="2"/>
      <c r="H763" s="2"/>
      <c r="I763" s="2"/>
    </row>
    <row r="764">
      <c r="A764" s="2" t="s">
        <v>758</v>
      </c>
      <c r="B764" s="2" t="s">
        <v>743</v>
      </c>
      <c r="C764" s="1"/>
      <c r="D764" s="2"/>
      <c r="E764" s="2"/>
      <c r="F764" s="2"/>
      <c r="G764" s="2"/>
      <c r="H764" s="2"/>
      <c r="I764" s="2"/>
    </row>
    <row r="765">
      <c r="A765" s="2" t="s">
        <v>759</v>
      </c>
      <c r="B765" s="2" t="s">
        <v>743</v>
      </c>
      <c r="C765" s="1"/>
      <c r="D765" s="2"/>
      <c r="E765" s="2"/>
      <c r="F765" s="2"/>
      <c r="G765" s="2"/>
      <c r="H765" s="2"/>
      <c r="I765" s="2"/>
    </row>
    <row r="766">
      <c r="A766" s="2" t="s">
        <v>760</v>
      </c>
      <c r="B766" s="2" t="s">
        <v>743</v>
      </c>
      <c r="C766" s="1"/>
      <c r="D766" s="2"/>
      <c r="E766" s="2"/>
      <c r="F766" s="2"/>
      <c r="G766" s="2"/>
      <c r="H766" s="2"/>
      <c r="I766" s="2"/>
    </row>
    <row r="767">
      <c r="A767" s="2" t="s">
        <v>761</v>
      </c>
      <c r="B767" s="2" t="s">
        <v>743</v>
      </c>
      <c r="C767" s="1"/>
      <c r="D767" s="2"/>
      <c r="E767" s="2"/>
      <c r="F767" s="2"/>
      <c r="G767" s="2"/>
      <c r="H767" s="2"/>
      <c r="I767" s="2"/>
    </row>
    <row r="768">
      <c r="A768" s="2" t="s">
        <v>762</v>
      </c>
      <c r="B768" s="2" t="s">
        <v>743</v>
      </c>
      <c r="C768" s="1"/>
      <c r="D768" s="2"/>
      <c r="E768" s="2"/>
      <c r="F768" s="2"/>
      <c r="G768" s="2"/>
      <c r="H768" s="2"/>
      <c r="I768" s="2"/>
    </row>
    <row r="769">
      <c r="A769" s="2" t="s">
        <v>763</v>
      </c>
      <c r="B769" s="2" t="s">
        <v>743</v>
      </c>
      <c r="C769" s="1"/>
      <c r="D769" s="2"/>
      <c r="E769" s="2"/>
      <c r="F769" s="2"/>
      <c r="G769" s="2"/>
      <c r="H769" s="2"/>
      <c r="I769" s="2"/>
    </row>
    <row r="770">
      <c r="A770" s="2" t="s">
        <v>764</v>
      </c>
      <c r="B770" s="2" t="s">
        <v>743</v>
      </c>
      <c r="C770" s="1"/>
      <c r="D770" s="2"/>
      <c r="E770" s="2"/>
      <c r="F770" s="2"/>
      <c r="G770" s="2"/>
      <c r="H770" s="2"/>
      <c r="I770" s="2"/>
    </row>
    <row r="771">
      <c r="A771" s="2" t="s">
        <v>765</v>
      </c>
      <c r="B771" s="2" t="s">
        <v>743</v>
      </c>
      <c r="C771" s="1"/>
      <c r="D771" s="2"/>
      <c r="E771" s="2"/>
      <c r="F771" s="2"/>
      <c r="G771" s="2"/>
      <c r="H771" s="2"/>
      <c r="I771" s="2"/>
    </row>
    <row r="772">
      <c r="A772" s="2" t="s">
        <v>766</v>
      </c>
      <c r="B772" s="2" t="s">
        <v>743</v>
      </c>
      <c r="C772" s="1"/>
      <c r="D772" s="2"/>
      <c r="E772" s="2"/>
      <c r="F772" s="2"/>
      <c r="G772" s="2"/>
      <c r="H772" s="2"/>
      <c r="I772" s="2"/>
    </row>
    <row r="773">
      <c r="A773" s="2" t="s">
        <v>767</v>
      </c>
      <c r="B773" s="2" t="s">
        <v>743</v>
      </c>
      <c r="C773" s="1"/>
      <c r="D773" s="2"/>
      <c r="E773" s="2"/>
      <c r="F773" s="2"/>
      <c r="G773" s="2"/>
      <c r="H773" s="2"/>
      <c r="I773" s="2"/>
    </row>
    <row r="774">
      <c r="A774" s="2" t="s">
        <v>768</v>
      </c>
      <c r="B774" s="2" t="s">
        <v>743</v>
      </c>
      <c r="C774" s="1"/>
      <c r="D774" s="2"/>
      <c r="E774" s="2"/>
      <c r="F774" s="2"/>
      <c r="G774" s="2"/>
      <c r="H774" s="2"/>
      <c r="I774" s="2"/>
    </row>
    <row r="775">
      <c r="A775" s="2" t="s">
        <v>769</v>
      </c>
      <c r="B775" s="2" t="s">
        <v>743</v>
      </c>
      <c r="C775" s="1"/>
      <c r="D775" s="2"/>
      <c r="E775" s="2"/>
      <c r="F775" s="2"/>
      <c r="G775" s="2"/>
      <c r="H775" s="2"/>
      <c r="I775" s="2"/>
    </row>
    <row r="776">
      <c r="A776" s="2" t="s">
        <v>770</v>
      </c>
      <c r="B776" s="2" t="s">
        <v>743</v>
      </c>
      <c r="C776" s="1"/>
      <c r="D776" s="2"/>
      <c r="E776" s="2"/>
      <c r="F776" s="2"/>
      <c r="G776" s="2"/>
      <c r="H776" s="2"/>
      <c r="I776" s="2"/>
    </row>
    <row r="777">
      <c r="A777" s="2" t="s">
        <v>771</v>
      </c>
      <c r="B777" s="2" t="s">
        <v>743</v>
      </c>
      <c r="C777" s="1"/>
      <c r="D777" s="2"/>
      <c r="E777" s="2"/>
      <c r="F777" s="2"/>
      <c r="G777" s="2"/>
      <c r="H777" s="2"/>
      <c r="I777" s="2"/>
    </row>
    <row r="778">
      <c r="A778" s="2" t="s">
        <v>772</v>
      </c>
      <c r="B778" s="2" t="s">
        <v>743</v>
      </c>
      <c r="C778" s="2"/>
      <c r="D778" s="2" t="s">
        <v>11</v>
      </c>
      <c r="E778" s="2">
        <v>7.0</v>
      </c>
      <c r="F778" s="2" t="s">
        <v>12</v>
      </c>
      <c r="G778" s="2"/>
      <c r="H778" s="2"/>
      <c r="I778" s="2"/>
    </row>
    <row r="779">
      <c r="A779" s="1" t="s">
        <v>773</v>
      </c>
      <c r="B779" s="2" t="s">
        <v>743</v>
      </c>
      <c r="C779" s="2"/>
      <c r="D779" s="2" t="s">
        <v>11</v>
      </c>
      <c r="E779" s="2">
        <v>10.0</v>
      </c>
      <c r="F779" s="2" t="s">
        <v>12</v>
      </c>
      <c r="G779" s="2"/>
      <c r="H779" s="2"/>
      <c r="I779" s="2"/>
    </row>
    <row r="780">
      <c r="A780" s="1" t="s">
        <v>774</v>
      </c>
      <c r="B780" s="2" t="s">
        <v>743</v>
      </c>
      <c r="C780" s="2"/>
      <c r="D780" s="2" t="s">
        <v>11</v>
      </c>
      <c r="E780" s="2">
        <v>10.0</v>
      </c>
      <c r="F780" s="2" t="s">
        <v>12</v>
      </c>
      <c r="G780" s="2"/>
      <c r="H780" s="2"/>
      <c r="I780" s="2"/>
    </row>
    <row r="781">
      <c r="A781" s="1" t="s">
        <v>775</v>
      </c>
      <c r="B781" s="2" t="s">
        <v>743</v>
      </c>
      <c r="C781" s="2"/>
      <c r="D781" s="2" t="s">
        <v>11</v>
      </c>
      <c r="E781" s="2">
        <v>3.0</v>
      </c>
      <c r="F781" s="2" t="s">
        <v>12</v>
      </c>
      <c r="G781" s="2"/>
      <c r="H781" s="2"/>
      <c r="I781" s="2"/>
    </row>
    <row r="782">
      <c r="A782" s="1" t="s">
        <v>776</v>
      </c>
      <c r="B782" s="2" t="s">
        <v>743</v>
      </c>
      <c r="C782" s="2"/>
      <c r="D782" s="2" t="s">
        <v>11</v>
      </c>
      <c r="E782" s="2">
        <v>3.0</v>
      </c>
      <c r="F782" s="2" t="s">
        <v>12</v>
      </c>
      <c r="G782" s="2"/>
      <c r="H782" s="2"/>
      <c r="I782" s="2"/>
    </row>
    <row r="783">
      <c r="A783" s="2" t="s">
        <v>777</v>
      </c>
      <c r="B783" s="2" t="s">
        <v>743</v>
      </c>
      <c r="C783" s="1"/>
      <c r="D783" s="2"/>
      <c r="E783" s="2"/>
      <c r="F783" s="2"/>
      <c r="G783" s="2"/>
      <c r="H783" s="2"/>
      <c r="I783" s="2"/>
    </row>
    <row r="784">
      <c r="A784" s="1" t="s">
        <v>778</v>
      </c>
      <c r="B784" s="2" t="s">
        <v>779</v>
      </c>
      <c r="C784" s="2"/>
      <c r="D784" s="2" t="s">
        <v>73</v>
      </c>
      <c r="E784" s="2">
        <v>1.0</v>
      </c>
      <c r="F784" s="2" t="s">
        <v>74</v>
      </c>
      <c r="G784" s="2"/>
      <c r="H784" s="2"/>
      <c r="I784" s="2"/>
    </row>
    <row r="785">
      <c r="A785" s="2" t="s">
        <v>780</v>
      </c>
      <c r="B785" s="2" t="s">
        <v>781</v>
      </c>
      <c r="C785" s="2"/>
      <c r="D785" s="2" t="s">
        <v>37</v>
      </c>
      <c r="E785" s="2">
        <v>30.0</v>
      </c>
      <c r="F785" s="2" t="s">
        <v>22</v>
      </c>
      <c r="G785" s="2"/>
      <c r="H785" s="2"/>
      <c r="I785" s="2"/>
    </row>
    <row r="786">
      <c r="A786" s="2" t="s">
        <v>782</v>
      </c>
      <c r="B786" s="2" t="s">
        <v>781</v>
      </c>
      <c r="C786" s="2"/>
      <c r="D786" s="2" t="s">
        <v>11</v>
      </c>
      <c r="E786" s="2"/>
      <c r="F786" s="2"/>
      <c r="G786" s="2"/>
      <c r="H786" s="2"/>
      <c r="I786" s="2"/>
    </row>
    <row r="787">
      <c r="A787" s="2" t="s">
        <v>783</v>
      </c>
      <c r="B787" s="2" t="s">
        <v>781</v>
      </c>
      <c r="C787" s="2"/>
      <c r="D787" s="2" t="s">
        <v>11</v>
      </c>
      <c r="E787" s="2">
        <v>10.0</v>
      </c>
      <c r="F787" s="2" t="s">
        <v>12</v>
      </c>
      <c r="G787" s="2"/>
      <c r="H787" s="2"/>
      <c r="I787" s="2"/>
    </row>
    <row r="788">
      <c r="A788" s="2" t="s">
        <v>783</v>
      </c>
      <c r="B788" s="2" t="s">
        <v>781</v>
      </c>
      <c r="C788" s="2"/>
      <c r="D788" s="2" t="s">
        <v>11</v>
      </c>
      <c r="E788" s="2">
        <v>60.0</v>
      </c>
      <c r="F788" s="2" t="s">
        <v>22</v>
      </c>
      <c r="G788" s="2"/>
      <c r="H788" s="2"/>
      <c r="I788" s="2"/>
    </row>
    <row r="789">
      <c r="A789" s="1" t="s">
        <v>784</v>
      </c>
      <c r="B789" s="2" t="s">
        <v>781</v>
      </c>
      <c r="C789" s="2"/>
      <c r="D789" s="2" t="s">
        <v>11</v>
      </c>
      <c r="E789" s="2">
        <v>10.0</v>
      </c>
      <c r="F789" s="2" t="s">
        <v>12</v>
      </c>
      <c r="G789" s="2"/>
      <c r="H789" s="2"/>
      <c r="I789" s="2"/>
    </row>
    <row r="790">
      <c r="A790" s="1" t="s">
        <v>785</v>
      </c>
      <c r="B790" s="2" t="s">
        <v>781</v>
      </c>
      <c r="C790" s="2"/>
      <c r="D790" s="2" t="s">
        <v>11</v>
      </c>
      <c r="E790" s="2">
        <v>10.0</v>
      </c>
      <c r="F790" s="2" t="s">
        <v>12</v>
      </c>
      <c r="G790" s="2"/>
      <c r="H790" s="2"/>
      <c r="I790" s="2"/>
    </row>
    <row r="791">
      <c r="A791" s="2" t="s">
        <v>786</v>
      </c>
      <c r="B791" s="2" t="s">
        <v>781</v>
      </c>
      <c r="C791" s="2"/>
      <c r="D791" s="2" t="s">
        <v>11</v>
      </c>
      <c r="E791" s="2">
        <v>60.0</v>
      </c>
      <c r="F791" s="2" t="s">
        <v>22</v>
      </c>
      <c r="G791" s="2"/>
      <c r="H791" s="2"/>
      <c r="I791" s="2"/>
    </row>
    <row r="792">
      <c r="A792" s="2" t="s">
        <v>787</v>
      </c>
      <c r="B792" s="2" t="s">
        <v>781</v>
      </c>
      <c r="C792" s="2"/>
      <c r="D792" s="2" t="s">
        <v>11</v>
      </c>
      <c r="E792" s="2">
        <v>10.0</v>
      </c>
      <c r="F792" s="2" t="s">
        <v>12</v>
      </c>
      <c r="G792" s="2"/>
      <c r="H792" s="2"/>
      <c r="I792" s="2"/>
    </row>
    <row r="793">
      <c r="A793" s="2" t="s">
        <v>788</v>
      </c>
      <c r="B793" s="2" t="s">
        <v>781</v>
      </c>
      <c r="C793" s="2"/>
      <c r="D793" s="2" t="s">
        <v>11</v>
      </c>
      <c r="E793" s="2">
        <v>60.0</v>
      </c>
      <c r="F793" s="2" t="s">
        <v>22</v>
      </c>
      <c r="G793" s="2"/>
      <c r="H793" s="2"/>
      <c r="I793" s="2"/>
    </row>
    <row r="794">
      <c r="A794" s="2" t="s">
        <v>789</v>
      </c>
      <c r="B794" s="2" t="s">
        <v>781</v>
      </c>
      <c r="C794" s="2"/>
      <c r="D794" s="2" t="s">
        <v>11</v>
      </c>
      <c r="E794" s="2"/>
      <c r="F794" s="2"/>
      <c r="G794" s="2"/>
      <c r="H794" s="2"/>
      <c r="I794" s="2"/>
    </row>
    <row r="795">
      <c r="A795" s="2" t="s">
        <v>790</v>
      </c>
      <c r="B795" s="2" t="s">
        <v>781</v>
      </c>
      <c r="C795" s="2"/>
      <c r="D795" s="2" t="s">
        <v>11</v>
      </c>
      <c r="E795" s="2"/>
      <c r="F795" s="2"/>
      <c r="G795" s="2"/>
      <c r="H795" s="2"/>
      <c r="I795" s="2"/>
    </row>
    <row r="796">
      <c r="A796" s="1" t="s">
        <v>791</v>
      </c>
      <c r="B796" s="2" t="s">
        <v>781</v>
      </c>
      <c r="C796" s="2"/>
      <c r="D796" s="2" t="s">
        <v>11</v>
      </c>
      <c r="E796" s="2"/>
      <c r="F796" s="2"/>
      <c r="G796" s="2"/>
      <c r="H796" s="2"/>
      <c r="I796" s="2"/>
    </row>
    <row r="797">
      <c r="A797" s="1" t="s">
        <v>792</v>
      </c>
      <c r="B797" s="2" t="s">
        <v>781</v>
      </c>
      <c r="C797" s="2"/>
      <c r="D797" s="1" t="s">
        <v>11</v>
      </c>
      <c r="E797" s="2">
        <v>4.0</v>
      </c>
      <c r="F797" s="2" t="s">
        <v>12</v>
      </c>
      <c r="G797" s="2"/>
      <c r="H797" s="2"/>
      <c r="I797" s="2"/>
    </row>
    <row r="798">
      <c r="A798" s="2" t="s">
        <v>793</v>
      </c>
      <c r="B798" s="2" t="s">
        <v>794</v>
      </c>
      <c r="C798" s="2"/>
      <c r="D798" s="2"/>
      <c r="E798" s="2"/>
      <c r="F798" s="2"/>
      <c r="G798" s="2"/>
      <c r="H798" s="2"/>
      <c r="I798" s="2"/>
    </row>
    <row r="799">
      <c r="A799" s="1" t="s">
        <v>795</v>
      </c>
      <c r="B799" s="2" t="s">
        <v>794</v>
      </c>
      <c r="C799" s="2"/>
      <c r="D799" s="2" t="s">
        <v>11</v>
      </c>
      <c r="E799" s="2">
        <v>15.0</v>
      </c>
      <c r="F799" s="2" t="s">
        <v>12</v>
      </c>
      <c r="G799" s="2"/>
      <c r="H799" s="2"/>
      <c r="I799" s="2"/>
    </row>
    <row r="800">
      <c r="A800" s="1" t="s">
        <v>796</v>
      </c>
      <c r="B800" s="2" t="s">
        <v>794</v>
      </c>
      <c r="C800" s="2"/>
      <c r="D800" s="2" t="s">
        <v>11</v>
      </c>
      <c r="E800" s="2">
        <v>15.0</v>
      </c>
      <c r="F800" s="2" t="s">
        <v>12</v>
      </c>
      <c r="G800" s="2"/>
      <c r="H800" s="2"/>
      <c r="I800" s="2"/>
    </row>
    <row r="801">
      <c r="A801" s="1" t="s">
        <v>797</v>
      </c>
      <c r="B801" s="2" t="s">
        <v>794</v>
      </c>
      <c r="C801" s="2"/>
      <c r="D801" s="2" t="s">
        <v>37</v>
      </c>
      <c r="E801" s="2">
        <v>10.0</v>
      </c>
      <c r="F801" s="2" t="s">
        <v>12</v>
      </c>
      <c r="G801" s="2"/>
      <c r="H801" s="2"/>
      <c r="I801" s="2"/>
    </row>
    <row r="802">
      <c r="A802" s="1" t="s">
        <v>798</v>
      </c>
      <c r="B802" s="2" t="s">
        <v>794</v>
      </c>
      <c r="C802" s="2"/>
      <c r="D802" s="2" t="s">
        <v>37</v>
      </c>
      <c r="E802" s="2">
        <v>10.0</v>
      </c>
      <c r="F802" s="2" t="s">
        <v>12</v>
      </c>
      <c r="G802" s="2"/>
      <c r="H802" s="2"/>
      <c r="I802" s="2"/>
    </row>
    <row r="803">
      <c r="A803" s="2" t="s">
        <v>799</v>
      </c>
      <c r="B803" s="2" t="s">
        <v>794</v>
      </c>
      <c r="C803" s="1"/>
      <c r="D803" s="2"/>
      <c r="E803" s="2"/>
      <c r="F803" s="2"/>
      <c r="G803" s="2"/>
      <c r="H803" s="2"/>
      <c r="I803" s="2"/>
    </row>
    <row r="804">
      <c r="A804" s="2" t="s">
        <v>800</v>
      </c>
      <c r="B804" s="2" t="s">
        <v>794</v>
      </c>
      <c r="C804" s="2"/>
      <c r="D804" s="2" t="s">
        <v>37</v>
      </c>
      <c r="E804" s="2">
        <v>10.0</v>
      </c>
      <c r="F804" s="2" t="s">
        <v>12</v>
      </c>
      <c r="G804" s="2"/>
      <c r="H804" s="2"/>
      <c r="I804" s="2"/>
    </row>
    <row r="805">
      <c r="A805" s="2" t="s">
        <v>801</v>
      </c>
      <c r="B805" s="2" t="s">
        <v>794</v>
      </c>
      <c r="C805" s="1"/>
      <c r="D805" s="2"/>
      <c r="E805" s="2"/>
      <c r="F805" s="2"/>
      <c r="G805" s="2"/>
      <c r="H805" s="2"/>
      <c r="I805" s="2"/>
    </row>
    <row r="806">
      <c r="A806" s="2" t="s">
        <v>802</v>
      </c>
      <c r="B806" s="2" t="s">
        <v>794</v>
      </c>
      <c r="C806" s="1"/>
      <c r="D806" s="2"/>
      <c r="E806" s="2"/>
      <c r="F806" s="2"/>
      <c r="G806" s="2"/>
      <c r="H806" s="2"/>
      <c r="I806" s="2"/>
    </row>
    <row r="807">
      <c r="A807" s="2" t="s">
        <v>803</v>
      </c>
      <c r="B807" s="2" t="s">
        <v>794</v>
      </c>
      <c r="C807" s="2"/>
      <c r="D807" s="2" t="s">
        <v>37</v>
      </c>
      <c r="E807" s="2">
        <v>10.0</v>
      </c>
      <c r="F807" s="2" t="s">
        <v>12</v>
      </c>
      <c r="G807" s="2"/>
      <c r="H807" s="2"/>
      <c r="I807" s="2"/>
    </row>
    <row r="808">
      <c r="A808" s="1" t="s">
        <v>804</v>
      </c>
      <c r="B808" s="2" t="s">
        <v>794</v>
      </c>
      <c r="C808" s="2"/>
      <c r="D808" s="2" t="s">
        <v>11</v>
      </c>
      <c r="E808" s="2">
        <v>10.0</v>
      </c>
      <c r="F808" s="2" t="s">
        <v>12</v>
      </c>
      <c r="G808" s="2"/>
      <c r="H808" s="2"/>
      <c r="I808" s="2"/>
    </row>
    <row r="809">
      <c r="A809" s="2" t="s">
        <v>805</v>
      </c>
      <c r="B809" s="2" t="s">
        <v>794</v>
      </c>
      <c r="C809" s="1"/>
      <c r="D809" s="2"/>
      <c r="E809" s="2"/>
      <c r="F809" s="2"/>
      <c r="G809" s="2"/>
      <c r="H809" s="2"/>
      <c r="I809" s="2"/>
    </row>
    <row r="810">
      <c r="A810" s="2" t="s">
        <v>806</v>
      </c>
      <c r="B810" s="2" t="s">
        <v>794</v>
      </c>
      <c r="C810" s="2"/>
      <c r="D810" s="2" t="s">
        <v>11</v>
      </c>
      <c r="E810" s="2">
        <v>10.0</v>
      </c>
      <c r="F810" s="2" t="s">
        <v>12</v>
      </c>
      <c r="G810" s="2"/>
      <c r="H810" s="2"/>
      <c r="I810" s="2"/>
    </row>
    <row r="811">
      <c r="A811" s="2" t="s">
        <v>807</v>
      </c>
      <c r="B811" s="2" t="s">
        <v>794</v>
      </c>
      <c r="C811" s="2"/>
      <c r="D811" s="2" t="s">
        <v>11</v>
      </c>
      <c r="E811" s="2">
        <v>10.0</v>
      </c>
      <c r="F811" s="2" t="s">
        <v>12</v>
      </c>
      <c r="G811" s="2"/>
      <c r="H811" s="2"/>
      <c r="I811" s="2"/>
    </row>
    <row r="812">
      <c r="A812" s="2" t="s">
        <v>808</v>
      </c>
      <c r="B812" s="2" t="s">
        <v>794</v>
      </c>
      <c r="C812" s="2"/>
      <c r="D812" s="2" t="s">
        <v>37</v>
      </c>
      <c r="E812" s="2">
        <v>10.0</v>
      </c>
      <c r="F812" s="2" t="s">
        <v>12</v>
      </c>
      <c r="G812" s="2"/>
      <c r="H812" s="2"/>
      <c r="I812" s="2"/>
    </row>
    <row r="813">
      <c r="A813" s="2" t="s">
        <v>809</v>
      </c>
      <c r="B813" s="2" t="s">
        <v>794</v>
      </c>
      <c r="C813" s="2"/>
      <c r="D813" s="2" t="s">
        <v>37</v>
      </c>
      <c r="E813" s="2">
        <v>10.0</v>
      </c>
      <c r="F813" s="2" t="s">
        <v>12</v>
      </c>
      <c r="G813" s="2"/>
      <c r="H813" s="2"/>
      <c r="I813" s="2"/>
    </row>
    <row r="814">
      <c r="A814" s="2" t="s">
        <v>810</v>
      </c>
      <c r="B814" s="2" t="s">
        <v>794</v>
      </c>
      <c r="C814" s="1"/>
      <c r="D814" s="2"/>
      <c r="E814" s="2"/>
      <c r="F814" s="2"/>
      <c r="G814" s="2"/>
      <c r="H814" s="2"/>
      <c r="I814" s="2"/>
    </row>
    <row r="815">
      <c r="A815" s="2" t="s">
        <v>811</v>
      </c>
      <c r="B815" s="2" t="s">
        <v>794</v>
      </c>
      <c r="C815" s="1"/>
      <c r="D815" s="2"/>
      <c r="E815" s="2"/>
      <c r="F815" s="2"/>
      <c r="G815" s="2"/>
      <c r="H815" s="2"/>
      <c r="I815" s="2"/>
    </row>
    <row r="816">
      <c r="A816" s="1" t="s">
        <v>812</v>
      </c>
      <c r="B816" s="2" t="s">
        <v>794</v>
      </c>
      <c r="C816" s="2"/>
      <c r="D816" s="2" t="s">
        <v>11</v>
      </c>
      <c r="E816" s="2">
        <v>10.0</v>
      </c>
      <c r="F816" s="2" t="s">
        <v>12</v>
      </c>
      <c r="G816" s="2"/>
      <c r="H816" s="2"/>
      <c r="I816" s="2"/>
    </row>
    <row r="817">
      <c r="A817" s="1" t="s">
        <v>813</v>
      </c>
      <c r="B817" s="2" t="s">
        <v>794</v>
      </c>
      <c r="C817" s="2"/>
      <c r="D817" s="2" t="s">
        <v>11</v>
      </c>
      <c r="E817" s="2">
        <v>10.0</v>
      </c>
      <c r="F817" s="2" t="s">
        <v>12</v>
      </c>
      <c r="G817" s="2"/>
      <c r="H817" s="2"/>
      <c r="I817" s="2"/>
    </row>
    <row r="818">
      <c r="A818" s="1" t="s">
        <v>814</v>
      </c>
      <c r="B818" s="2" t="s">
        <v>794</v>
      </c>
      <c r="C818" s="2"/>
      <c r="D818" s="2" t="s">
        <v>11</v>
      </c>
      <c r="E818" s="2">
        <v>10.0</v>
      </c>
      <c r="F818" s="2" t="s">
        <v>12</v>
      </c>
      <c r="G818" s="2"/>
      <c r="H818" s="2"/>
      <c r="I818" s="2"/>
    </row>
    <row r="819">
      <c r="A819" s="2" t="s">
        <v>815</v>
      </c>
      <c r="B819" s="2" t="s">
        <v>816</v>
      </c>
      <c r="C819" s="2"/>
      <c r="D819" s="2" t="s">
        <v>11</v>
      </c>
      <c r="E819" s="2">
        <v>15.0</v>
      </c>
      <c r="F819" s="2" t="s">
        <v>12</v>
      </c>
      <c r="G819" s="2"/>
      <c r="H819" s="2"/>
      <c r="I819" s="2"/>
    </row>
    <row r="820">
      <c r="A820" s="2" t="s">
        <v>817</v>
      </c>
      <c r="B820" s="2" t="s">
        <v>816</v>
      </c>
      <c r="C820" s="2"/>
      <c r="D820" s="2" t="s">
        <v>11</v>
      </c>
      <c r="E820" s="2">
        <v>15.0</v>
      </c>
      <c r="F820" s="2" t="s">
        <v>12</v>
      </c>
      <c r="G820" s="2"/>
      <c r="H820" s="2"/>
      <c r="I820" s="2"/>
    </row>
    <row r="821">
      <c r="A821" s="1" t="s">
        <v>818</v>
      </c>
      <c r="B821" s="2" t="s">
        <v>816</v>
      </c>
      <c r="C821" s="2"/>
      <c r="D821" s="2" t="s">
        <v>11</v>
      </c>
      <c r="E821" s="2">
        <v>10.0</v>
      </c>
      <c r="F821" s="2" t="s">
        <v>12</v>
      </c>
      <c r="G821" s="2"/>
      <c r="H821" s="2"/>
      <c r="I821" s="2"/>
    </row>
    <row r="822">
      <c r="A822" s="2" t="s">
        <v>819</v>
      </c>
      <c r="B822" s="2" t="s">
        <v>816</v>
      </c>
      <c r="C822" s="2"/>
      <c r="D822" s="2" t="s">
        <v>11</v>
      </c>
      <c r="E822" s="2"/>
      <c r="F822" s="2"/>
      <c r="G822" s="2"/>
      <c r="H822" s="2"/>
      <c r="I822" s="2"/>
    </row>
    <row r="823">
      <c r="A823" s="1" t="s">
        <v>820</v>
      </c>
      <c r="B823" s="2" t="s">
        <v>816</v>
      </c>
      <c r="C823" s="2"/>
      <c r="D823" s="2" t="s">
        <v>11</v>
      </c>
      <c r="E823" s="2">
        <v>10.0</v>
      </c>
      <c r="F823" s="2" t="s">
        <v>12</v>
      </c>
      <c r="G823" s="2"/>
      <c r="H823" s="2"/>
      <c r="I823" s="2"/>
    </row>
    <row r="824">
      <c r="A824" s="2" t="s">
        <v>821</v>
      </c>
      <c r="B824" s="2" t="s">
        <v>816</v>
      </c>
      <c r="C824" s="2"/>
      <c r="D824" s="2" t="s">
        <v>37</v>
      </c>
      <c r="E824" s="2">
        <v>10.0</v>
      </c>
      <c r="F824" s="2" t="s">
        <v>12</v>
      </c>
      <c r="G824" s="2"/>
      <c r="H824" s="2"/>
      <c r="I824" s="2"/>
    </row>
    <row r="825">
      <c r="A825" s="2" t="s">
        <v>822</v>
      </c>
      <c r="B825" s="2" t="s">
        <v>816</v>
      </c>
      <c r="C825" s="2"/>
      <c r="D825" s="2" t="s">
        <v>37</v>
      </c>
      <c r="E825" s="2">
        <v>10.0</v>
      </c>
      <c r="F825" s="2" t="s">
        <v>12</v>
      </c>
      <c r="G825" s="2"/>
      <c r="H825" s="2"/>
      <c r="I825" s="2"/>
    </row>
    <row r="826">
      <c r="A826" s="2" t="s">
        <v>823</v>
      </c>
      <c r="B826" s="2" t="s">
        <v>816</v>
      </c>
      <c r="C826" s="2"/>
      <c r="D826" s="2" t="s">
        <v>11</v>
      </c>
      <c r="E826" s="2">
        <v>10.0</v>
      </c>
      <c r="F826" s="2" t="s">
        <v>12</v>
      </c>
      <c r="G826" s="2"/>
      <c r="H826" s="2"/>
      <c r="I826" s="2"/>
    </row>
    <row r="827">
      <c r="A827" s="1" t="s">
        <v>824</v>
      </c>
      <c r="B827" s="2" t="s">
        <v>816</v>
      </c>
      <c r="C827" s="2"/>
      <c r="D827" s="2" t="s">
        <v>11</v>
      </c>
      <c r="E827" s="2">
        <v>10.0</v>
      </c>
      <c r="F827" s="2" t="s">
        <v>12</v>
      </c>
      <c r="G827" s="2"/>
      <c r="H827" s="2"/>
      <c r="I827" s="2"/>
    </row>
    <row r="828">
      <c r="A828" s="1" t="s">
        <v>825</v>
      </c>
      <c r="B828" s="2" t="s">
        <v>816</v>
      </c>
      <c r="C828" s="2"/>
      <c r="D828" s="2" t="s">
        <v>11</v>
      </c>
      <c r="E828" s="2">
        <v>10.0</v>
      </c>
      <c r="F828" s="2" t="s">
        <v>12</v>
      </c>
      <c r="G828" s="2"/>
      <c r="H828" s="2"/>
      <c r="I828" s="2"/>
    </row>
    <row r="829">
      <c r="A829" s="1" t="s">
        <v>826</v>
      </c>
      <c r="B829" s="2" t="s">
        <v>816</v>
      </c>
      <c r="C829" s="2"/>
      <c r="D829" s="2" t="s">
        <v>37</v>
      </c>
      <c r="E829" s="2">
        <v>10.0</v>
      </c>
      <c r="F829" s="2" t="s">
        <v>12</v>
      </c>
      <c r="G829" s="2"/>
      <c r="H829" s="2"/>
      <c r="I829" s="2"/>
    </row>
    <row r="830">
      <c r="A830" s="1" t="s">
        <v>826</v>
      </c>
      <c r="B830" s="2" t="s">
        <v>816</v>
      </c>
      <c r="C830" s="2"/>
      <c r="D830" s="2" t="s">
        <v>37</v>
      </c>
      <c r="E830" s="2">
        <v>15.0</v>
      </c>
      <c r="F830" s="2" t="s">
        <v>12</v>
      </c>
      <c r="G830" s="2"/>
      <c r="H830" s="2"/>
      <c r="I830" s="2"/>
    </row>
    <row r="831">
      <c r="A831" s="1" t="s">
        <v>827</v>
      </c>
      <c r="B831" s="2" t="s">
        <v>816</v>
      </c>
      <c r="C831" s="2"/>
      <c r="D831" s="2" t="s">
        <v>37</v>
      </c>
      <c r="E831" s="2">
        <v>10.0</v>
      </c>
      <c r="F831" s="2" t="s">
        <v>12</v>
      </c>
      <c r="G831" s="2"/>
      <c r="H831" s="2"/>
      <c r="I831" s="2"/>
    </row>
    <row r="832">
      <c r="A832" s="1" t="s">
        <v>828</v>
      </c>
      <c r="B832" s="2" t="s">
        <v>816</v>
      </c>
      <c r="C832" s="2"/>
      <c r="D832" s="2" t="s">
        <v>11</v>
      </c>
      <c r="E832" s="2">
        <v>15.0</v>
      </c>
      <c r="F832" s="2" t="s">
        <v>12</v>
      </c>
      <c r="G832" s="2"/>
      <c r="H832" s="2"/>
      <c r="I832" s="2"/>
    </row>
    <row r="833">
      <c r="A833" s="2" t="s">
        <v>829</v>
      </c>
      <c r="B833" s="2" t="s">
        <v>816</v>
      </c>
      <c r="C833" s="2"/>
      <c r="D833" s="2" t="s">
        <v>37</v>
      </c>
      <c r="E833" s="2">
        <v>10.0</v>
      </c>
      <c r="F833" s="2" t="s">
        <v>12</v>
      </c>
      <c r="G833" s="2"/>
      <c r="H833" s="2"/>
      <c r="I833" s="2"/>
    </row>
    <row r="834">
      <c r="A834" s="2" t="s">
        <v>830</v>
      </c>
      <c r="B834" s="2" t="s">
        <v>816</v>
      </c>
      <c r="C834" s="2"/>
      <c r="D834" s="2" t="s">
        <v>37</v>
      </c>
      <c r="E834" s="2">
        <v>10.0</v>
      </c>
      <c r="F834" s="2" t="s">
        <v>12</v>
      </c>
      <c r="G834" s="2"/>
      <c r="H834" s="2"/>
      <c r="I834" s="2"/>
    </row>
    <row r="835">
      <c r="A835" s="1" t="s">
        <v>831</v>
      </c>
      <c r="B835" s="2" t="s">
        <v>816</v>
      </c>
      <c r="C835" s="2"/>
      <c r="D835" s="2" t="s">
        <v>11</v>
      </c>
      <c r="E835" s="2">
        <v>10.0</v>
      </c>
      <c r="F835" s="2" t="s">
        <v>12</v>
      </c>
      <c r="G835" s="2"/>
      <c r="H835" s="2"/>
      <c r="I835" s="2"/>
    </row>
    <row r="836">
      <c r="A836" s="1" t="s">
        <v>831</v>
      </c>
      <c r="B836" s="2" t="s">
        <v>816</v>
      </c>
      <c r="C836" s="2"/>
      <c r="D836" s="2" t="s">
        <v>11</v>
      </c>
      <c r="E836" s="2">
        <v>15.0</v>
      </c>
      <c r="F836" s="2" t="s">
        <v>12</v>
      </c>
      <c r="G836" s="2"/>
      <c r="H836" s="2"/>
      <c r="I836" s="2"/>
    </row>
    <row r="837">
      <c r="A837" s="1" t="s">
        <v>832</v>
      </c>
      <c r="B837" s="2" t="s">
        <v>816</v>
      </c>
      <c r="C837" s="2"/>
      <c r="D837" s="2" t="s">
        <v>11</v>
      </c>
      <c r="E837" s="2">
        <v>10.0</v>
      </c>
      <c r="F837" s="2" t="s">
        <v>12</v>
      </c>
      <c r="G837" s="2"/>
      <c r="H837" s="2"/>
      <c r="I837" s="2"/>
    </row>
    <row r="838">
      <c r="A838" s="1" t="s">
        <v>832</v>
      </c>
      <c r="B838" s="2" t="s">
        <v>816</v>
      </c>
      <c r="C838" s="2"/>
      <c r="D838" s="2" t="s">
        <v>11</v>
      </c>
      <c r="E838" s="2">
        <v>15.0</v>
      </c>
      <c r="F838" s="2" t="s">
        <v>12</v>
      </c>
      <c r="G838" s="2"/>
      <c r="H838" s="2"/>
      <c r="I838" s="2"/>
    </row>
    <row r="839">
      <c r="A839" s="2" t="s">
        <v>833</v>
      </c>
      <c r="B839" s="2" t="s">
        <v>816</v>
      </c>
      <c r="C839" s="2"/>
      <c r="D839" s="2" t="s">
        <v>11</v>
      </c>
      <c r="E839" s="2">
        <v>10.0</v>
      </c>
      <c r="F839" s="2" t="s">
        <v>12</v>
      </c>
      <c r="G839" s="2"/>
      <c r="H839" s="2"/>
      <c r="I839" s="2"/>
    </row>
    <row r="840">
      <c r="A840" s="1" t="s">
        <v>834</v>
      </c>
      <c r="B840" s="2" t="s">
        <v>835</v>
      </c>
      <c r="C840" s="2"/>
      <c r="D840" s="2" t="s">
        <v>73</v>
      </c>
      <c r="E840" s="2">
        <v>1.0</v>
      </c>
      <c r="F840" s="2" t="s">
        <v>74</v>
      </c>
      <c r="G840" s="2"/>
      <c r="H840" s="2"/>
      <c r="I840" s="2"/>
    </row>
    <row r="841">
      <c r="A841" s="1" t="s">
        <v>836</v>
      </c>
      <c r="B841" s="2" t="s">
        <v>835</v>
      </c>
      <c r="C841" s="1"/>
      <c r="D841" s="2"/>
      <c r="E841" s="2"/>
      <c r="F841" s="2"/>
      <c r="G841" s="2"/>
      <c r="H841" s="2"/>
      <c r="I841" s="2"/>
    </row>
    <row r="842">
      <c r="A842" s="2" t="s">
        <v>837</v>
      </c>
      <c r="B842" s="2" t="s">
        <v>835</v>
      </c>
      <c r="C842" s="1"/>
      <c r="D842" s="2"/>
      <c r="E842" s="2"/>
      <c r="F842" s="2"/>
      <c r="G842" s="2"/>
      <c r="H842" s="2"/>
      <c r="I842" s="2"/>
    </row>
    <row r="843">
      <c r="A843" s="2" t="s">
        <v>838</v>
      </c>
      <c r="B843" s="2" t="s">
        <v>835</v>
      </c>
      <c r="C843" s="1"/>
      <c r="D843" s="2"/>
      <c r="E843" s="2"/>
      <c r="F843" s="2"/>
      <c r="G843" s="2"/>
      <c r="H843" s="2"/>
      <c r="I843" s="2"/>
    </row>
    <row r="844">
      <c r="A844" s="1" t="s">
        <v>839</v>
      </c>
      <c r="B844" s="2" t="s">
        <v>835</v>
      </c>
      <c r="C844" s="2"/>
      <c r="D844" s="2" t="s">
        <v>73</v>
      </c>
      <c r="E844" s="2">
        <v>1.0</v>
      </c>
      <c r="F844" s="2" t="s">
        <v>74</v>
      </c>
      <c r="G844" s="2"/>
      <c r="H844" s="2"/>
      <c r="I844" s="2"/>
    </row>
    <row r="845">
      <c r="A845" s="2" t="s">
        <v>840</v>
      </c>
      <c r="B845" s="2" t="s">
        <v>835</v>
      </c>
      <c r="C845" s="1"/>
      <c r="D845" s="2"/>
      <c r="E845" s="2"/>
      <c r="F845" s="2"/>
      <c r="G845" s="2"/>
      <c r="H845" s="2"/>
      <c r="I845" s="2"/>
    </row>
    <row r="846">
      <c r="A846" s="2" t="s">
        <v>841</v>
      </c>
      <c r="B846" s="2" t="s">
        <v>835</v>
      </c>
      <c r="C846" s="1"/>
      <c r="D846" s="2"/>
      <c r="E846" s="2"/>
      <c r="F846" s="2"/>
      <c r="G846" s="2"/>
      <c r="H846" s="2"/>
      <c r="I846" s="2"/>
    </row>
    <row r="847">
      <c r="A847" s="1" t="s">
        <v>842</v>
      </c>
      <c r="B847" s="2" t="s">
        <v>835</v>
      </c>
      <c r="C847" s="2"/>
      <c r="D847" s="2" t="s">
        <v>73</v>
      </c>
      <c r="E847" s="2">
        <v>1.0</v>
      </c>
      <c r="F847" s="2" t="s">
        <v>74</v>
      </c>
      <c r="G847" s="2"/>
      <c r="H847" s="2"/>
      <c r="I847" s="2"/>
    </row>
    <row r="848">
      <c r="A848" s="2" t="s">
        <v>843</v>
      </c>
      <c r="B848" s="2" t="s">
        <v>835</v>
      </c>
      <c r="C848" s="2"/>
      <c r="D848" s="2" t="s">
        <v>74</v>
      </c>
      <c r="E848" s="2">
        <v>1.0</v>
      </c>
      <c r="F848" s="2"/>
      <c r="G848" s="2"/>
      <c r="H848" s="2"/>
      <c r="I848" s="2"/>
    </row>
    <row r="849">
      <c r="A849" s="2" t="s">
        <v>844</v>
      </c>
      <c r="B849" s="2" t="s">
        <v>835</v>
      </c>
      <c r="C849" s="1"/>
      <c r="D849" s="2"/>
      <c r="E849" s="2"/>
      <c r="F849" s="2"/>
      <c r="G849" s="2"/>
      <c r="H849" s="2"/>
      <c r="I849" s="2"/>
    </row>
    <row r="850">
      <c r="A850" s="1" t="s">
        <v>845</v>
      </c>
      <c r="B850" s="2" t="s">
        <v>835</v>
      </c>
      <c r="C850" s="2"/>
      <c r="D850" s="2" t="s">
        <v>73</v>
      </c>
      <c r="E850" s="2">
        <v>1.0</v>
      </c>
      <c r="F850" s="2" t="s">
        <v>74</v>
      </c>
      <c r="G850" s="2"/>
      <c r="H850" s="2"/>
      <c r="I850" s="2"/>
    </row>
    <row r="851">
      <c r="A851" s="1" t="s">
        <v>846</v>
      </c>
      <c r="B851" s="2" t="s">
        <v>835</v>
      </c>
      <c r="C851" s="2"/>
      <c r="D851" s="2" t="s">
        <v>73</v>
      </c>
      <c r="E851" s="2">
        <v>1.0</v>
      </c>
      <c r="F851" s="2" t="s">
        <v>74</v>
      </c>
      <c r="G851" s="2"/>
      <c r="H851" s="2"/>
      <c r="I851" s="2"/>
    </row>
    <row r="852">
      <c r="A852" s="2" t="s">
        <v>847</v>
      </c>
      <c r="B852" s="2" t="s">
        <v>835</v>
      </c>
      <c r="C852" s="1"/>
      <c r="D852" s="2"/>
      <c r="E852" s="2"/>
      <c r="F852" s="2"/>
      <c r="G852" s="2"/>
      <c r="H852" s="2"/>
      <c r="I852" s="2"/>
    </row>
    <row r="853">
      <c r="A853" s="2" t="s">
        <v>848</v>
      </c>
      <c r="B853" s="2" t="s">
        <v>849</v>
      </c>
      <c r="C853" s="2"/>
      <c r="D853" s="2" t="s">
        <v>850</v>
      </c>
      <c r="E853" s="2">
        <v>30.0</v>
      </c>
      <c r="F853" s="2"/>
      <c r="G853" s="2"/>
      <c r="H853" s="2"/>
      <c r="I853" s="2"/>
    </row>
    <row r="854">
      <c r="A854" s="2" t="s">
        <v>851</v>
      </c>
      <c r="B854" s="2" t="s">
        <v>849</v>
      </c>
      <c r="C854" s="1"/>
      <c r="D854" s="2"/>
      <c r="E854" s="2"/>
      <c r="F854" s="2"/>
      <c r="G854" s="2"/>
      <c r="H854" s="2"/>
      <c r="I854" s="2"/>
    </row>
    <row r="855">
      <c r="A855" s="2" t="s">
        <v>852</v>
      </c>
      <c r="B855" s="2" t="s">
        <v>849</v>
      </c>
      <c r="C855" s="2"/>
      <c r="D855" s="2" t="s">
        <v>21</v>
      </c>
      <c r="E855" s="2">
        <v>1.0</v>
      </c>
      <c r="F855" s="2" t="s">
        <v>22</v>
      </c>
      <c r="G855" s="2"/>
      <c r="H855" s="2"/>
      <c r="I855" s="2"/>
    </row>
    <row r="856">
      <c r="A856" s="2" t="s">
        <v>853</v>
      </c>
      <c r="B856" s="2" t="s">
        <v>849</v>
      </c>
      <c r="C856" s="1"/>
      <c r="D856" s="2"/>
      <c r="E856" s="2"/>
      <c r="F856" s="2"/>
      <c r="G856" s="2"/>
      <c r="H856" s="2"/>
      <c r="I856" s="2"/>
    </row>
    <row r="857">
      <c r="A857" s="2" t="s">
        <v>854</v>
      </c>
      <c r="B857" s="2" t="s">
        <v>849</v>
      </c>
      <c r="C857" s="1"/>
      <c r="D857" s="2"/>
      <c r="E857" s="2"/>
      <c r="F857" s="2"/>
      <c r="G857" s="2"/>
      <c r="H857" s="2"/>
      <c r="I857" s="2"/>
    </row>
    <row r="858">
      <c r="A858" s="2" t="s">
        <v>855</v>
      </c>
      <c r="B858" s="2" t="s">
        <v>849</v>
      </c>
      <c r="C858" s="1"/>
      <c r="D858" s="2"/>
      <c r="E858" s="2"/>
      <c r="F858" s="2"/>
      <c r="G858" s="2"/>
      <c r="H858" s="2"/>
      <c r="I858" s="2"/>
    </row>
    <row r="859">
      <c r="A859" s="2" t="s">
        <v>856</v>
      </c>
      <c r="B859" s="2" t="s">
        <v>849</v>
      </c>
      <c r="C859" s="1"/>
      <c r="D859" s="2"/>
      <c r="E859" s="2"/>
      <c r="F859" s="2"/>
      <c r="G859" s="2"/>
      <c r="H859" s="2"/>
      <c r="I859" s="2"/>
    </row>
    <row r="860">
      <c r="A860" s="2" t="s">
        <v>857</v>
      </c>
      <c r="B860" s="2" t="s">
        <v>849</v>
      </c>
      <c r="C860" s="1"/>
      <c r="D860" s="2"/>
      <c r="E860" s="2"/>
      <c r="F860" s="2"/>
      <c r="G860" s="2"/>
      <c r="H860" s="2"/>
      <c r="I860" s="2"/>
    </row>
    <row r="861">
      <c r="A861" s="2" t="s">
        <v>858</v>
      </c>
      <c r="B861" s="2" t="s">
        <v>849</v>
      </c>
      <c r="C861" s="1"/>
      <c r="D861" s="2"/>
      <c r="E861" s="2"/>
      <c r="F861" s="2"/>
      <c r="G861" s="2"/>
      <c r="H861" s="2"/>
      <c r="I861" s="2"/>
    </row>
    <row r="862">
      <c r="A862" s="2" t="s">
        <v>859</v>
      </c>
      <c r="B862" s="2" t="s">
        <v>849</v>
      </c>
      <c r="C862" s="1"/>
      <c r="D862" s="2"/>
      <c r="E862" s="2"/>
      <c r="F862" s="2"/>
      <c r="G862" s="2"/>
      <c r="H862" s="2"/>
      <c r="I862" s="2"/>
    </row>
    <row r="863">
      <c r="A863" s="2" t="s">
        <v>860</v>
      </c>
      <c r="B863" s="2" t="s">
        <v>849</v>
      </c>
      <c r="C863" s="2"/>
      <c r="D863" s="2" t="s">
        <v>21</v>
      </c>
      <c r="E863" s="2">
        <v>30.0</v>
      </c>
      <c r="F863" s="2" t="s">
        <v>22</v>
      </c>
      <c r="G863" s="2"/>
      <c r="H863" s="2"/>
      <c r="I863" s="2"/>
    </row>
    <row r="864">
      <c r="A864" s="2" t="s">
        <v>860</v>
      </c>
      <c r="B864" s="2" t="s">
        <v>849</v>
      </c>
      <c r="C864" s="2"/>
      <c r="D864" s="2" t="s">
        <v>21</v>
      </c>
      <c r="E864" s="2">
        <v>7.0</v>
      </c>
      <c r="F864" s="2" t="s">
        <v>22</v>
      </c>
      <c r="G864" s="2"/>
      <c r="H864" s="2"/>
      <c r="I864" s="2"/>
    </row>
    <row r="865">
      <c r="A865" s="2" t="s">
        <v>861</v>
      </c>
      <c r="B865" s="2" t="s">
        <v>849</v>
      </c>
      <c r="C865" s="2"/>
      <c r="D865" s="2" t="s">
        <v>21</v>
      </c>
      <c r="E865" s="2">
        <v>30.0</v>
      </c>
      <c r="F865" s="2" t="s">
        <v>22</v>
      </c>
      <c r="G865" s="2"/>
      <c r="H865" s="2"/>
      <c r="I865" s="2"/>
    </row>
    <row r="866">
      <c r="A866" s="2" t="s">
        <v>862</v>
      </c>
      <c r="B866" s="2" t="s">
        <v>849</v>
      </c>
      <c r="C866" s="1"/>
      <c r="D866" s="2"/>
      <c r="E866" s="2"/>
      <c r="F866" s="2"/>
      <c r="G866" s="2"/>
      <c r="H866" s="2"/>
      <c r="I866" s="2"/>
    </row>
    <row r="867">
      <c r="A867" s="2" t="s">
        <v>863</v>
      </c>
      <c r="B867" s="2" t="s">
        <v>849</v>
      </c>
      <c r="C867" s="1"/>
      <c r="D867" s="2"/>
      <c r="E867" s="2"/>
      <c r="F867" s="2"/>
      <c r="G867" s="2"/>
      <c r="H867" s="2"/>
      <c r="I867" s="2"/>
    </row>
    <row r="868">
      <c r="A868" s="2" t="s">
        <v>864</v>
      </c>
      <c r="B868" s="2" t="s">
        <v>849</v>
      </c>
      <c r="C868" s="1"/>
      <c r="D868" s="2"/>
      <c r="E868" s="2"/>
      <c r="F868" s="2"/>
      <c r="G868" s="2"/>
      <c r="H868" s="2"/>
      <c r="I868" s="2"/>
    </row>
    <row r="869">
      <c r="A869" s="2" t="s">
        <v>865</v>
      </c>
      <c r="B869" s="2" t="s">
        <v>849</v>
      </c>
      <c r="C869" s="2"/>
      <c r="D869" s="2" t="s">
        <v>866</v>
      </c>
      <c r="E869" s="2">
        <v>4.0</v>
      </c>
      <c r="F869" s="2"/>
      <c r="G869" s="2"/>
      <c r="H869" s="2"/>
      <c r="I869" s="2"/>
    </row>
    <row r="870">
      <c r="A870" s="2" t="s">
        <v>867</v>
      </c>
      <c r="B870" s="2" t="s">
        <v>849</v>
      </c>
      <c r="C870" s="2"/>
      <c r="D870" s="2" t="s">
        <v>866</v>
      </c>
      <c r="E870" s="2">
        <v>9.0</v>
      </c>
      <c r="F870" s="2"/>
      <c r="G870" s="2"/>
      <c r="H870" s="2"/>
      <c r="I870" s="2"/>
    </row>
    <row r="871">
      <c r="A871" s="2" t="s">
        <v>868</v>
      </c>
      <c r="B871" s="2" t="s">
        <v>849</v>
      </c>
      <c r="C871" s="2"/>
      <c r="D871" s="2" t="s">
        <v>866</v>
      </c>
      <c r="E871" s="2">
        <v>9.0</v>
      </c>
      <c r="F871" s="2"/>
      <c r="G871" s="2"/>
      <c r="H871" s="2"/>
      <c r="I871" s="2"/>
    </row>
    <row r="872">
      <c r="A872" s="1" t="s">
        <v>869</v>
      </c>
      <c r="B872" s="2" t="s">
        <v>849</v>
      </c>
      <c r="C872" s="2"/>
      <c r="D872" s="2" t="s">
        <v>11</v>
      </c>
      <c r="E872" s="2">
        <v>10.0</v>
      </c>
      <c r="F872" s="2" t="s">
        <v>12</v>
      </c>
      <c r="G872" s="2"/>
      <c r="H872" s="2"/>
      <c r="I872" s="2"/>
    </row>
    <row r="873">
      <c r="A873" s="2" t="s">
        <v>870</v>
      </c>
      <c r="B873" s="2" t="s">
        <v>849</v>
      </c>
      <c r="C873" s="2"/>
      <c r="D873" s="2" t="s">
        <v>11</v>
      </c>
      <c r="E873" s="2">
        <v>9.0</v>
      </c>
      <c r="F873" s="2" t="s">
        <v>12</v>
      </c>
      <c r="G873" s="2"/>
      <c r="H873" s="2"/>
      <c r="I873" s="2"/>
    </row>
    <row r="874">
      <c r="A874" s="2" t="s">
        <v>871</v>
      </c>
      <c r="B874" s="2" t="s">
        <v>849</v>
      </c>
      <c r="C874" s="2"/>
      <c r="D874" s="2" t="s">
        <v>850</v>
      </c>
      <c r="E874" s="2">
        <v>25.0</v>
      </c>
      <c r="F874" s="2"/>
      <c r="G874" s="2"/>
      <c r="H874" s="2"/>
      <c r="I874" s="2"/>
    </row>
    <row r="875">
      <c r="A875" s="2" t="s">
        <v>872</v>
      </c>
      <c r="B875" s="2" t="s">
        <v>849</v>
      </c>
      <c r="C875" s="2"/>
      <c r="D875" s="2" t="s">
        <v>866</v>
      </c>
      <c r="E875" s="2">
        <v>9.0</v>
      </c>
      <c r="F875" s="2"/>
      <c r="G875" s="2"/>
      <c r="H875" s="2"/>
      <c r="I875" s="2"/>
    </row>
    <row r="876">
      <c r="A876" s="2" t="s">
        <v>873</v>
      </c>
      <c r="B876" s="2" t="s">
        <v>849</v>
      </c>
      <c r="C876" s="2"/>
      <c r="D876" s="2" t="s">
        <v>866</v>
      </c>
      <c r="E876" s="2">
        <v>9.0</v>
      </c>
      <c r="F876" s="2"/>
      <c r="G876" s="2"/>
      <c r="H876" s="2"/>
      <c r="I876" s="2"/>
    </row>
    <row r="877">
      <c r="A877" s="2" t="s">
        <v>874</v>
      </c>
      <c r="B877" s="2" t="s">
        <v>849</v>
      </c>
      <c r="C877" s="2"/>
      <c r="D877" s="2" t="s">
        <v>866</v>
      </c>
      <c r="E877" s="2">
        <v>9.0</v>
      </c>
      <c r="F877" s="2"/>
      <c r="G877" s="2"/>
      <c r="H877" s="2"/>
      <c r="I877" s="2"/>
    </row>
    <row r="878">
      <c r="A878" s="1" t="s">
        <v>875</v>
      </c>
      <c r="B878" s="2" t="s">
        <v>849</v>
      </c>
      <c r="C878" s="2"/>
      <c r="D878" s="2" t="s">
        <v>11</v>
      </c>
      <c r="E878" s="2">
        <v>10.0</v>
      </c>
      <c r="F878" s="2" t="s">
        <v>12</v>
      </c>
      <c r="G878" s="2"/>
      <c r="H878" s="2"/>
      <c r="I878" s="2"/>
    </row>
    <row r="879">
      <c r="A879" s="2" t="s">
        <v>876</v>
      </c>
      <c r="B879" s="2" t="s">
        <v>849</v>
      </c>
      <c r="C879" s="2"/>
      <c r="D879" s="2" t="s">
        <v>11</v>
      </c>
      <c r="E879" s="2">
        <v>9.0</v>
      </c>
      <c r="F879" s="2" t="s">
        <v>12</v>
      </c>
      <c r="G879" s="2"/>
      <c r="H879" s="2"/>
      <c r="I879" s="2"/>
    </row>
    <row r="880">
      <c r="A880" s="2" t="s">
        <v>877</v>
      </c>
      <c r="B880" s="2" t="s">
        <v>849</v>
      </c>
      <c r="C880" s="2"/>
      <c r="D880" s="2" t="s">
        <v>850</v>
      </c>
      <c r="E880" s="2">
        <v>25.0</v>
      </c>
      <c r="F880" s="2"/>
      <c r="G880" s="2"/>
      <c r="H880" s="2"/>
      <c r="I880" s="2"/>
    </row>
    <row r="881">
      <c r="A881" s="2" t="s">
        <v>878</v>
      </c>
      <c r="B881" s="2" t="s">
        <v>849</v>
      </c>
      <c r="C881" s="2"/>
      <c r="D881" s="2" t="s">
        <v>21</v>
      </c>
      <c r="E881" s="2">
        <v>10.0</v>
      </c>
      <c r="F881" s="2"/>
      <c r="G881" s="2"/>
      <c r="H881" s="2"/>
      <c r="I881" s="2"/>
    </row>
    <row r="882">
      <c r="A882" s="2" t="s">
        <v>879</v>
      </c>
      <c r="B882" s="2" t="s">
        <v>880</v>
      </c>
      <c r="C882" s="1"/>
      <c r="D882" s="2"/>
      <c r="E882" s="2"/>
      <c r="F882" s="2"/>
      <c r="G882" s="2"/>
      <c r="H882" s="2"/>
      <c r="I882" s="2"/>
    </row>
    <row r="883">
      <c r="A883" s="2" t="s">
        <v>881</v>
      </c>
      <c r="B883" s="2" t="s">
        <v>880</v>
      </c>
      <c r="C883" s="1"/>
      <c r="D883" s="2"/>
      <c r="E883" s="2"/>
      <c r="F883" s="2"/>
      <c r="G883" s="2"/>
      <c r="H883" s="2"/>
      <c r="I883" s="2"/>
    </row>
    <row r="884">
      <c r="A884" s="2" t="s">
        <v>882</v>
      </c>
      <c r="B884" s="2" t="s">
        <v>880</v>
      </c>
      <c r="C884" s="1"/>
      <c r="D884" s="2"/>
      <c r="E884" s="2"/>
      <c r="F884" s="2"/>
      <c r="G884" s="2"/>
      <c r="H884" s="2"/>
      <c r="I884" s="2"/>
    </row>
    <row r="885">
      <c r="A885" s="2" t="s">
        <v>883</v>
      </c>
      <c r="B885" s="2" t="s">
        <v>880</v>
      </c>
      <c r="C885" s="1"/>
      <c r="D885" s="2"/>
      <c r="E885" s="2"/>
      <c r="F885" s="2"/>
      <c r="G885" s="2"/>
      <c r="H885" s="2"/>
      <c r="I885" s="2"/>
    </row>
    <row r="886">
      <c r="A886" s="2" t="s">
        <v>884</v>
      </c>
      <c r="B886" s="2" t="s">
        <v>880</v>
      </c>
      <c r="C886" s="2"/>
      <c r="D886" s="2" t="s">
        <v>11</v>
      </c>
      <c r="E886" s="2">
        <v>10.0</v>
      </c>
      <c r="F886" s="2" t="s">
        <v>12</v>
      </c>
      <c r="G886" s="2"/>
      <c r="H886" s="2"/>
      <c r="I886" s="2"/>
    </row>
    <row r="887">
      <c r="A887" s="2" t="s">
        <v>885</v>
      </c>
      <c r="B887" s="2" t="s">
        <v>880</v>
      </c>
      <c r="C887" s="1"/>
      <c r="D887" s="2"/>
      <c r="E887" s="2"/>
      <c r="F887" s="2"/>
      <c r="G887" s="2"/>
      <c r="H887" s="2"/>
      <c r="I887" s="2"/>
    </row>
    <row r="888">
      <c r="A888" s="2" t="s">
        <v>886</v>
      </c>
      <c r="B888" s="2" t="s">
        <v>880</v>
      </c>
      <c r="C888" s="1"/>
      <c r="D888" s="2"/>
      <c r="E888" s="2"/>
      <c r="F888" s="2"/>
      <c r="G888" s="2"/>
      <c r="H888" s="2"/>
      <c r="I888" s="2"/>
    </row>
    <row r="889">
      <c r="A889" s="2" t="s">
        <v>887</v>
      </c>
      <c r="B889" s="2" t="s">
        <v>880</v>
      </c>
      <c r="C889" s="1"/>
      <c r="D889" s="2"/>
      <c r="E889" s="2"/>
      <c r="F889" s="2"/>
      <c r="G889" s="2"/>
      <c r="H889" s="2"/>
      <c r="I889" s="2"/>
    </row>
    <row r="890">
      <c r="A890" s="2" t="s">
        <v>888</v>
      </c>
      <c r="B890" s="2" t="s">
        <v>880</v>
      </c>
      <c r="C890" s="1"/>
      <c r="D890" s="2"/>
      <c r="E890" s="2"/>
      <c r="F890" s="2"/>
      <c r="G890" s="2"/>
      <c r="H890" s="2"/>
      <c r="I890" s="2"/>
    </row>
    <row r="891">
      <c r="A891" s="2" t="s">
        <v>889</v>
      </c>
      <c r="B891" s="2" t="s">
        <v>880</v>
      </c>
      <c r="C891" s="1"/>
      <c r="D891" s="2"/>
      <c r="E891" s="2"/>
      <c r="F891" s="2"/>
      <c r="G891" s="2"/>
      <c r="H891" s="2"/>
      <c r="I891" s="2"/>
    </row>
    <row r="892">
      <c r="A892" s="2" t="s">
        <v>890</v>
      </c>
      <c r="B892" s="2" t="s">
        <v>880</v>
      </c>
      <c r="C892" s="1"/>
      <c r="D892" s="2"/>
      <c r="E892" s="2"/>
      <c r="F892" s="2"/>
      <c r="G892" s="2"/>
      <c r="H892" s="2"/>
      <c r="I892" s="2"/>
    </row>
    <row r="893">
      <c r="A893" s="2" t="s">
        <v>891</v>
      </c>
      <c r="B893" s="2" t="s">
        <v>880</v>
      </c>
      <c r="C893" s="1"/>
      <c r="D893" s="2"/>
      <c r="E893" s="2"/>
      <c r="F893" s="2"/>
      <c r="G893" s="2"/>
      <c r="H893" s="2"/>
      <c r="I893" s="2"/>
    </row>
    <row r="894">
      <c r="A894" s="2" t="s">
        <v>892</v>
      </c>
      <c r="B894" s="2" t="s">
        <v>880</v>
      </c>
      <c r="C894" s="1"/>
      <c r="D894" s="2"/>
      <c r="E894" s="2"/>
      <c r="F894" s="2"/>
      <c r="G894" s="2"/>
      <c r="H894" s="2"/>
      <c r="I894" s="2"/>
    </row>
    <row r="895">
      <c r="A895" s="2" t="s">
        <v>893</v>
      </c>
      <c r="B895" s="2" t="s">
        <v>880</v>
      </c>
      <c r="C895" s="2"/>
      <c r="D895" s="2" t="s">
        <v>11</v>
      </c>
      <c r="E895" s="2">
        <v>10.0</v>
      </c>
      <c r="F895" s="2" t="s">
        <v>12</v>
      </c>
      <c r="G895" s="2"/>
      <c r="H895" s="2"/>
      <c r="I895" s="2"/>
    </row>
    <row r="896">
      <c r="A896" s="1" t="s">
        <v>894</v>
      </c>
      <c r="B896" s="2" t="s">
        <v>880</v>
      </c>
      <c r="C896" s="2"/>
      <c r="D896" s="2" t="s">
        <v>37</v>
      </c>
      <c r="E896" s="2">
        <v>10.0</v>
      </c>
      <c r="F896" s="2" t="s">
        <v>12</v>
      </c>
      <c r="G896" s="2"/>
      <c r="H896" s="2"/>
      <c r="I896" s="2"/>
    </row>
    <row r="897">
      <c r="A897" s="2" t="s">
        <v>895</v>
      </c>
      <c r="B897" s="2" t="s">
        <v>880</v>
      </c>
      <c r="C897" s="1"/>
      <c r="D897" s="2"/>
      <c r="E897" s="2"/>
      <c r="F897" s="2"/>
      <c r="G897" s="2"/>
      <c r="H897" s="2"/>
      <c r="I897" s="2"/>
    </row>
    <row r="898">
      <c r="A898" s="2" t="s">
        <v>896</v>
      </c>
      <c r="B898" s="2" t="s">
        <v>880</v>
      </c>
      <c r="C898" s="1"/>
      <c r="D898" s="2"/>
      <c r="E898" s="2"/>
      <c r="F898" s="2"/>
      <c r="G898" s="2"/>
      <c r="H898" s="2"/>
      <c r="I898" s="2"/>
    </row>
    <row r="899">
      <c r="A899" s="2" t="s">
        <v>897</v>
      </c>
      <c r="B899" s="2" t="s">
        <v>880</v>
      </c>
      <c r="C899" s="1"/>
      <c r="D899" s="1" t="s">
        <v>300</v>
      </c>
      <c r="E899" s="1" t="s">
        <v>731</v>
      </c>
      <c r="F899" s="1" t="s">
        <v>302</v>
      </c>
      <c r="G899" s="2"/>
      <c r="H899" s="2"/>
      <c r="I899" s="2"/>
    </row>
    <row r="900">
      <c r="A900" s="2" t="s">
        <v>898</v>
      </c>
      <c r="B900" s="2" t="s">
        <v>880</v>
      </c>
      <c r="C900" s="1"/>
      <c r="D900" s="2"/>
      <c r="E900" s="2"/>
      <c r="F900" s="2"/>
      <c r="G900" s="2"/>
      <c r="H900" s="2"/>
      <c r="I900" s="2"/>
    </row>
    <row r="901">
      <c r="A901" s="2" t="s">
        <v>899</v>
      </c>
      <c r="B901" s="2" t="s">
        <v>880</v>
      </c>
      <c r="C901" s="1"/>
      <c r="D901" s="2"/>
      <c r="E901" s="2"/>
      <c r="F901" s="2"/>
      <c r="G901" s="2"/>
      <c r="H901" s="2"/>
      <c r="I901" s="2"/>
    </row>
    <row r="902">
      <c r="A902" s="2" t="s">
        <v>900</v>
      </c>
      <c r="B902" s="2" t="s">
        <v>880</v>
      </c>
      <c r="C902" s="1"/>
      <c r="D902" s="2"/>
      <c r="E902" s="2"/>
      <c r="F902" s="2"/>
      <c r="G902" s="2"/>
      <c r="H902" s="2"/>
      <c r="I902" s="2"/>
    </row>
    <row r="903">
      <c r="A903" s="2" t="s">
        <v>901</v>
      </c>
      <c r="B903" s="2" t="s">
        <v>880</v>
      </c>
      <c r="C903" s="2"/>
      <c r="D903" s="2" t="s">
        <v>37</v>
      </c>
      <c r="E903" s="2">
        <v>10.0</v>
      </c>
      <c r="F903" s="2" t="s">
        <v>12</v>
      </c>
      <c r="G903" s="2"/>
      <c r="H903" s="2"/>
      <c r="I903" s="2"/>
    </row>
    <row r="904">
      <c r="A904" s="2" t="s">
        <v>902</v>
      </c>
      <c r="B904" s="2" t="s">
        <v>880</v>
      </c>
      <c r="C904" s="1"/>
      <c r="D904" s="2"/>
      <c r="E904" s="2"/>
      <c r="F904" s="2"/>
      <c r="G904" s="2"/>
      <c r="H904" s="2"/>
      <c r="I904" s="2"/>
    </row>
    <row r="905">
      <c r="A905" s="2" t="s">
        <v>903</v>
      </c>
      <c r="B905" s="2" t="s">
        <v>880</v>
      </c>
      <c r="C905" s="1"/>
      <c r="D905" s="2"/>
      <c r="E905" s="2"/>
      <c r="F905" s="2"/>
      <c r="G905" s="2"/>
      <c r="H905" s="2"/>
      <c r="I905" s="2"/>
    </row>
    <row r="906">
      <c r="A906" s="2" t="s">
        <v>904</v>
      </c>
      <c r="B906" s="2" t="s">
        <v>880</v>
      </c>
      <c r="C906" s="1"/>
      <c r="D906" s="2"/>
      <c r="E906" s="2"/>
      <c r="F906" s="2"/>
      <c r="G906" s="2"/>
      <c r="H906" s="2"/>
      <c r="I906" s="2"/>
    </row>
    <row r="907">
      <c r="A907" s="2" t="s">
        <v>905</v>
      </c>
      <c r="B907" s="2" t="s">
        <v>880</v>
      </c>
      <c r="C907" s="1"/>
      <c r="D907" s="2"/>
      <c r="E907" s="2"/>
      <c r="F907" s="2"/>
      <c r="G907" s="2"/>
      <c r="H907" s="2"/>
      <c r="I907" s="2"/>
    </row>
    <row r="908">
      <c r="A908" s="2" t="s">
        <v>906</v>
      </c>
      <c r="B908" s="2" t="s">
        <v>880</v>
      </c>
      <c r="C908" s="1"/>
      <c r="D908" s="2"/>
      <c r="E908" s="2"/>
      <c r="F908" s="2"/>
      <c r="G908" s="2"/>
      <c r="H908" s="2"/>
      <c r="I908" s="2"/>
    </row>
    <row r="909">
      <c r="A909" s="2" t="s">
        <v>907</v>
      </c>
      <c r="B909" s="2" t="s">
        <v>880</v>
      </c>
      <c r="C909" s="1"/>
      <c r="D909" s="2"/>
      <c r="E909" s="2"/>
      <c r="F909" s="2"/>
      <c r="G909" s="2"/>
      <c r="H909" s="2"/>
      <c r="I909" s="2"/>
    </row>
    <row r="910">
      <c r="A910" s="2" t="s">
        <v>908</v>
      </c>
      <c r="B910" s="2" t="s">
        <v>880</v>
      </c>
      <c r="C910" s="1"/>
      <c r="D910" s="2"/>
      <c r="E910" s="2"/>
      <c r="F910" s="2"/>
      <c r="G910" s="2"/>
      <c r="H910" s="2"/>
      <c r="I910" s="2"/>
    </row>
    <row r="911">
      <c r="A911" s="2" t="s">
        <v>909</v>
      </c>
      <c r="B911" s="2" t="s">
        <v>880</v>
      </c>
      <c r="C911" s="1"/>
      <c r="D911" s="2"/>
      <c r="E911" s="2"/>
      <c r="F911" s="2"/>
      <c r="G911" s="2"/>
      <c r="H911" s="2"/>
      <c r="I911" s="2"/>
    </row>
    <row r="912">
      <c r="A912" s="2" t="s">
        <v>910</v>
      </c>
      <c r="B912" s="2" t="s">
        <v>880</v>
      </c>
      <c r="C912" s="1"/>
      <c r="D912" s="2"/>
      <c r="E912" s="2"/>
      <c r="F912" s="2"/>
      <c r="G912" s="2"/>
      <c r="H912" s="2"/>
      <c r="I912" s="2"/>
    </row>
    <row r="913">
      <c r="A913" s="2" t="s">
        <v>911</v>
      </c>
      <c r="B913" s="2" t="s">
        <v>880</v>
      </c>
      <c r="C913" s="1"/>
      <c r="D913" s="2"/>
      <c r="E913" s="2"/>
      <c r="F913" s="2"/>
      <c r="G913" s="2"/>
      <c r="H913" s="2"/>
      <c r="I913" s="2"/>
    </row>
    <row r="914">
      <c r="A914" s="1" t="s">
        <v>912</v>
      </c>
      <c r="B914" s="2" t="s">
        <v>913</v>
      </c>
      <c r="C914" s="2"/>
      <c r="D914" s="2" t="s">
        <v>11</v>
      </c>
      <c r="E914" s="2">
        <v>10.0</v>
      </c>
      <c r="F914" s="2" t="s">
        <v>12</v>
      </c>
      <c r="G914" s="2"/>
      <c r="H914" s="2"/>
      <c r="I914" s="2"/>
    </row>
    <row r="915">
      <c r="A915" s="1" t="s">
        <v>914</v>
      </c>
      <c r="B915" s="2" t="s">
        <v>913</v>
      </c>
      <c r="C915" s="2"/>
      <c r="D915" s="2" t="s">
        <v>11</v>
      </c>
      <c r="E915" s="2">
        <v>10.0</v>
      </c>
      <c r="F915" s="2" t="s">
        <v>12</v>
      </c>
      <c r="G915" s="2"/>
      <c r="H915" s="2"/>
      <c r="I915" s="2"/>
    </row>
    <row r="916">
      <c r="A916" s="1" t="s">
        <v>915</v>
      </c>
      <c r="B916" s="2" t="s">
        <v>913</v>
      </c>
      <c r="C916" s="2"/>
      <c r="D916" s="2" t="s">
        <v>11</v>
      </c>
      <c r="E916" s="2">
        <v>10.0</v>
      </c>
      <c r="F916" s="2" t="s">
        <v>12</v>
      </c>
      <c r="G916" s="2"/>
      <c r="H916" s="2"/>
      <c r="I916" s="2"/>
    </row>
    <row r="917">
      <c r="A917" s="1" t="s">
        <v>916</v>
      </c>
      <c r="B917" s="2" t="s">
        <v>913</v>
      </c>
      <c r="C917" s="2"/>
      <c r="D917" s="2" t="s">
        <v>11</v>
      </c>
      <c r="E917" s="2">
        <v>10.0</v>
      </c>
      <c r="F917" s="2" t="s">
        <v>12</v>
      </c>
      <c r="G917" s="2"/>
      <c r="H917" s="2"/>
      <c r="I917" s="2"/>
    </row>
    <row r="918">
      <c r="A918" s="1" t="s">
        <v>917</v>
      </c>
      <c r="B918" s="2" t="s">
        <v>913</v>
      </c>
      <c r="C918" s="2"/>
      <c r="D918" s="2" t="s">
        <v>11</v>
      </c>
      <c r="E918" s="2">
        <v>15.0</v>
      </c>
      <c r="F918" s="2" t="s">
        <v>12</v>
      </c>
      <c r="G918" s="2"/>
      <c r="H918" s="2"/>
      <c r="I918" s="2"/>
    </row>
    <row r="919">
      <c r="A919" s="1" t="s">
        <v>918</v>
      </c>
      <c r="B919" s="2" t="s">
        <v>913</v>
      </c>
      <c r="C919" s="1"/>
      <c r="D919" s="2"/>
      <c r="E919" s="2"/>
      <c r="F919" s="2"/>
      <c r="G919" s="2"/>
      <c r="H919" s="2"/>
      <c r="I919" s="2"/>
    </row>
    <row r="920">
      <c r="A920" s="1" t="s">
        <v>919</v>
      </c>
      <c r="B920" s="2" t="s">
        <v>913</v>
      </c>
      <c r="C920" s="2"/>
      <c r="D920" s="2" t="s">
        <v>11</v>
      </c>
      <c r="E920" s="2">
        <v>10.0</v>
      </c>
      <c r="F920" s="2" t="s">
        <v>12</v>
      </c>
      <c r="G920" s="2"/>
      <c r="H920" s="2"/>
      <c r="I920" s="2"/>
    </row>
    <row r="921">
      <c r="A921" s="1" t="s">
        <v>920</v>
      </c>
      <c r="B921" s="2" t="s">
        <v>913</v>
      </c>
      <c r="C921" s="2"/>
      <c r="D921" s="2" t="s">
        <v>11</v>
      </c>
      <c r="E921" s="2">
        <v>10.0</v>
      </c>
      <c r="F921" s="2" t="s">
        <v>12</v>
      </c>
      <c r="G921" s="2"/>
      <c r="H921" s="2"/>
      <c r="I921" s="2"/>
    </row>
    <row r="922">
      <c r="A922" s="2" t="s">
        <v>921</v>
      </c>
      <c r="B922" s="2" t="s">
        <v>913</v>
      </c>
      <c r="C922" s="2"/>
      <c r="D922" s="2" t="s">
        <v>11</v>
      </c>
      <c r="E922" s="2">
        <v>10.0</v>
      </c>
      <c r="F922" s="2" t="s">
        <v>12</v>
      </c>
      <c r="G922" s="2"/>
      <c r="H922" s="2"/>
      <c r="I922" s="2"/>
    </row>
    <row r="923">
      <c r="A923" s="1" t="s">
        <v>922</v>
      </c>
      <c r="B923" s="2" t="s">
        <v>913</v>
      </c>
      <c r="C923" s="2"/>
      <c r="D923" s="2" t="s">
        <v>11</v>
      </c>
      <c r="E923" s="2">
        <v>10.0</v>
      </c>
      <c r="F923" s="2" t="s">
        <v>12</v>
      </c>
      <c r="G923" s="2"/>
      <c r="H923" s="2"/>
      <c r="I923" s="2"/>
    </row>
    <row r="924">
      <c r="A924" s="1" t="s">
        <v>923</v>
      </c>
      <c r="B924" s="2" t="s">
        <v>913</v>
      </c>
      <c r="C924" s="2"/>
      <c r="D924" s="2" t="s">
        <v>11</v>
      </c>
      <c r="E924" s="2">
        <v>10.0</v>
      </c>
      <c r="F924" s="2" t="s">
        <v>12</v>
      </c>
      <c r="G924" s="2"/>
      <c r="H924" s="2"/>
      <c r="I924" s="2"/>
    </row>
    <row r="925">
      <c r="A925" s="1" t="s">
        <v>924</v>
      </c>
      <c r="B925" s="2" t="s">
        <v>913</v>
      </c>
      <c r="C925" s="2"/>
      <c r="D925" s="2" t="s">
        <v>11</v>
      </c>
      <c r="E925" s="2">
        <v>10.0</v>
      </c>
      <c r="F925" s="2" t="s">
        <v>12</v>
      </c>
      <c r="G925" s="2"/>
      <c r="H925" s="2"/>
      <c r="I925" s="2"/>
    </row>
    <row r="926">
      <c r="A926" s="1" t="s">
        <v>925</v>
      </c>
      <c r="B926" s="2" t="s">
        <v>913</v>
      </c>
      <c r="C926" s="2"/>
      <c r="D926" s="2" t="s">
        <v>11</v>
      </c>
      <c r="E926" s="2">
        <v>10.0</v>
      </c>
      <c r="F926" s="2" t="s">
        <v>12</v>
      </c>
      <c r="G926" s="2"/>
      <c r="H926" s="2"/>
      <c r="I926" s="2"/>
    </row>
    <row r="927">
      <c r="A927" s="2" t="s">
        <v>926</v>
      </c>
      <c r="B927" s="2" t="s">
        <v>913</v>
      </c>
      <c r="C927" s="2"/>
      <c r="D927" s="2" t="s">
        <v>11</v>
      </c>
      <c r="E927" s="2">
        <v>10.0</v>
      </c>
      <c r="F927" s="2" t="s">
        <v>12</v>
      </c>
      <c r="G927" s="2"/>
      <c r="H927" s="2"/>
      <c r="I927" s="2"/>
    </row>
    <row r="928">
      <c r="A928" s="2" t="s">
        <v>927</v>
      </c>
      <c r="B928" s="2" t="s">
        <v>913</v>
      </c>
      <c r="C928" s="1"/>
      <c r="D928" s="2"/>
      <c r="E928" s="2"/>
      <c r="F928" s="2"/>
      <c r="G928" s="2"/>
      <c r="H928" s="2"/>
      <c r="I928" s="2"/>
    </row>
    <row r="929">
      <c r="A929" s="1" t="s">
        <v>928</v>
      </c>
      <c r="B929" s="2" t="s">
        <v>913</v>
      </c>
      <c r="C929" s="2"/>
      <c r="D929" s="1" t="s">
        <v>11</v>
      </c>
      <c r="E929" s="2">
        <v>4.0</v>
      </c>
      <c r="F929" s="2" t="s">
        <v>12</v>
      </c>
      <c r="G929" s="2"/>
      <c r="H929" s="2"/>
      <c r="I929" s="2"/>
    </row>
    <row r="930">
      <c r="A930" s="1" t="s">
        <v>929</v>
      </c>
      <c r="B930" s="2" t="s">
        <v>913</v>
      </c>
      <c r="C930" s="2"/>
      <c r="D930" s="1" t="s">
        <v>11</v>
      </c>
      <c r="E930" s="2">
        <v>4.0</v>
      </c>
      <c r="F930" s="2" t="s">
        <v>12</v>
      </c>
      <c r="G930" s="2"/>
      <c r="H930" s="2"/>
      <c r="I930" s="2"/>
    </row>
    <row r="931">
      <c r="A931" s="1" t="s">
        <v>930</v>
      </c>
      <c r="B931" s="2" t="s">
        <v>913</v>
      </c>
      <c r="C931" s="2"/>
      <c r="D931" s="2" t="s">
        <v>11</v>
      </c>
      <c r="E931" s="2">
        <v>2.0</v>
      </c>
      <c r="F931" s="2" t="s">
        <v>12</v>
      </c>
      <c r="G931" s="2"/>
      <c r="H931" s="2"/>
      <c r="I931" s="2"/>
    </row>
    <row r="932">
      <c r="A932" s="1" t="s">
        <v>931</v>
      </c>
      <c r="B932" s="2" t="s">
        <v>913</v>
      </c>
      <c r="C932" s="2"/>
      <c r="D932" s="2" t="s">
        <v>11</v>
      </c>
      <c r="E932" s="2">
        <v>10.0</v>
      </c>
      <c r="F932" s="2" t="s">
        <v>12</v>
      </c>
      <c r="G932" s="2"/>
      <c r="H932" s="2"/>
      <c r="I932" s="2"/>
    </row>
    <row r="933">
      <c r="A933" s="1" t="s">
        <v>932</v>
      </c>
      <c r="B933" s="2" t="s">
        <v>913</v>
      </c>
      <c r="C933" s="2"/>
      <c r="D933" s="2" t="s">
        <v>11</v>
      </c>
      <c r="E933" s="2">
        <v>10.0</v>
      </c>
      <c r="F933" s="2" t="s">
        <v>12</v>
      </c>
      <c r="G933" s="2"/>
      <c r="H933" s="2"/>
      <c r="I933" s="2"/>
    </row>
    <row r="934">
      <c r="A934" s="1" t="s">
        <v>933</v>
      </c>
      <c r="B934" s="2" t="s">
        <v>913</v>
      </c>
      <c r="C934" s="2"/>
      <c r="D934" s="2" t="s">
        <v>11</v>
      </c>
      <c r="E934" s="2">
        <v>10.0</v>
      </c>
      <c r="F934" s="2" t="s">
        <v>12</v>
      </c>
      <c r="G934" s="2"/>
      <c r="H934" s="2"/>
      <c r="I934" s="2"/>
    </row>
    <row r="935">
      <c r="A935" s="2" t="s">
        <v>934</v>
      </c>
      <c r="B935" s="2" t="s">
        <v>913</v>
      </c>
      <c r="C935" s="2"/>
      <c r="D935" s="2" t="s">
        <v>11</v>
      </c>
      <c r="E935" s="2">
        <v>10.0</v>
      </c>
      <c r="F935" s="2" t="s">
        <v>12</v>
      </c>
      <c r="G935" s="2"/>
      <c r="H935" s="2"/>
      <c r="I935" s="2"/>
    </row>
    <row r="936">
      <c r="A936" s="2" t="s">
        <v>935</v>
      </c>
      <c r="B936" s="2" t="s">
        <v>913</v>
      </c>
      <c r="C936" s="2"/>
      <c r="D936" s="2" t="s">
        <v>11</v>
      </c>
      <c r="E936" s="2">
        <v>10.0</v>
      </c>
      <c r="F936" s="2" t="s">
        <v>12</v>
      </c>
      <c r="G936" s="2"/>
      <c r="H936" s="2"/>
      <c r="I936" s="2"/>
    </row>
    <row r="937">
      <c r="A937" s="2" t="s">
        <v>936</v>
      </c>
      <c r="B937" s="2" t="s">
        <v>913</v>
      </c>
      <c r="C937" s="2"/>
      <c r="D937" s="2" t="s">
        <v>11</v>
      </c>
      <c r="E937" s="2">
        <v>10.0</v>
      </c>
      <c r="F937" s="2" t="s">
        <v>12</v>
      </c>
      <c r="G937" s="2"/>
      <c r="H937" s="2"/>
      <c r="I937" s="2"/>
    </row>
    <row r="938">
      <c r="A938" s="1" t="s">
        <v>937</v>
      </c>
      <c r="B938" s="2" t="s">
        <v>913</v>
      </c>
      <c r="C938" s="1"/>
      <c r="D938" s="2"/>
      <c r="E938" s="2"/>
      <c r="F938" s="2"/>
      <c r="G938" s="2"/>
      <c r="H938" s="2"/>
      <c r="I938" s="2"/>
    </row>
    <row r="939">
      <c r="A939" s="1" t="s">
        <v>938</v>
      </c>
      <c r="B939" s="2" t="s">
        <v>913</v>
      </c>
      <c r="C939" s="1"/>
      <c r="D939" s="2"/>
      <c r="E939" s="2"/>
      <c r="F939" s="2"/>
      <c r="G939" s="2"/>
      <c r="H939" s="2"/>
      <c r="I939" s="2"/>
    </row>
    <row r="940">
      <c r="A940" s="1" t="s">
        <v>939</v>
      </c>
      <c r="B940" s="2" t="s">
        <v>913</v>
      </c>
      <c r="C940" s="2"/>
      <c r="D940" s="2" t="s">
        <v>37</v>
      </c>
      <c r="E940" s="2">
        <v>10.0</v>
      </c>
      <c r="F940" s="2" t="s">
        <v>12</v>
      </c>
      <c r="G940" s="2"/>
      <c r="H940" s="2"/>
      <c r="I940" s="2"/>
    </row>
    <row r="941">
      <c r="A941" s="1" t="s">
        <v>940</v>
      </c>
      <c r="B941" s="2" t="s">
        <v>913</v>
      </c>
      <c r="C941" s="2"/>
      <c r="D941" s="2" t="s">
        <v>37</v>
      </c>
      <c r="E941" s="2">
        <v>10.0</v>
      </c>
      <c r="F941" s="2" t="s">
        <v>12</v>
      </c>
      <c r="G941" s="2"/>
      <c r="H941" s="2"/>
      <c r="I941" s="2"/>
    </row>
    <row r="942">
      <c r="A942" s="1" t="s">
        <v>941</v>
      </c>
      <c r="B942" s="2" t="s">
        <v>913</v>
      </c>
      <c r="C942" s="2"/>
      <c r="D942" s="2" t="s">
        <v>37</v>
      </c>
      <c r="E942" s="2">
        <v>10.0</v>
      </c>
      <c r="F942" s="2" t="s">
        <v>12</v>
      </c>
      <c r="G942" s="2"/>
      <c r="H942" s="2"/>
      <c r="I942" s="2"/>
    </row>
    <row r="943">
      <c r="A943" s="1" t="s">
        <v>942</v>
      </c>
      <c r="B943" s="2" t="s">
        <v>913</v>
      </c>
      <c r="C943" s="2"/>
      <c r="D943" s="2" t="s">
        <v>11</v>
      </c>
      <c r="E943" s="2">
        <v>10.0</v>
      </c>
      <c r="F943" s="2" t="s">
        <v>12</v>
      </c>
      <c r="G943" s="2"/>
      <c r="H943" s="2"/>
      <c r="I943" s="2"/>
    </row>
    <row r="944">
      <c r="A944" s="1" t="s">
        <v>943</v>
      </c>
      <c r="B944" s="2" t="s">
        <v>913</v>
      </c>
      <c r="C944" s="2"/>
      <c r="D944" s="2" t="s">
        <v>11</v>
      </c>
      <c r="E944" s="2">
        <v>10.0</v>
      </c>
      <c r="F944" s="2" t="s">
        <v>12</v>
      </c>
      <c r="G944" s="2"/>
      <c r="H944" s="2"/>
      <c r="I944" s="2"/>
    </row>
    <row r="945">
      <c r="A945" s="1" t="s">
        <v>944</v>
      </c>
      <c r="B945" s="2" t="s">
        <v>913</v>
      </c>
      <c r="C945" s="2"/>
      <c r="D945" s="2" t="s">
        <v>11</v>
      </c>
      <c r="E945" s="2">
        <v>10.0</v>
      </c>
      <c r="F945" s="2" t="s">
        <v>12</v>
      </c>
      <c r="G945" s="2"/>
      <c r="H945" s="2"/>
      <c r="I945" s="2"/>
    </row>
    <row r="946">
      <c r="A946" s="1" t="s">
        <v>945</v>
      </c>
      <c r="B946" s="2" t="s">
        <v>913</v>
      </c>
      <c r="C946" s="2"/>
      <c r="D946" s="2" t="s">
        <v>11</v>
      </c>
      <c r="E946" s="2">
        <v>10.0</v>
      </c>
      <c r="F946" s="2" t="s">
        <v>12</v>
      </c>
      <c r="G946" s="2"/>
      <c r="H946" s="2"/>
      <c r="I946" s="2"/>
    </row>
    <row r="947">
      <c r="A947" s="1" t="s">
        <v>946</v>
      </c>
      <c r="B947" s="2" t="s">
        <v>913</v>
      </c>
      <c r="C947" s="2"/>
      <c r="D947" s="2" t="s">
        <v>11</v>
      </c>
      <c r="E947" s="2">
        <v>10.0</v>
      </c>
      <c r="F947" s="2" t="s">
        <v>12</v>
      </c>
      <c r="G947" s="2"/>
      <c r="H947" s="2"/>
      <c r="I947" s="2"/>
    </row>
    <row r="948">
      <c r="A948" s="2" t="s">
        <v>947</v>
      </c>
      <c r="B948" s="2" t="s">
        <v>913</v>
      </c>
      <c r="C948" s="1"/>
      <c r="D948" s="2"/>
      <c r="E948" s="2"/>
      <c r="F948" s="2"/>
      <c r="G948" s="2"/>
      <c r="H948" s="2"/>
      <c r="I948" s="2"/>
    </row>
    <row r="949">
      <c r="A949" s="2" t="s">
        <v>948</v>
      </c>
      <c r="B949" s="2" t="s">
        <v>913</v>
      </c>
      <c r="C949" s="2"/>
      <c r="D949" s="2" t="s">
        <v>11</v>
      </c>
      <c r="E949" s="2">
        <v>15.0</v>
      </c>
      <c r="F949" s="2" t="s">
        <v>12</v>
      </c>
      <c r="G949" s="2"/>
      <c r="H949" s="2"/>
      <c r="I949" s="2"/>
    </row>
    <row r="950">
      <c r="A950" s="2" t="s">
        <v>949</v>
      </c>
      <c r="B950" s="2" t="s">
        <v>913</v>
      </c>
      <c r="C950" s="2"/>
      <c r="D950" s="2" t="s">
        <v>37</v>
      </c>
      <c r="E950" s="2">
        <v>15.0</v>
      </c>
      <c r="F950" s="2" t="s">
        <v>12</v>
      </c>
      <c r="G950" s="2"/>
      <c r="H950" s="2"/>
      <c r="I950" s="2"/>
    </row>
    <row r="951">
      <c r="A951" s="1" t="s">
        <v>950</v>
      </c>
      <c r="B951" s="2" t="s">
        <v>913</v>
      </c>
      <c r="C951" s="2"/>
      <c r="D951" s="2" t="s">
        <v>11</v>
      </c>
      <c r="E951" s="2">
        <v>10.0</v>
      </c>
      <c r="F951" s="2" t="s">
        <v>12</v>
      </c>
      <c r="G951" s="2"/>
      <c r="H951" s="2"/>
      <c r="I951" s="2"/>
    </row>
    <row r="952">
      <c r="A952" s="1" t="s">
        <v>951</v>
      </c>
      <c r="B952" s="2" t="s">
        <v>913</v>
      </c>
      <c r="C952" s="2"/>
      <c r="D952" s="2" t="s">
        <v>11</v>
      </c>
      <c r="E952" s="2">
        <v>10.0</v>
      </c>
      <c r="F952" s="2" t="s">
        <v>12</v>
      </c>
      <c r="G952" s="2"/>
      <c r="H952" s="2"/>
      <c r="I952" s="2"/>
    </row>
    <row r="953">
      <c r="A953" s="1" t="s">
        <v>952</v>
      </c>
      <c r="B953" s="2" t="s">
        <v>913</v>
      </c>
      <c r="C953" s="2"/>
      <c r="D953" s="2" t="s">
        <v>11</v>
      </c>
      <c r="E953" s="2">
        <v>10.0</v>
      </c>
      <c r="F953" s="2" t="s">
        <v>12</v>
      </c>
      <c r="G953" s="2"/>
      <c r="H953" s="2"/>
      <c r="I953" s="2"/>
    </row>
    <row r="954">
      <c r="A954" s="1" t="s">
        <v>953</v>
      </c>
      <c r="B954" s="2" t="s">
        <v>913</v>
      </c>
      <c r="C954" s="2"/>
      <c r="D954" s="2" t="s">
        <v>11</v>
      </c>
      <c r="E954" s="2">
        <v>10.0</v>
      </c>
      <c r="F954" s="2" t="s">
        <v>12</v>
      </c>
      <c r="G954" s="2"/>
      <c r="H954" s="2"/>
      <c r="I954" s="2"/>
    </row>
    <row r="955">
      <c r="A955" s="1" t="s">
        <v>954</v>
      </c>
      <c r="B955" s="2" t="s">
        <v>913</v>
      </c>
      <c r="C955" s="2"/>
      <c r="D955" s="2" t="s">
        <v>11</v>
      </c>
      <c r="E955" s="2">
        <v>10.0</v>
      </c>
      <c r="F955" s="2" t="s">
        <v>12</v>
      </c>
      <c r="G955" s="2"/>
      <c r="H955" s="2"/>
      <c r="I955" s="2"/>
    </row>
    <row r="956">
      <c r="A956" s="1" t="s">
        <v>955</v>
      </c>
      <c r="B956" s="2" t="s">
        <v>913</v>
      </c>
      <c r="C956" s="2"/>
      <c r="D956" s="2" t="s">
        <v>11</v>
      </c>
      <c r="E956" s="2">
        <v>10.0</v>
      </c>
      <c r="F956" s="2" t="s">
        <v>12</v>
      </c>
      <c r="G956" s="2"/>
      <c r="H956" s="2"/>
      <c r="I956" s="2"/>
    </row>
    <row r="957">
      <c r="A957" s="1" t="s">
        <v>956</v>
      </c>
      <c r="B957" s="2" t="s">
        <v>913</v>
      </c>
      <c r="C957" s="2"/>
      <c r="D957" s="2" t="s">
        <v>11</v>
      </c>
      <c r="E957" s="2">
        <v>10.0</v>
      </c>
      <c r="F957" s="2" t="s">
        <v>12</v>
      </c>
      <c r="G957" s="2"/>
      <c r="H957" s="2"/>
      <c r="I957" s="2"/>
    </row>
    <row r="958">
      <c r="A958" s="1" t="s">
        <v>957</v>
      </c>
      <c r="B958" s="2" t="s">
        <v>913</v>
      </c>
      <c r="C958" s="2"/>
      <c r="D958" s="2" t="s">
        <v>11</v>
      </c>
      <c r="E958" s="2">
        <v>10.0</v>
      </c>
      <c r="F958" s="2" t="s">
        <v>12</v>
      </c>
      <c r="G958" s="2"/>
      <c r="H958" s="2"/>
      <c r="I958" s="2"/>
    </row>
    <row r="959">
      <c r="A959" s="2" t="s">
        <v>958</v>
      </c>
      <c r="B959" s="2" t="s">
        <v>913</v>
      </c>
      <c r="C959" s="2"/>
      <c r="D959" s="2" t="s">
        <v>11</v>
      </c>
      <c r="E959" s="2">
        <v>10.0</v>
      </c>
      <c r="F959" s="2" t="s">
        <v>12</v>
      </c>
      <c r="G959" s="2"/>
      <c r="H959" s="2"/>
      <c r="I959" s="2"/>
    </row>
    <row r="960">
      <c r="A960" s="2" t="s">
        <v>959</v>
      </c>
      <c r="B960" s="2" t="s">
        <v>913</v>
      </c>
      <c r="C960" s="2"/>
      <c r="D960" s="2" t="s">
        <v>11</v>
      </c>
      <c r="E960" s="2">
        <v>10.0</v>
      </c>
      <c r="F960" s="2" t="s">
        <v>12</v>
      </c>
      <c r="G960" s="2"/>
      <c r="H960" s="2"/>
      <c r="I960" s="2"/>
    </row>
    <row r="961">
      <c r="A961" s="1" t="s">
        <v>960</v>
      </c>
      <c r="B961" s="2" t="s">
        <v>913</v>
      </c>
      <c r="C961" s="2"/>
      <c r="D961" s="2" t="s">
        <v>11</v>
      </c>
      <c r="E961" s="2">
        <v>10.0</v>
      </c>
      <c r="F961" s="2" t="s">
        <v>12</v>
      </c>
      <c r="G961" s="2"/>
      <c r="H961" s="2"/>
      <c r="I961" s="2"/>
    </row>
    <row r="962">
      <c r="A962" s="1" t="s">
        <v>961</v>
      </c>
      <c r="B962" s="2" t="s">
        <v>913</v>
      </c>
      <c r="C962" s="2"/>
      <c r="D962" s="2" t="s">
        <v>11</v>
      </c>
      <c r="E962" s="2">
        <v>10.0</v>
      </c>
      <c r="F962" s="2" t="s">
        <v>12</v>
      </c>
      <c r="G962" s="2"/>
      <c r="H962" s="2"/>
      <c r="I962" s="2"/>
    </row>
    <row r="963">
      <c r="A963" s="1" t="s">
        <v>962</v>
      </c>
      <c r="B963" s="2" t="s">
        <v>913</v>
      </c>
      <c r="C963" s="2"/>
      <c r="D963" s="2" t="s">
        <v>11</v>
      </c>
      <c r="E963" s="2">
        <v>10.0</v>
      </c>
      <c r="F963" s="2" t="s">
        <v>12</v>
      </c>
      <c r="G963" s="2"/>
      <c r="H963" s="2"/>
      <c r="I963" s="2"/>
    </row>
    <row r="964">
      <c r="A964" s="1" t="s">
        <v>963</v>
      </c>
      <c r="B964" s="2" t="s">
        <v>913</v>
      </c>
      <c r="C964" s="2"/>
      <c r="D964" s="2" t="s">
        <v>11</v>
      </c>
      <c r="E964" s="2">
        <v>10.0</v>
      </c>
      <c r="F964" s="2" t="s">
        <v>12</v>
      </c>
      <c r="G964" s="2"/>
      <c r="H964" s="2"/>
      <c r="I964" s="2"/>
    </row>
    <row r="965">
      <c r="A965" s="1" t="s">
        <v>964</v>
      </c>
      <c r="B965" s="2" t="s">
        <v>913</v>
      </c>
      <c r="C965" s="2"/>
      <c r="D965" s="2" t="s">
        <v>11</v>
      </c>
      <c r="E965" s="2">
        <v>10.0</v>
      </c>
      <c r="F965" s="2" t="s">
        <v>12</v>
      </c>
      <c r="G965" s="2"/>
      <c r="H965" s="2"/>
      <c r="I965" s="2"/>
    </row>
    <row r="966">
      <c r="A966" s="1" t="s">
        <v>965</v>
      </c>
      <c r="B966" s="2" t="s">
        <v>913</v>
      </c>
      <c r="C966" s="2"/>
      <c r="D966" s="2" t="s">
        <v>11</v>
      </c>
      <c r="E966" s="2">
        <v>10.0</v>
      </c>
      <c r="F966" s="2" t="s">
        <v>12</v>
      </c>
      <c r="G966" s="2"/>
      <c r="H966" s="2"/>
      <c r="I966" s="2"/>
    </row>
    <row r="967">
      <c r="A967" s="1" t="s">
        <v>966</v>
      </c>
      <c r="B967" s="2" t="s">
        <v>913</v>
      </c>
      <c r="C967" s="2"/>
      <c r="D967" s="2" t="s">
        <v>11</v>
      </c>
      <c r="E967" s="2">
        <v>10.0</v>
      </c>
      <c r="F967" s="2" t="s">
        <v>12</v>
      </c>
      <c r="G967" s="2"/>
      <c r="H967" s="2"/>
      <c r="I967" s="2"/>
    </row>
    <row r="968">
      <c r="A968" s="2" t="s">
        <v>967</v>
      </c>
      <c r="B968" s="2" t="s">
        <v>913</v>
      </c>
      <c r="C968" s="2"/>
      <c r="D968" s="2" t="s">
        <v>11</v>
      </c>
      <c r="E968" s="2">
        <v>10.0</v>
      </c>
      <c r="F968" s="2" t="s">
        <v>12</v>
      </c>
      <c r="G968" s="2"/>
      <c r="H968" s="2"/>
      <c r="I968" s="2"/>
    </row>
    <row r="969">
      <c r="A969" s="1" t="s">
        <v>968</v>
      </c>
      <c r="B969" s="2" t="s">
        <v>913</v>
      </c>
      <c r="C969" s="2"/>
      <c r="D969" s="2" t="s">
        <v>11</v>
      </c>
      <c r="E969" s="2">
        <v>10.0</v>
      </c>
      <c r="F969" s="2" t="s">
        <v>12</v>
      </c>
      <c r="G969" s="2"/>
      <c r="H969" s="2"/>
      <c r="I969" s="2"/>
    </row>
    <row r="970">
      <c r="A970" s="1" t="s">
        <v>969</v>
      </c>
      <c r="B970" s="2" t="s">
        <v>913</v>
      </c>
      <c r="C970" s="2"/>
      <c r="D970" s="2" t="s">
        <v>11</v>
      </c>
      <c r="E970" s="2">
        <v>10.0</v>
      </c>
      <c r="F970" s="2" t="s">
        <v>12</v>
      </c>
      <c r="G970" s="2"/>
      <c r="H970" s="2"/>
      <c r="I970" s="2"/>
    </row>
    <row r="971">
      <c r="A971" s="1" t="s">
        <v>970</v>
      </c>
      <c r="B971" s="2" t="s">
        <v>913</v>
      </c>
      <c r="C971" s="2"/>
      <c r="D971" s="2" t="s">
        <v>11</v>
      </c>
      <c r="E971" s="2">
        <v>10.0</v>
      </c>
      <c r="F971" s="2" t="s">
        <v>12</v>
      </c>
      <c r="G971" s="2"/>
      <c r="H971" s="2"/>
      <c r="I971" s="2"/>
    </row>
    <row r="972">
      <c r="A972" s="2" t="s">
        <v>971</v>
      </c>
      <c r="B972" s="2" t="s">
        <v>913</v>
      </c>
      <c r="C972" s="2"/>
      <c r="D972" s="2" t="s">
        <v>11</v>
      </c>
      <c r="E972" s="2">
        <v>10.0</v>
      </c>
      <c r="F972" s="2" t="s">
        <v>12</v>
      </c>
      <c r="G972" s="2"/>
      <c r="H972" s="2"/>
      <c r="I972" s="2"/>
    </row>
    <row r="973">
      <c r="A973" s="1" t="s">
        <v>972</v>
      </c>
      <c r="B973" s="2" t="s">
        <v>913</v>
      </c>
      <c r="C973" s="2"/>
      <c r="D973" s="2" t="s">
        <v>37</v>
      </c>
      <c r="E973" s="2">
        <v>10.0</v>
      </c>
      <c r="F973" s="2" t="s">
        <v>12</v>
      </c>
      <c r="G973" s="2"/>
      <c r="H973" s="2"/>
      <c r="I973" s="2"/>
    </row>
    <row r="974">
      <c r="A974" s="1" t="s">
        <v>973</v>
      </c>
      <c r="B974" s="2" t="s">
        <v>913</v>
      </c>
      <c r="C974" s="2"/>
      <c r="D974" s="2" t="s">
        <v>37</v>
      </c>
      <c r="E974" s="2">
        <v>10.0</v>
      </c>
      <c r="F974" s="2" t="s">
        <v>12</v>
      </c>
      <c r="G974" s="2"/>
      <c r="H974" s="2"/>
      <c r="I974" s="2"/>
    </row>
    <row r="975">
      <c r="A975" s="1" t="s">
        <v>974</v>
      </c>
      <c r="B975" s="2" t="s">
        <v>913</v>
      </c>
      <c r="C975" s="2"/>
      <c r="D975" s="2" t="s">
        <v>11</v>
      </c>
      <c r="E975" s="2">
        <v>10.0</v>
      </c>
      <c r="F975" s="2" t="s">
        <v>12</v>
      </c>
      <c r="G975" s="2"/>
      <c r="H975" s="2"/>
      <c r="I975" s="2"/>
    </row>
    <row r="976">
      <c r="A976" s="1" t="s">
        <v>975</v>
      </c>
      <c r="B976" s="2" t="s">
        <v>913</v>
      </c>
      <c r="C976" s="2"/>
      <c r="D976" s="2" t="s">
        <v>11</v>
      </c>
      <c r="E976" s="2">
        <v>10.0</v>
      </c>
      <c r="F976" s="2" t="s">
        <v>12</v>
      </c>
      <c r="G976" s="2"/>
      <c r="H976" s="2"/>
      <c r="I976" s="2"/>
    </row>
    <row r="977">
      <c r="A977" s="1" t="s">
        <v>976</v>
      </c>
      <c r="B977" s="2" t="s">
        <v>913</v>
      </c>
      <c r="C977" s="2"/>
      <c r="D977" s="2" t="s">
        <v>11</v>
      </c>
      <c r="E977" s="2">
        <v>10.0</v>
      </c>
      <c r="F977" s="2" t="s">
        <v>12</v>
      </c>
      <c r="G977" s="2"/>
      <c r="H977" s="2"/>
      <c r="I977" s="2"/>
    </row>
    <row r="978">
      <c r="A978" s="1" t="s">
        <v>977</v>
      </c>
      <c r="B978" s="2" t="s">
        <v>913</v>
      </c>
      <c r="C978" s="2"/>
      <c r="D978" s="2" t="s">
        <v>11</v>
      </c>
      <c r="E978" s="2">
        <v>10.0</v>
      </c>
      <c r="F978" s="2" t="s">
        <v>12</v>
      </c>
      <c r="G978" s="2"/>
      <c r="H978" s="2"/>
      <c r="I978" s="2"/>
    </row>
    <row r="979">
      <c r="A979" s="1" t="s">
        <v>978</v>
      </c>
      <c r="B979" s="2" t="s">
        <v>913</v>
      </c>
      <c r="C979" s="2"/>
      <c r="D979" s="2" t="s">
        <v>11</v>
      </c>
      <c r="E979" s="2">
        <v>10.0</v>
      </c>
      <c r="F979" s="2" t="s">
        <v>12</v>
      </c>
      <c r="G979" s="2"/>
      <c r="H979" s="2"/>
      <c r="I979" s="2"/>
    </row>
    <row r="980">
      <c r="A980" s="1" t="s">
        <v>979</v>
      </c>
      <c r="B980" s="2" t="s">
        <v>913</v>
      </c>
      <c r="C980" s="2"/>
      <c r="D980" s="2" t="s">
        <v>11</v>
      </c>
      <c r="E980" s="2">
        <v>10.0</v>
      </c>
      <c r="F980" s="2" t="s">
        <v>12</v>
      </c>
      <c r="G980" s="2"/>
      <c r="H980" s="2"/>
      <c r="I980" s="2"/>
    </row>
    <row r="981">
      <c r="A981" s="1" t="s">
        <v>980</v>
      </c>
      <c r="B981" s="2" t="s">
        <v>913</v>
      </c>
      <c r="C981" s="2"/>
      <c r="D981" s="2" t="s">
        <v>11</v>
      </c>
      <c r="E981" s="2">
        <v>10.0</v>
      </c>
      <c r="F981" s="2" t="s">
        <v>12</v>
      </c>
      <c r="G981" s="2"/>
      <c r="H981" s="2"/>
      <c r="I981" s="2"/>
    </row>
    <row r="982">
      <c r="A982" s="1" t="s">
        <v>981</v>
      </c>
      <c r="B982" s="2" t="s">
        <v>913</v>
      </c>
      <c r="C982" s="2"/>
      <c r="D982" s="2" t="s">
        <v>11</v>
      </c>
      <c r="E982" s="2">
        <v>10.0</v>
      </c>
      <c r="F982" s="2" t="s">
        <v>12</v>
      </c>
      <c r="G982" s="2"/>
      <c r="H982" s="2"/>
      <c r="I982" s="2"/>
    </row>
    <row r="983">
      <c r="A983" s="1" t="s">
        <v>982</v>
      </c>
      <c r="B983" s="2" t="s">
        <v>913</v>
      </c>
      <c r="C983" s="2"/>
      <c r="D983" s="2" t="s">
        <v>11</v>
      </c>
      <c r="E983" s="2">
        <v>10.0</v>
      </c>
      <c r="F983" s="2" t="s">
        <v>12</v>
      </c>
      <c r="G983" s="2"/>
      <c r="H983" s="2"/>
      <c r="I983" s="2"/>
    </row>
    <row r="984">
      <c r="A984" s="2" t="s">
        <v>983</v>
      </c>
      <c r="B984" s="2" t="s">
        <v>984</v>
      </c>
      <c r="C984" s="1"/>
      <c r="D984" s="2"/>
      <c r="E984" s="2"/>
      <c r="F984" s="2"/>
      <c r="G984" s="2"/>
      <c r="H984" s="2"/>
      <c r="I984" s="2"/>
    </row>
    <row r="985">
      <c r="A985" s="1" t="s">
        <v>985</v>
      </c>
      <c r="B985" s="2" t="s">
        <v>986</v>
      </c>
      <c r="C985" s="2"/>
      <c r="D985" s="2" t="s">
        <v>11</v>
      </c>
      <c r="E985" s="2">
        <v>10.0</v>
      </c>
      <c r="F985" s="2" t="s">
        <v>12</v>
      </c>
      <c r="G985" s="2"/>
      <c r="H985" s="2"/>
      <c r="I985" s="2"/>
    </row>
    <row r="986">
      <c r="A986" s="2" t="s">
        <v>987</v>
      </c>
      <c r="B986" s="2" t="s">
        <v>986</v>
      </c>
      <c r="C986" s="2"/>
      <c r="D986" s="2" t="s">
        <v>11</v>
      </c>
      <c r="E986" s="2">
        <v>10.0</v>
      </c>
      <c r="F986" s="2" t="s">
        <v>12</v>
      </c>
      <c r="G986" s="2"/>
      <c r="H986" s="2"/>
      <c r="I986" s="2"/>
    </row>
    <row r="987">
      <c r="A987" s="2" t="s">
        <v>988</v>
      </c>
      <c r="B987" s="2" t="s">
        <v>986</v>
      </c>
      <c r="C987" s="2"/>
      <c r="D987" s="2" t="s">
        <v>11</v>
      </c>
      <c r="E987" s="2"/>
      <c r="F987" s="2"/>
      <c r="G987" s="2"/>
      <c r="H987" s="2"/>
      <c r="I987" s="2"/>
    </row>
    <row r="988">
      <c r="A988" s="1" t="s">
        <v>989</v>
      </c>
      <c r="B988" s="2" t="s">
        <v>695</v>
      </c>
      <c r="C988" s="2"/>
      <c r="D988" s="2" t="s">
        <v>73</v>
      </c>
      <c r="E988" s="2">
        <v>1.0</v>
      </c>
      <c r="F988" s="2" t="s">
        <v>74</v>
      </c>
      <c r="G988" s="2"/>
      <c r="H988" s="2"/>
      <c r="I988" s="2"/>
    </row>
    <row r="989">
      <c r="A989" s="1" t="s">
        <v>990</v>
      </c>
      <c r="B989" s="2" t="s">
        <v>695</v>
      </c>
      <c r="C989" s="2"/>
      <c r="D989" s="2" t="s">
        <v>73</v>
      </c>
      <c r="E989" s="2">
        <v>1.0</v>
      </c>
      <c r="F989" s="2" t="s">
        <v>74</v>
      </c>
      <c r="G989" s="2"/>
      <c r="H989" s="2"/>
      <c r="I989" s="2"/>
    </row>
    <row r="990">
      <c r="A990" s="1" t="s">
        <v>991</v>
      </c>
      <c r="B990" s="2" t="s">
        <v>695</v>
      </c>
      <c r="C990" s="1"/>
      <c r="D990" s="2"/>
      <c r="E990" s="2"/>
      <c r="F990" s="2"/>
      <c r="G990" s="2"/>
      <c r="H990" s="2"/>
      <c r="I990" s="2"/>
    </row>
    <row r="991">
      <c r="A991" s="2" t="s">
        <v>992</v>
      </c>
      <c r="B991" s="2" t="s">
        <v>695</v>
      </c>
      <c r="C991" s="1"/>
      <c r="D991" s="2"/>
      <c r="E991" s="2"/>
      <c r="F991" s="2"/>
      <c r="G991" s="2"/>
      <c r="H991" s="2"/>
      <c r="I991" s="2"/>
    </row>
    <row r="992">
      <c r="A992" s="1" t="s">
        <v>993</v>
      </c>
      <c r="B992" s="2" t="s">
        <v>695</v>
      </c>
      <c r="C992" s="1"/>
      <c r="D992" s="2"/>
      <c r="E992" s="2"/>
      <c r="F992" s="2"/>
      <c r="G992" s="2"/>
      <c r="H992" s="2"/>
      <c r="I992" s="2"/>
    </row>
    <row r="993">
      <c r="A993" s="1" t="s">
        <v>994</v>
      </c>
      <c r="B993" s="2" t="s">
        <v>695</v>
      </c>
      <c r="C993" s="2"/>
      <c r="D993" s="2" t="s">
        <v>73</v>
      </c>
      <c r="E993" s="2">
        <v>1.0</v>
      </c>
      <c r="F993" s="2" t="s">
        <v>74</v>
      </c>
      <c r="G993" s="2"/>
      <c r="H993" s="2"/>
      <c r="I993" s="2"/>
    </row>
    <row r="994">
      <c r="A994" s="1" t="s">
        <v>995</v>
      </c>
      <c r="B994" s="2" t="s">
        <v>996</v>
      </c>
      <c r="C994" s="2"/>
      <c r="D994" s="2" t="s">
        <v>11</v>
      </c>
      <c r="E994" s="2">
        <v>10.0</v>
      </c>
      <c r="F994" s="2" t="s">
        <v>12</v>
      </c>
      <c r="G994" s="2"/>
      <c r="H994" s="2"/>
      <c r="I994" s="2"/>
    </row>
    <row r="995">
      <c r="A995" s="1" t="s">
        <v>997</v>
      </c>
      <c r="B995" s="2" t="s">
        <v>996</v>
      </c>
      <c r="C995" s="2"/>
      <c r="D995" s="2" t="s">
        <v>11</v>
      </c>
      <c r="E995" s="2">
        <v>5.0</v>
      </c>
      <c r="F995" s="2" t="s">
        <v>12</v>
      </c>
      <c r="G995" s="2"/>
      <c r="H995" s="2"/>
      <c r="I995" s="2"/>
    </row>
    <row r="996">
      <c r="A996" s="1" t="s">
        <v>998</v>
      </c>
      <c r="B996" s="2" t="s">
        <v>996</v>
      </c>
      <c r="C996" s="2"/>
      <c r="D996" s="2" t="s">
        <v>11</v>
      </c>
      <c r="E996" s="2">
        <v>5.0</v>
      </c>
      <c r="F996" s="2" t="s">
        <v>12</v>
      </c>
      <c r="G996" s="2"/>
      <c r="H996" s="2"/>
      <c r="I996" s="2"/>
    </row>
    <row r="997">
      <c r="A997" s="2" t="s">
        <v>999</v>
      </c>
      <c r="B997" s="2" t="s">
        <v>996</v>
      </c>
      <c r="C997" s="1"/>
      <c r="D997" s="2"/>
      <c r="E997" s="2"/>
      <c r="F997" s="2"/>
      <c r="G997" s="2"/>
      <c r="H997" s="2"/>
      <c r="I997" s="2"/>
    </row>
    <row r="998">
      <c r="A998" s="2" t="s">
        <v>1000</v>
      </c>
      <c r="B998" s="2" t="s">
        <v>996</v>
      </c>
      <c r="C998" s="1"/>
      <c r="D998" s="2"/>
      <c r="E998" s="2"/>
      <c r="F998" s="2"/>
      <c r="G998" s="2"/>
      <c r="H998" s="2"/>
      <c r="I998" s="2"/>
    </row>
    <row r="999">
      <c r="A999" s="2" t="s">
        <v>1001</v>
      </c>
      <c r="B999" s="2" t="s">
        <v>996</v>
      </c>
      <c r="C999" s="2"/>
      <c r="D999" s="2" t="s">
        <v>11</v>
      </c>
      <c r="E999" s="2">
        <v>10.0</v>
      </c>
      <c r="F999" s="2" t="s">
        <v>12</v>
      </c>
      <c r="G999" s="2"/>
      <c r="H999" s="2"/>
      <c r="I999" s="2"/>
    </row>
    <row r="1000">
      <c r="A1000" s="1" t="s">
        <v>1002</v>
      </c>
      <c r="B1000" s="2" t="s">
        <v>996</v>
      </c>
      <c r="C1000" s="2"/>
      <c r="D1000" s="2" t="s">
        <v>11</v>
      </c>
      <c r="E1000" s="2"/>
      <c r="F1000" s="2"/>
      <c r="G1000" s="2"/>
      <c r="H1000" s="2"/>
      <c r="I1000" s="2"/>
    </row>
    <row r="1001">
      <c r="A1001" s="1" t="s">
        <v>1003</v>
      </c>
      <c r="B1001" s="2" t="s">
        <v>996</v>
      </c>
      <c r="C1001" s="2"/>
      <c r="D1001" s="2" t="s">
        <v>11</v>
      </c>
      <c r="E1001" s="2"/>
      <c r="F1001" s="2"/>
      <c r="G1001" s="2"/>
      <c r="H1001" s="2"/>
      <c r="I1001" s="2"/>
    </row>
    <row r="1002">
      <c r="A1002" s="2" t="s">
        <v>1004</v>
      </c>
      <c r="B1002" s="2" t="s">
        <v>996</v>
      </c>
      <c r="C1002" s="1"/>
      <c r="D1002" s="2"/>
      <c r="E1002" s="2"/>
      <c r="F1002" s="2"/>
      <c r="G1002" s="2"/>
      <c r="H1002" s="2"/>
      <c r="I1002" s="2"/>
    </row>
    <row r="1003">
      <c r="A1003" s="2" t="s">
        <v>1005</v>
      </c>
      <c r="B1003" s="2" t="s">
        <v>996</v>
      </c>
      <c r="C1003" s="1"/>
      <c r="D1003" s="2"/>
      <c r="E1003" s="2"/>
      <c r="F1003" s="2"/>
      <c r="G1003" s="2"/>
      <c r="H1003" s="2"/>
      <c r="I1003" s="2"/>
    </row>
    <row r="1004">
      <c r="A1004" s="2" t="s">
        <v>1006</v>
      </c>
      <c r="B1004" s="2" t="s">
        <v>996</v>
      </c>
      <c r="C1004" s="1"/>
      <c r="D1004" s="2"/>
      <c r="E1004" s="2"/>
      <c r="F1004" s="2"/>
      <c r="G1004" s="2"/>
      <c r="H1004" s="2"/>
      <c r="I1004" s="2"/>
    </row>
    <row r="1005">
      <c r="A1005" s="2" t="s">
        <v>1007</v>
      </c>
      <c r="B1005" s="2" t="s">
        <v>996</v>
      </c>
      <c r="C1005" s="1"/>
      <c r="D1005" s="2"/>
      <c r="E1005" s="2"/>
      <c r="F1005" s="2"/>
      <c r="G1005" s="2"/>
      <c r="H1005" s="2"/>
      <c r="I1005" s="2"/>
    </row>
    <row r="1006">
      <c r="A1006" s="2" t="s">
        <v>1008</v>
      </c>
      <c r="B1006" s="2" t="s">
        <v>996</v>
      </c>
      <c r="C1006" s="1"/>
      <c r="D1006" s="2"/>
      <c r="E1006" s="2"/>
      <c r="F1006" s="2"/>
      <c r="G1006" s="2"/>
      <c r="H1006" s="2"/>
      <c r="I1006" s="2"/>
    </row>
    <row r="1007">
      <c r="A1007" s="2" t="s">
        <v>1009</v>
      </c>
      <c r="B1007" s="2" t="s">
        <v>996</v>
      </c>
      <c r="C1007" s="1"/>
      <c r="D1007" s="2"/>
      <c r="E1007" s="2"/>
      <c r="F1007" s="2"/>
      <c r="G1007" s="2"/>
      <c r="H1007" s="2"/>
      <c r="I1007" s="2"/>
    </row>
    <row r="1008">
      <c r="A1008" s="1" t="s">
        <v>1010</v>
      </c>
      <c r="B1008" s="2" t="s">
        <v>996</v>
      </c>
      <c r="C1008" s="2"/>
      <c r="D1008" s="2" t="s">
        <v>11</v>
      </c>
      <c r="E1008" s="2">
        <v>10.0</v>
      </c>
      <c r="F1008" s="2" t="s">
        <v>12</v>
      </c>
      <c r="G1008" s="2"/>
      <c r="H1008" s="2"/>
      <c r="I1008" s="2"/>
    </row>
    <row r="1009">
      <c r="A1009" s="2" t="s">
        <v>1011</v>
      </c>
      <c r="B1009" s="2" t="s">
        <v>996</v>
      </c>
      <c r="C1009" s="1"/>
      <c r="D1009" s="2"/>
      <c r="E1009" s="2"/>
      <c r="F1009" s="2"/>
      <c r="G1009" s="2"/>
      <c r="H1009" s="2"/>
      <c r="I1009" s="2"/>
    </row>
    <row r="1010">
      <c r="A1010" s="2" t="s">
        <v>1012</v>
      </c>
      <c r="B1010" s="2" t="s">
        <v>996</v>
      </c>
      <c r="C1010" s="2"/>
      <c r="D1010" s="2" t="s">
        <v>11</v>
      </c>
      <c r="E1010" s="2">
        <v>15.0</v>
      </c>
      <c r="F1010" s="2" t="s">
        <v>12</v>
      </c>
      <c r="G1010" s="2"/>
      <c r="H1010" s="2"/>
      <c r="I1010" s="2"/>
    </row>
    <row r="1011">
      <c r="A1011" s="1" t="s">
        <v>1013</v>
      </c>
      <c r="B1011" s="2" t="s">
        <v>996</v>
      </c>
      <c r="C1011" s="2"/>
      <c r="D1011" s="2" t="s">
        <v>37</v>
      </c>
      <c r="E1011" s="2">
        <v>10.0</v>
      </c>
      <c r="F1011" s="2" t="s">
        <v>12</v>
      </c>
      <c r="G1011" s="2"/>
      <c r="H1011" s="2"/>
      <c r="I1011" s="2"/>
    </row>
    <row r="1012">
      <c r="A1012" s="1" t="s">
        <v>1014</v>
      </c>
      <c r="B1012" s="2" t="s">
        <v>996</v>
      </c>
      <c r="C1012" s="2"/>
      <c r="D1012" s="2" t="s">
        <v>37</v>
      </c>
      <c r="E1012" s="2">
        <v>10.0</v>
      </c>
      <c r="F1012" s="2" t="s">
        <v>12</v>
      </c>
      <c r="G1012" s="2"/>
      <c r="H1012" s="2"/>
      <c r="I1012" s="2"/>
    </row>
    <row r="1013">
      <c r="A1013" s="1" t="s">
        <v>1015</v>
      </c>
      <c r="B1013" s="2" t="s">
        <v>996</v>
      </c>
      <c r="C1013" s="2"/>
      <c r="D1013" s="2" t="s">
        <v>11</v>
      </c>
      <c r="E1013" s="2">
        <v>1.0</v>
      </c>
      <c r="F1013" s="2" t="s">
        <v>12</v>
      </c>
      <c r="G1013" s="2"/>
      <c r="H1013" s="2"/>
      <c r="I1013" s="2"/>
    </row>
    <row r="1014">
      <c r="A1014" s="1" t="s">
        <v>1016</v>
      </c>
      <c r="B1014" s="2" t="s">
        <v>996</v>
      </c>
      <c r="C1014" s="2"/>
      <c r="D1014" s="1" t="s">
        <v>11</v>
      </c>
      <c r="E1014" s="2">
        <v>4.0</v>
      </c>
      <c r="F1014" s="2" t="s">
        <v>12</v>
      </c>
      <c r="G1014" s="2"/>
      <c r="H1014" s="2"/>
      <c r="I1014" s="2"/>
    </row>
    <row r="1015">
      <c r="A1015" s="1" t="s">
        <v>1017</v>
      </c>
      <c r="B1015" s="2" t="s">
        <v>996</v>
      </c>
      <c r="C1015" s="2"/>
      <c r="D1015" s="1" t="s">
        <v>11</v>
      </c>
      <c r="E1015" s="2">
        <v>4.0</v>
      </c>
      <c r="F1015" s="2" t="s">
        <v>12</v>
      </c>
      <c r="G1015" s="2"/>
      <c r="H1015" s="2"/>
      <c r="I1015" s="2"/>
    </row>
    <row r="1016">
      <c r="A1016" s="2" t="s">
        <v>1018</v>
      </c>
      <c r="B1016" s="2" t="s">
        <v>996</v>
      </c>
      <c r="C1016" s="1"/>
      <c r="D1016" s="2"/>
      <c r="E1016" s="2"/>
      <c r="F1016" s="2"/>
      <c r="G1016" s="2"/>
      <c r="H1016" s="2"/>
      <c r="I1016" s="2"/>
    </row>
    <row r="1017">
      <c r="A1017" s="2" t="s">
        <v>1019</v>
      </c>
      <c r="B1017" s="2" t="s">
        <v>996</v>
      </c>
      <c r="C1017" s="1"/>
      <c r="D1017" s="2"/>
      <c r="E1017" s="2"/>
      <c r="F1017" s="2"/>
      <c r="G1017" s="2"/>
      <c r="H1017" s="2"/>
      <c r="I1017" s="2"/>
    </row>
    <row r="1018">
      <c r="A1018" s="2" t="s">
        <v>1020</v>
      </c>
      <c r="B1018" s="2" t="s">
        <v>996</v>
      </c>
      <c r="C1018" s="2"/>
      <c r="D1018" s="2" t="s">
        <v>11</v>
      </c>
      <c r="E1018" s="2">
        <v>20.0</v>
      </c>
      <c r="F1018" s="2" t="s">
        <v>12</v>
      </c>
      <c r="G1018" s="2"/>
      <c r="H1018" s="2"/>
      <c r="I1018" s="2"/>
    </row>
    <row r="1019">
      <c r="A1019" s="2" t="s">
        <v>1021</v>
      </c>
      <c r="B1019" s="2" t="s">
        <v>996</v>
      </c>
      <c r="C1019" s="1"/>
      <c r="D1019" s="2"/>
      <c r="E1019" s="2"/>
      <c r="F1019" s="2"/>
      <c r="G1019" s="2"/>
      <c r="H1019" s="2"/>
      <c r="I1019" s="2"/>
    </row>
    <row r="1020">
      <c r="A1020" s="1" t="s">
        <v>1022</v>
      </c>
      <c r="B1020" s="2" t="s">
        <v>996</v>
      </c>
      <c r="C1020" s="2"/>
      <c r="D1020" s="2" t="s">
        <v>1023</v>
      </c>
      <c r="E1020" s="2">
        <v>4.0</v>
      </c>
      <c r="F1020" s="2"/>
      <c r="G1020" s="2"/>
      <c r="H1020" s="2"/>
      <c r="I1020" s="2"/>
    </row>
    <row r="1021">
      <c r="A1021" s="2" t="s">
        <v>1024</v>
      </c>
      <c r="B1021" s="2" t="s">
        <v>996</v>
      </c>
      <c r="C1021" s="2"/>
      <c r="D1021" s="2" t="s">
        <v>1023</v>
      </c>
      <c r="E1021" s="2">
        <v>4.0</v>
      </c>
      <c r="F1021" s="2"/>
      <c r="G1021" s="2"/>
      <c r="H1021" s="2"/>
      <c r="I1021" s="2"/>
    </row>
    <row r="1022">
      <c r="A1022" s="2" t="s">
        <v>1025</v>
      </c>
      <c r="B1022" s="2" t="s">
        <v>996</v>
      </c>
      <c r="C1022" s="1"/>
      <c r="D1022" s="2"/>
      <c r="E1022" s="2"/>
      <c r="F1022" s="2"/>
      <c r="G1022" s="2"/>
      <c r="H1022" s="2"/>
      <c r="I1022" s="2"/>
    </row>
    <row r="1023">
      <c r="A1023" s="1" t="s">
        <v>1026</v>
      </c>
      <c r="B1023" s="2" t="s">
        <v>996</v>
      </c>
      <c r="C1023" s="2"/>
      <c r="D1023" s="2" t="s">
        <v>11</v>
      </c>
      <c r="E1023" s="2">
        <v>10.0</v>
      </c>
      <c r="F1023" s="2" t="s">
        <v>12</v>
      </c>
      <c r="G1023" s="2"/>
      <c r="H1023" s="2"/>
      <c r="I1023" s="2"/>
    </row>
    <row r="1024">
      <c r="A1024" s="1" t="s">
        <v>1027</v>
      </c>
      <c r="B1024" s="2" t="s">
        <v>996</v>
      </c>
      <c r="C1024" s="2"/>
      <c r="D1024" s="2" t="s">
        <v>11</v>
      </c>
      <c r="E1024" s="2">
        <v>10.0</v>
      </c>
      <c r="F1024" s="2" t="s">
        <v>12</v>
      </c>
      <c r="G1024" s="2"/>
      <c r="H1024" s="2"/>
      <c r="I1024" s="2"/>
    </row>
    <row r="1025">
      <c r="A1025" s="1" t="s">
        <v>1028</v>
      </c>
      <c r="B1025" s="2" t="s">
        <v>996</v>
      </c>
      <c r="C1025" s="2"/>
      <c r="D1025" s="2" t="s">
        <v>11</v>
      </c>
      <c r="E1025" s="2">
        <v>6.0</v>
      </c>
      <c r="F1025" s="2" t="s">
        <v>12</v>
      </c>
      <c r="G1025" s="2"/>
      <c r="H1025" s="2"/>
      <c r="I1025" s="2"/>
    </row>
    <row r="1026">
      <c r="A1026" s="1" t="s">
        <v>1029</v>
      </c>
      <c r="B1026" s="2" t="s">
        <v>996</v>
      </c>
      <c r="C1026" s="1"/>
      <c r="D1026" s="2"/>
      <c r="E1026" s="2"/>
      <c r="F1026" s="2"/>
      <c r="G1026" s="2"/>
      <c r="H1026" s="2"/>
      <c r="I1026" s="2"/>
    </row>
    <row r="1027">
      <c r="A1027" s="1" t="s">
        <v>1030</v>
      </c>
      <c r="B1027" s="2" t="s">
        <v>996</v>
      </c>
      <c r="C1027" s="1"/>
      <c r="D1027" s="2"/>
      <c r="E1027" s="2"/>
      <c r="F1027" s="2"/>
      <c r="G1027" s="2"/>
      <c r="H1027" s="2"/>
      <c r="I1027" s="2"/>
    </row>
    <row r="1028">
      <c r="A1028" s="1" t="s">
        <v>1031</v>
      </c>
      <c r="B1028" s="2" t="s">
        <v>996</v>
      </c>
      <c r="C1028" s="2"/>
      <c r="D1028" s="2" t="s">
        <v>11</v>
      </c>
      <c r="E1028" s="2">
        <v>10.0</v>
      </c>
      <c r="F1028" s="2" t="s">
        <v>12</v>
      </c>
      <c r="G1028" s="2"/>
      <c r="H1028" s="2"/>
      <c r="I1028" s="2"/>
    </row>
    <row r="1029">
      <c r="A1029" s="1" t="s">
        <v>1032</v>
      </c>
      <c r="B1029" s="2" t="s">
        <v>996</v>
      </c>
      <c r="C1029" s="2"/>
      <c r="D1029" s="2" t="s">
        <v>11</v>
      </c>
      <c r="E1029" s="2">
        <v>10.0</v>
      </c>
      <c r="F1029" s="2" t="s">
        <v>12</v>
      </c>
      <c r="G1029" s="2"/>
      <c r="H1029" s="2"/>
      <c r="I1029" s="2"/>
    </row>
    <row r="1030">
      <c r="A1030" s="1" t="s">
        <v>1033</v>
      </c>
      <c r="B1030" s="2" t="s">
        <v>996</v>
      </c>
      <c r="C1030" s="2"/>
      <c r="D1030" s="2" t="s">
        <v>11</v>
      </c>
      <c r="E1030" s="2">
        <v>10.0</v>
      </c>
      <c r="F1030" s="2" t="s">
        <v>12</v>
      </c>
      <c r="G1030" s="2"/>
      <c r="H1030" s="2"/>
      <c r="I1030" s="2"/>
    </row>
    <row r="1031">
      <c r="A1031" s="1" t="s">
        <v>1034</v>
      </c>
      <c r="B1031" s="2" t="s">
        <v>996</v>
      </c>
      <c r="C1031" s="1"/>
      <c r="D1031" s="2"/>
      <c r="E1031" s="2"/>
      <c r="F1031" s="2"/>
      <c r="G1031" s="2"/>
      <c r="H1031" s="2"/>
      <c r="I1031" s="2"/>
    </row>
    <row r="1032">
      <c r="A1032" s="2" t="s">
        <v>1035</v>
      </c>
      <c r="B1032" s="2" t="s">
        <v>996</v>
      </c>
      <c r="C1032" s="1"/>
      <c r="D1032" s="2"/>
      <c r="E1032" s="2"/>
      <c r="F1032" s="2"/>
      <c r="G1032" s="2"/>
      <c r="H1032" s="2"/>
      <c r="I1032" s="2"/>
    </row>
    <row r="1033">
      <c r="A1033" s="2" t="s">
        <v>1036</v>
      </c>
      <c r="B1033" s="2" t="s">
        <v>996</v>
      </c>
      <c r="C1033" s="1"/>
      <c r="D1033" s="2"/>
      <c r="E1033" s="2"/>
      <c r="F1033" s="2"/>
      <c r="G1033" s="2"/>
      <c r="H1033" s="2"/>
      <c r="I1033" s="2"/>
    </row>
    <row r="1034">
      <c r="A1034" s="2" t="s">
        <v>1037</v>
      </c>
      <c r="B1034" s="2" t="s">
        <v>996</v>
      </c>
      <c r="C1034" s="1"/>
      <c r="D1034" s="2"/>
      <c r="E1034" s="2"/>
      <c r="F1034" s="2"/>
      <c r="G1034" s="2"/>
      <c r="H1034" s="2"/>
      <c r="I1034" s="2"/>
    </row>
    <row r="1035">
      <c r="A1035" s="2" t="s">
        <v>1038</v>
      </c>
      <c r="B1035" s="2" t="s">
        <v>996</v>
      </c>
      <c r="C1035" s="1"/>
      <c r="D1035" s="2"/>
      <c r="E1035" s="2"/>
      <c r="F1035" s="2"/>
      <c r="G1035" s="2"/>
      <c r="H1035" s="2"/>
      <c r="I1035" s="2"/>
    </row>
    <row r="1036">
      <c r="A1036" s="2" t="s">
        <v>1039</v>
      </c>
      <c r="B1036" s="2" t="s">
        <v>996</v>
      </c>
      <c r="C1036" s="2"/>
      <c r="D1036" s="2" t="s">
        <v>11</v>
      </c>
      <c r="E1036" s="2">
        <v>10.0</v>
      </c>
      <c r="F1036" s="2" t="s">
        <v>12</v>
      </c>
      <c r="G1036" s="2"/>
      <c r="H1036" s="2"/>
      <c r="I1036" s="2"/>
    </row>
    <row r="1037">
      <c r="A1037" s="2" t="s">
        <v>1040</v>
      </c>
      <c r="B1037" s="2" t="s">
        <v>996</v>
      </c>
      <c r="C1037" s="2"/>
      <c r="D1037" s="2" t="s">
        <v>11</v>
      </c>
      <c r="E1037" s="2">
        <v>10.0</v>
      </c>
      <c r="F1037" s="2" t="s">
        <v>12</v>
      </c>
      <c r="G1037" s="2"/>
      <c r="H1037" s="2"/>
      <c r="I1037" s="2"/>
    </row>
    <row r="1038">
      <c r="A1038" s="1" t="s">
        <v>1041</v>
      </c>
      <c r="B1038" s="2" t="s">
        <v>996</v>
      </c>
      <c r="C1038" s="1"/>
      <c r="D1038" s="2"/>
      <c r="E1038" s="2"/>
      <c r="F1038" s="2"/>
      <c r="G1038" s="2"/>
      <c r="H1038" s="2"/>
      <c r="I1038" s="2"/>
    </row>
    <row r="1039">
      <c r="A1039" s="1" t="s">
        <v>1042</v>
      </c>
      <c r="B1039" s="2" t="s">
        <v>996</v>
      </c>
      <c r="C1039" s="2"/>
      <c r="D1039" s="2" t="s">
        <v>11</v>
      </c>
      <c r="E1039" s="2">
        <v>10.0</v>
      </c>
      <c r="F1039" s="2" t="s">
        <v>12</v>
      </c>
      <c r="G1039" s="2"/>
      <c r="H1039" s="2"/>
      <c r="I1039" s="2"/>
    </row>
    <row r="1040">
      <c r="A1040" s="1" t="s">
        <v>1043</v>
      </c>
      <c r="B1040" s="2" t="s">
        <v>996</v>
      </c>
      <c r="C1040" s="2"/>
      <c r="D1040" s="2" t="s">
        <v>11</v>
      </c>
      <c r="E1040" s="2">
        <v>10.0</v>
      </c>
      <c r="F1040" s="2" t="s">
        <v>12</v>
      </c>
      <c r="G1040" s="2"/>
      <c r="H1040" s="2"/>
      <c r="I1040" s="2"/>
    </row>
    <row r="1041">
      <c r="A1041" s="1" t="s">
        <v>1044</v>
      </c>
      <c r="B1041" s="2" t="s">
        <v>996</v>
      </c>
      <c r="C1041" s="1"/>
      <c r="D1041" s="2"/>
      <c r="E1041" s="2"/>
      <c r="F1041" s="2"/>
      <c r="G1041" s="2"/>
      <c r="H1041" s="2"/>
      <c r="I1041" s="2"/>
    </row>
    <row r="1042">
      <c r="A1042" s="1" t="s">
        <v>1045</v>
      </c>
      <c r="B1042" s="2" t="s">
        <v>996</v>
      </c>
      <c r="C1042" s="2"/>
      <c r="D1042" s="2" t="s">
        <v>11</v>
      </c>
      <c r="E1042" s="2">
        <v>10.0</v>
      </c>
      <c r="F1042" s="2" t="s">
        <v>12</v>
      </c>
      <c r="G1042" s="2"/>
      <c r="H1042" s="2"/>
      <c r="I1042" s="2"/>
    </row>
    <row r="1043">
      <c r="A1043" s="1" t="s">
        <v>1046</v>
      </c>
      <c r="B1043" s="2" t="s">
        <v>996</v>
      </c>
      <c r="C1043" s="2"/>
      <c r="D1043" s="2" t="s">
        <v>11</v>
      </c>
      <c r="E1043" s="2">
        <v>10.0</v>
      </c>
      <c r="F1043" s="2" t="s">
        <v>12</v>
      </c>
      <c r="G1043" s="2"/>
      <c r="H1043" s="2"/>
      <c r="I1043" s="2"/>
    </row>
    <row r="1044">
      <c r="A1044" s="2" t="s">
        <v>1047</v>
      </c>
      <c r="B1044" s="2" t="s">
        <v>996</v>
      </c>
      <c r="C1044" s="2"/>
      <c r="D1044" s="2" t="s">
        <v>11</v>
      </c>
      <c r="E1044" s="2">
        <v>10.0</v>
      </c>
      <c r="F1044" s="2" t="s">
        <v>12</v>
      </c>
      <c r="G1044" s="2"/>
      <c r="H1044" s="2"/>
      <c r="I1044" s="2"/>
    </row>
    <row r="1045">
      <c r="A1045" s="1" t="s">
        <v>1048</v>
      </c>
      <c r="B1045" s="2" t="s">
        <v>996</v>
      </c>
      <c r="C1045" s="2"/>
      <c r="D1045" s="2" t="s">
        <v>11</v>
      </c>
      <c r="E1045" s="2">
        <v>10.0</v>
      </c>
      <c r="F1045" s="2" t="s">
        <v>12</v>
      </c>
      <c r="G1045" s="2"/>
      <c r="H1045" s="2"/>
      <c r="I1045" s="2"/>
    </row>
    <row r="1046">
      <c r="A1046" s="1" t="s">
        <v>1049</v>
      </c>
      <c r="B1046" s="2" t="s">
        <v>996</v>
      </c>
      <c r="C1046" s="2"/>
      <c r="D1046" s="2" t="s">
        <v>11</v>
      </c>
      <c r="E1046" s="2">
        <v>10.0</v>
      </c>
      <c r="F1046" s="2" t="s">
        <v>12</v>
      </c>
      <c r="G1046" s="2"/>
      <c r="H1046" s="2"/>
      <c r="I1046" s="2"/>
    </row>
    <row r="1047">
      <c r="A1047" s="1" t="s">
        <v>1050</v>
      </c>
      <c r="B1047" s="2" t="s">
        <v>996</v>
      </c>
      <c r="C1047" s="2"/>
      <c r="D1047" s="2" t="s">
        <v>11</v>
      </c>
      <c r="E1047" s="2">
        <v>10.0</v>
      </c>
      <c r="F1047" s="2" t="s">
        <v>12</v>
      </c>
      <c r="G1047" s="2"/>
      <c r="H1047" s="2"/>
      <c r="I1047" s="2"/>
    </row>
    <row r="1048">
      <c r="A1048" s="2" t="s">
        <v>1051</v>
      </c>
      <c r="B1048" s="2" t="s">
        <v>996</v>
      </c>
      <c r="C1048" s="1"/>
      <c r="D1048" s="2"/>
      <c r="E1048" s="2"/>
      <c r="F1048" s="2"/>
      <c r="G1048" s="2"/>
      <c r="H1048" s="2"/>
      <c r="I1048" s="2"/>
    </row>
    <row r="1049">
      <c r="A1049" s="1" t="s">
        <v>1052</v>
      </c>
      <c r="B1049" s="2" t="s">
        <v>996</v>
      </c>
      <c r="C1049" s="2"/>
      <c r="D1049" s="2" t="s">
        <v>11</v>
      </c>
      <c r="E1049" s="2">
        <v>15.0</v>
      </c>
      <c r="F1049" s="2" t="s">
        <v>12</v>
      </c>
      <c r="G1049" s="2"/>
      <c r="H1049" s="2"/>
      <c r="I1049" s="2"/>
    </row>
    <row r="1050">
      <c r="A1050" s="1" t="s">
        <v>1053</v>
      </c>
      <c r="B1050" s="2" t="s">
        <v>996</v>
      </c>
      <c r="C1050" s="2"/>
      <c r="D1050" s="2" t="s">
        <v>11</v>
      </c>
      <c r="E1050" s="2">
        <v>15.0</v>
      </c>
      <c r="F1050" s="2" t="s">
        <v>12</v>
      </c>
      <c r="G1050" s="2"/>
      <c r="H1050" s="2"/>
      <c r="I1050" s="2"/>
    </row>
    <row r="1051">
      <c r="A1051" s="2" t="s">
        <v>1054</v>
      </c>
      <c r="B1051" s="2" t="s">
        <v>996</v>
      </c>
      <c r="C1051" s="1"/>
      <c r="D1051" s="2"/>
      <c r="E1051" s="2"/>
      <c r="F1051" s="2"/>
      <c r="G1051" s="2"/>
      <c r="H1051" s="2"/>
      <c r="I1051" s="2"/>
    </row>
    <row r="1052">
      <c r="A1052" s="2" t="s">
        <v>1055</v>
      </c>
      <c r="B1052" s="2" t="s">
        <v>996</v>
      </c>
      <c r="C1052" s="2"/>
      <c r="D1052" s="2" t="s">
        <v>11</v>
      </c>
      <c r="E1052" s="2">
        <v>10.0</v>
      </c>
      <c r="F1052" s="2" t="s">
        <v>12</v>
      </c>
      <c r="G1052" s="2"/>
      <c r="H1052" s="2"/>
      <c r="I1052" s="2"/>
    </row>
    <row r="1053">
      <c r="A1053" s="2" t="s">
        <v>1056</v>
      </c>
      <c r="B1053" s="2" t="s">
        <v>996</v>
      </c>
      <c r="C1053" s="2"/>
      <c r="D1053" s="2" t="s">
        <v>11</v>
      </c>
      <c r="E1053" s="2">
        <v>10.0</v>
      </c>
      <c r="F1053" s="2" t="s">
        <v>12</v>
      </c>
      <c r="G1053" s="2"/>
      <c r="H1053" s="2"/>
      <c r="I1053" s="2"/>
    </row>
    <row r="1054">
      <c r="A1054" s="2" t="s">
        <v>1057</v>
      </c>
      <c r="B1054" s="2" t="s">
        <v>996</v>
      </c>
      <c r="C1054" s="1"/>
      <c r="D1054" s="2"/>
      <c r="E1054" s="2"/>
      <c r="F1054" s="2"/>
      <c r="G1054" s="2"/>
      <c r="H1054" s="2"/>
      <c r="I1054" s="2"/>
    </row>
    <row r="1055">
      <c r="A1055" s="2" t="s">
        <v>1058</v>
      </c>
      <c r="B1055" s="2" t="s">
        <v>996</v>
      </c>
      <c r="C1055" s="2"/>
      <c r="D1055" s="2" t="s">
        <v>11</v>
      </c>
      <c r="E1055" s="2">
        <v>10.0</v>
      </c>
      <c r="F1055" s="2" t="s">
        <v>12</v>
      </c>
      <c r="G1055" s="2"/>
      <c r="H1055" s="2"/>
      <c r="I1055" s="2"/>
    </row>
    <row r="1056">
      <c r="A1056" s="2" t="s">
        <v>1058</v>
      </c>
      <c r="B1056" s="2" t="s">
        <v>996</v>
      </c>
      <c r="C1056" s="2"/>
      <c r="D1056" s="2" t="s">
        <v>11</v>
      </c>
      <c r="E1056" s="2">
        <v>20.0</v>
      </c>
      <c r="F1056" s="2" t="s">
        <v>12</v>
      </c>
      <c r="G1056" s="2"/>
      <c r="H1056" s="2"/>
      <c r="I1056" s="2"/>
    </row>
    <row r="1057">
      <c r="A1057" s="2" t="s">
        <v>1059</v>
      </c>
      <c r="B1057" s="2" t="s">
        <v>996</v>
      </c>
      <c r="C1057" s="1"/>
      <c r="D1057" s="2"/>
      <c r="E1057" s="2"/>
      <c r="F1057" s="2"/>
      <c r="G1057" s="2"/>
      <c r="H1057" s="2"/>
      <c r="I1057" s="2"/>
    </row>
    <row r="1058">
      <c r="A1058" s="2" t="s">
        <v>1060</v>
      </c>
      <c r="B1058" s="2" t="s">
        <v>996</v>
      </c>
      <c r="C1058" s="2"/>
      <c r="D1058" s="2" t="s">
        <v>11</v>
      </c>
      <c r="E1058" s="2">
        <v>10.0</v>
      </c>
      <c r="F1058" s="2" t="s">
        <v>12</v>
      </c>
      <c r="G1058" s="2"/>
      <c r="H1058" s="2"/>
      <c r="I1058" s="2"/>
    </row>
    <row r="1059">
      <c r="A1059" s="2" t="s">
        <v>1061</v>
      </c>
      <c r="B1059" s="2" t="s">
        <v>996</v>
      </c>
      <c r="C1059" s="2"/>
      <c r="D1059" s="2" t="s">
        <v>11</v>
      </c>
      <c r="E1059" s="2"/>
      <c r="F1059" s="2"/>
      <c r="G1059" s="2"/>
      <c r="H1059" s="2"/>
      <c r="I1059" s="2"/>
    </row>
    <row r="1060">
      <c r="A1060" s="2" t="s">
        <v>1062</v>
      </c>
      <c r="B1060" s="2" t="s">
        <v>996</v>
      </c>
      <c r="C1060" s="2"/>
      <c r="D1060" s="1" t="s">
        <v>11</v>
      </c>
      <c r="E1060" s="2">
        <v>4.0</v>
      </c>
      <c r="F1060" s="2" t="s">
        <v>12</v>
      </c>
      <c r="G1060" s="2"/>
      <c r="H1060" s="2"/>
      <c r="I1060" s="2"/>
    </row>
    <row r="1061">
      <c r="A1061" s="2" t="s">
        <v>1063</v>
      </c>
      <c r="B1061" s="2" t="s">
        <v>996</v>
      </c>
      <c r="C1061" s="1"/>
      <c r="D1061" s="2"/>
      <c r="E1061" s="2"/>
      <c r="F1061" s="2"/>
      <c r="G1061" s="2"/>
      <c r="H1061" s="2"/>
      <c r="I1061" s="2"/>
    </row>
    <row r="1062">
      <c r="A1062" s="2" t="s">
        <v>1064</v>
      </c>
      <c r="B1062" s="2" t="s">
        <v>996</v>
      </c>
      <c r="C1062" s="1"/>
      <c r="D1062" s="2"/>
      <c r="E1062" s="2"/>
      <c r="F1062" s="2"/>
      <c r="G1062" s="2"/>
      <c r="H1062" s="2"/>
      <c r="I1062" s="2"/>
    </row>
    <row r="1063">
      <c r="A1063" s="2" t="s">
        <v>1065</v>
      </c>
      <c r="B1063" s="2" t="s">
        <v>996</v>
      </c>
      <c r="C1063" s="1"/>
      <c r="D1063" s="2"/>
      <c r="E1063" s="2"/>
      <c r="F1063" s="2"/>
      <c r="G1063" s="2"/>
      <c r="H1063" s="2"/>
      <c r="I1063" s="2"/>
    </row>
    <row r="1064">
      <c r="A1064" s="2" t="s">
        <v>1066</v>
      </c>
      <c r="B1064" s="2" t="s">
        <v>996</v>
      </c>
      <c r="C1064" s="1"/>
      <c r="D1064" s="2"/>
      <c r="E1064" s="2"/>
      <c r="F1064" s="2"/>
      <c r="G1064" s="2"/>
      <c r="H1064" s="2"/>
      <c r="I1064" s="2"/>
    </row>
    <row r="1065">
      <c r="A1065" s="2" t="s">
        <v>1067</v>
      </c>
      <c r="B1065" s="2" t="s">
        <v>996</v>
      </c>
      <c r="C1065" s="2"/>
      <c r="D1065" s="2" t="s">
        <v>11</v>
      </c>
      <c r="E1065" s="2">
        <v>10.0</v>
      </c>
      <c r="F1065" s="2" t="s">
        <v>12</v>
      </c>
      <c r="G1065" s="2"/>
      <c r="H1065" s="2"/>
      <c r="I1065" s="2"/>
    </row>
    <row r="1066">
      <c r="A1066" s="1" t="s">
        <v>1068</v>
      </c>
      <c r="B1066" s="2" t="s">
        <v>996</v>
      </c>
      <c r="C1066" s="1"/>
      <c r="D1066" s="2"/>
      <c r="E1066" s="2"/>
      <c r="F1066" s="2"/>
      <c r="G1066" s="2"/>
      <c r="H1066" s="2"/>
      <c r="I1066" s="2"/>
    </row>
    <row r="1067">
      <c r="A1067" s="1" t="s">
        <v>1069</v>
      </c>
      <c r="B1067" s="2" t="s">
        <v>1070</v>
      </c>
      <c r="C1067" s="2"/>
      <c r="D1067" s="2" t="s">
        <v>11</v>
      </c>
      <c r="E1067" s="2">
        <v>10.0</v>
      </c>
      <c r="F1067" s="2" t="s">
        <v>12</v>
      </c>
      <c r="G1067" s="2"/>
      <c r="H1067" s="2"/>
      <c r="I1067" s="2"/>
    </row>
    <row r="1068">
      <c r="A1068" s="1" t="s">
        <v>1071</v>
      </c>
      <c r="B1068" s="2" t="s">
        <v>1070</v>
      </c>
      <c r="C1068" s="1"/>
      <c r="D1068" s="2"/>
      <c r="E1068" s="2"/>
      <c r="F1068" s="2"/>
      <c r="G1068" s="2"/>
      <c r="H1068" s="2"/>
      <c r="I1068" s="2"/>
    </row>
    <row r="1069">
      <c r="A1069" s="1" t="s">
        <v>1072</v>
      </c>
      <c r="B1069" s="2" t="s">
        <v>1070</v>
      </c>
      <c r="C1069" s="2"/>
      <c r="D1069" s="2" t="s">
        <v>11</v>
      </c>
      <c r="E1069" s="2">
        <v>3.0</v>
      </c>
      <c r="F1069" s="2" t="s">
        <v>12</v>
      </c>
      <c r="G1069" s="2"/>
      <c r="H1069" s="2"/>
      <c r="I1069" s="2"/>
    </row>
    <row r="1070">
      <c r="A1070" s="1" t="s">
        <v>1072</v>
      </c>
      <c r="B1070" s="2" t="s">
        <v>1070</v>
      </c>
      <c r="C1070" s="2"/>
      <c r="D1070" s="2" t="s">
        <v>11</v>
      </c>
      <c r="E1070" s="2">
        <v>5.0</v>
      </c>
      <c r="F1070" s="2" t="s">
        <v>12</v>
      </c>
      <c r="G1070" s="2"/>
      <c r="H1070" s="2"/>
      <c r="I1070" s="2"/>
    </row>
    <row r="1071">
      <c r="A1071" s="1" t="s">
        <v>1073</v>
      </c>
      <c r="B1071" s="2" t="s">
        <v>1070</v>
      </c>
      <c r="C1071" s="2"/>
      <c r="D1071" s="2" t="s">
        <v>11</v>
      </c>
      <c r="E1071" s="2">
        <v>6.0</v>
      </c>
      <c r="F1071" s="2" t="s">
        <v>12</v>
      </c>
      <c r="G1071" s="2"/>
      <c r="H1071" s="2"/>
      <c r="I1071" s="2"/>
    </row>
    <row r="1072">
      <c r="A1072" s="1" t="s">
        <v>1074</v>
      </c>
      <c r="B1072" s="2" t="s">
        <v>1070</v>
      </c>
      <c r="C1072" s="2"/>
      <c r="D1072" s="2" t="s">
        <v>11</v>
      </c>
      <c r="E1072" s="2">
        <v>10.0</v>
      </c>
      <c r="F1072" s="2" t="s">
        <v>12</v>
      </c>
      <c r="G1072" s="2"/>
      <c r="H1072" s="2"/>
      <c r="I1072" s="2"/>
    </row>
    <row r="1073">
      <c r="A1073" s="1" t="s">
        <v>1075</v>
      </c>
      <c r="B1073" s="2" t="s">
        <v>1070</v>
      </c>
      <c r="C1073" s="2"/>
      <c r="D1073" s="2" t="s">
        <v>11</v>
      </c>
      <c r="E1073" s="2">
        <v>10.0</v>
      </c>
      <c r="F1073" s="2" t="s">
        <v>12</v>
      </c>
      <c r="G1073" s="2"/>
      <c r="H1073" s="2"/>
      <c r="I1073" s="2"/>
    </row>
    <row r="1074">
      <c r="A1074" s="2" t="s">
        <v>1076</v>
      </c>
      <c r="B1074" s="2" t="s">
        <v>1070</v>
      </c>
      <c r="C1074" s="1"/>
      <c r="D1074" s="2"/>
      <c r="E1074" s="2"/>
      <c r="F1074" s="2"/>
      <c r="G1074" s="2"/>
      <c r="H1074" s="2"/>
      <c r="I1074" s="2"/>
    </row>
    <row r="1075">
      <c r="A1075" s="2" t="s">
        <v>1077</v>
      </c>
      <c r="B1075" s="2" t="s">
        <v>1070</v>
      </c>
      <c r="C1075" s="1"/>
      <c r="D1075" s="2"/>
      <c r="E1075" s="2"/>
      <c r="F1075" s="2"/>
      <c r="G1075" s="2"/>
      <c r="H1075" s="2"/>
      <c r="I1075" s="2"/>
    </row>
    <row r="1076">
      <c r="A1076" s="1" t="s">
        <v>1078</v>
      </c>
      <c r="B1076" s="2" t="s">
        <v>1070</v>
      </c>
      <c r="C1076" s="2"/>
      <c r="D1076" s="2" t="s">
        <v>11</v>
      </c>
      <c r="E1076" s="2">
        <v>10.0</v>
      </c>
      <c r="F1076" s="2" t="s">
        <v>12</v>
      </c>
      <c r="G1076" s="2"/>
      <c r="H1076" s="2"/>
      <c r="I1076" s="2"/>
    </row>
    <row r="1077">
      <c r="A1077" s="1" t="s">
        <v>1079</v>
      </c>
      <c r="B1077" s="2" t="s">
        <v>1070</v>
      </c>
      <c r="C1077" s="2"/>
      <c r="D1077" s="2" t="s">
        <v>11</v>
      </c>
      <c r="E1077" s="2">
        <v>10.0</v>
      </c>
      <c r="F1077" s="2" t="s">
        <v>12</v>
      </c>
      <c r="G1077" s="2"/>
      <c r="H1077" s="2"/>
      <c r="I1077" s="2"/>
    </row>
    <row r="1078">
      <c r="A1078" s="1" t="s">
        <v>1080</v>
      </c>
      <c r="B1078" s="2" t="s">
        <v>1070</v>
      </c>
      <c r="C1078" s="2"/>
      <c r="D1078" s="2" t="s">
        <v>11</v>
      </c>
      <c r="E1078" s="2">
        <v>5.0</v>
      </c>
      <c r="F1078" s="2" t="s">
        <v>12</v>
      </c>
      <c r="G1078" s="2"/>
      <c r="H1078" s="2"/>
      <c r="I1078" s="2"/>
    </row>
    <row r="1079">
      <c r="A1079" s="2" t="s">
        <v>1081</v>
      </c>
      <c r="B1079" s="2" t="s">
        <v>1070</v>
      </c>
      <c r="C1079" s="1"/>
      <c r="D1079" s="2"/>
      <c r="E1079" s="2"/>
      <c r="F1079" s="2"/>
      <c r="G1079" s="2"/>
      <c r="H1079" s="2"/>
      <c r="I1079" s="2"/>
    </row>
    <row r="1080">
      <c r="A1080" s="2" t="s">
        <v>1082</v>
      </c>
      <c r="B1080" s="2" t="s">
        <v>1070</v>
      </c>
      <c r="C1080" s="2"/>
      <c r="D1080" s="2" t="s">
        <v>11</v>
      </c>
      <c r="E1080" s="2">
        <v>10.0</v>
      </c>
      <c r="F1080" s="2" t="s">
        <v>12</v>
      </c>
      <c r="G1080" s="2"/>
      <c r="H1080" s="2"/>
      <c r="I1080" s="2"/>
    </row>
    <row r="1081">
      <c r="A1081" s="2" t="s">
        <v>1083</v>
      </c>
      <c r="B1081" s="2" t="s">
        <v>1070</v>
      </c>
      <c r="C1081" s="2"/>
      <c r="D1081" s="2" t="s">
        <v>11</v>
      </c>
      <c r="E1081" s="2">
        <v>10.0</v>
      </c>
      <c r="F1081" s="2" t="s">
        <v>12</v>
      </c>
      <c r="G1081" s="2"/>
      <c r="H1081" s="2"/>
      <c r="I1081" s="2"/>
    </row>
    <row r="1082">
      <c r="A1082" s="2" t="s">
        <v>1084</v>
      </c>
      <c r="B1082" s="2" t="s">
        <v>1070</v>
      </c>
      <c r="C1082" s="2"/>
      <c r="D1082" s="2" t="s">
        <v>11</v>
      </c>
      <c r="E1082" s="2">
        <v>5.0</v>
      </c>
      <c r="F1082" s="2" t="s">
        <v>12</v>
      </c>
      <c r="G1082" s="2"/>
      <c r="H1082" s="2"/>
      <c r="I1082" s="2"/>
    </row>
    <row r="1083">
      <c r="A1083" s="2" t="s">
        <v>1085</v>
      </c>
      <c r="B1083" s="2" t="s">
        <v>1070</v>
      </c>
      <c r="C1083" s="2"/>
      <c r="D1083" s="2" t="s">
        <v>37</v>
      </c>
      <c r="E1083" s="2">
        <v>10.0</v>
      </c>
      <c r="F1083" s="2" t="s">
        <v>12</v>
      </c>
      <c r="G1083" s="2"/>
      <c r="H1083" s="2"/>
      <c r="I1083" s="2"/>
    </row>
    <row r="1084">
      <c r="A1084" s="2" t="s">
        <v>1086</v>
      </c>
      <c r="B1084" s="2" t="s">
        <v>1070</v>
      </c>
      <c r="C1084" s="2"/>
      <c r="D1084" s="2" t="s">
        <v>37</v>
      </c>
      <c r="E1084" s="2">
        <v>15.0</v>
      </c>
      <c r="F1084" s="2" t="s">
        <v>12</v>
      </c>
      <c r="G1084" s="2"/>
      <c r="H1084" s="2"/>
      <c r="I1084" s="2"/>
    </row>
    <row r="1085">
      <c r="A1085" s="2" t="s">
        <v>1087</v>
      </c>
      <c r="B1085" s="2" t="s">
        <v>1070</v>
      </c>
      <c r="C1085" s="2"/>
      <c r="D1085" s="2" t="s">
        <v>11</v>
      </c>
      <c r="E1085" s="2">
        <v>10.0</v>
      </c>
      <c r="F1085" s="2" t="s">
        <v>12</v>
      </c>
      <c r="G1085" s="2"/>
      <c r="H1085" s="2"/>
      <c r="I1085" s="2"/>
    </row>
    <row r="1086">
      <c r="A1086" s="1" t="s">
        <v>1088</v>
      </c>
      <c r="B1086" s="2" t="s">
        <v>1070</v>
      </c>
      <c r="C1086" s="2"/>
      <c r="D1086" s="2" t="s">
        <v>11</v>
      </c>
      <c r="E1086" s="2">
        <v>10.0</v>
      </c>
      <c r="F1086" s="2" t="s">
        <v>12</v>
      </c>
      <c r="G1086" s="2"/>
      <c r="H1086" s="2"/>
      <c r="I1086" s="2"/>
    </row>
    <row r="1087">
      <c r="A1087" s="1" t="s">
        <v>1089</v>
      </c>
      <c r="B1087" s="2" t="s">
        <v>1070</v>
      </c>
      <c r="C1087" s="2"/>
      <c r="D1087" s="2" t="s">
        <v>11</v>
      </c>
      <c r="E1087" s="2">
        <v>10.0</v>
      </c>
      <c r="F1087" s="2" t="s">
        <v>12</v>
      </c>
      <c r="G1087" s="2"/>
      <c r="H1087" s="2"/>
      <c r="I1087" s="2"/>
    </row>
    <row r="1088">
      <c r="A1088" s="1" t="s">
        <v>1090</v>
      </c>
      <c r="B1088" s="2" t="s">
        <v>1070</v>
      </c>
      <c r="C1088" s="2"/>
      <c r="D1088" s="2" t="s">
        <v>11</v>
      </c>
      <c r="E1088" s="2">
        <v>15.0</v>
      </c>
      <c r="F1088" s="2" t="s">
        <v>12</v>
      </c>
      <c r="G1088" s="2"/>
      <c r="H1088" s="2"/>
      <c r="I1088" s="2"/>
    </row>
    <row r="1089">
      <c r="A1089" s="2" t="s">
        <v>1091</v>
      </c>
      <c r="B1089" s="2" t="s">
        <v>1070</v>
      </c>
      <c r="C1089" s="2"/>
      <c r="D1089" s="2" t="s">
        <v>37</v>
      </c>
      <c r="E1089" s="2">
        <v>15.0</v>
      </c>
      <c r="F1089" s="2" t="s">
        <v>12</v>
      </c>
      <c r="G1089" s="2"/>
      <c r="H1089" s="2"/>
      <c r="I1089" s="2"/>
    </row>
    <row r="1090">
      <c r="A1090" s="2" t="s">
        <v>1092</v>
      </c>
      <c r="B1090" s="2" t="s">
        <v>1070</v>
      </c>
      <c r="C1090" s="1"/>
      <c r="D1090" s="2"/>
      <c r="E1090" s="2"/>
      <c r="F1090" s="2"/>
      <c r="G1090" s="2"/>
      <c r="H1090" s="2"/>
      <c r="I1090" s="2"/>
    </row>
    <row r="1091">
      <c r="A1091" s="2" t="s">
        <v>1093</v>
      </c>
      <c r="B1091" s="2" t="s">
        <v>1070</v>
      </c>
      <c r="C1091" s="2"/>
      <c r="D1091" s="2" t="s">
        <v>37</v>
      </c>
      <c r="E1091" s="2">
        <v>10.0</v>
      </c>
      <c r="F1091" s="2" t="s">
        <v>12</v>
      </c>
      <c r="G1091" s="2"/>
      <c r="H1091" s="2"/>
      <c r="I1091" s="2"/>
    </row>
    <row r="1092">
      <c r="A1092" s="2" t="s">
        <v>1094</v>
      </c>
      <c r="B1092" s="2" t="s">
        <v>1095</v>
      </c>
      <c r="C1092" s="2"/>
      <c r="D1092" s="2" t="s">
        <v>11</v>
      </c>
      <c r="E1092" s="2">
        <v>10.0</v>
      </c>
      <c r="F1092" s="2" t="s">
        <v>12</v>
      </c>
      <c r="G1092" s="2"/>
      <c r="H1092" s="2"/>
      <c r="I1092" s="2"/>
    </row>
    <row r="1093">
      <c r="A1093" s="2" t="s">
        <v>1096</v>
      </c>
      <c r="B1093" s="2" t="s">
        <v>1095</v>
      </c>
      <c r="C1093" s="1"/>
      <c r="D1093" s="2"/>
      <c r="E1093" s="2"/>
      <c r="F1093" s="2"/>
      <c r="G1093" s="2"/>
      <c r="H1093" s="2"/>
      <c r="I1093" s="2"/>
    </row>
    <row r="1094">
      <c r="A1094" s="2" t="s">
        <v>1097</v>
      </c>
      <c r="B1094" s="2" t="s">
        <v>1095</v>
      </c>
      <c r="C1094" s="1"/>
      <c r="D1094" s="2"/>
      <c r="E1094" s="2"/>
      <c r="F1094" s="2"/>
      <c r="G1094" s="2"/>
      <c r="H1094" s="2"/>
      <c r="I1094" s="2"/>
    </row>
    <row r="1095">
      <c r="A1095" s="2" t="s">
        <v>1098</v>
      </c>
      <c r="B1095" s="2" t="s">
        <v>1095</v>
      </c>
      <c r="C1095" s="2"/>
      <c r="D1095" s="2" t="s">
        <v>11</v>
      </c>
      <c r="E1095" s="2">
        <v>10.0</v>
      </c>
      <c r="F1095" s="2" t="s">
        <v>12</v>
      </c>
      <c r="G1095" s="2"/>
      <c r="H1095" s="2"/>
      <c r="I1095" s="2"/>
    </row>
    <row r="1096">
      <c r="A1096" s="1" t="s">
        <v>1099</v>
      </c>
      <c r="B1096" s="2" t="s">
        <v>1095</v>
      </c>
      <c r="C1096" s="2"/>
      <c r="D1096" s="2" t="s">
        <v>11</v>
      </c>
      <c r="E1096" s="2">
        <v>10.0</v>
      </c>
      <c r="F1096" s="2" t="s">
        <v>12</v>
      </c>
      <c r="G1096" s="2"/>
      <c r="H1096" s="2"/>
      <c r="I1096" s="2"/>
    </row>
    <row r="1097">
      <c r="A1097" s="1" t="s">
        <v>1100</v>
      </c>
      <c r="B1097" s="2" t="s">
        <v>1095</v>
      </c>
      <c r="C1097" s="1"/>
      <c r="D1097" s="2"/>
      <c r="E1097" s="2"/>
      <c r="F1097" s="2"/>
      <c r="G1097" s="2"/>
      <c r="H1097" s="2"/>
      <c r="I1097" s="2"/>
    </row>
    <row r="1098">
      <c r="A1098" s="1" t="s">
        <v>1101</v>
      </c>
      <c r="B1098" s="2" t="s">
        <v>1095</v>
      </c>
      <c r="C1098" s="1"/>
      <c r="D1098" s="2"/>
      <c r="E1098" s="2"/>
      <c r="F1098" s="2"/>
      <c r="G1098" s="2"/>
      <c r="H1098" s="2"/>
      <c r="I1098" s="2"/>
    </row>
    <row r="1099">
      <c r="A1099" s="2" t="s">
        <v>1102</v>
      </c>
      <c r="B1099" s="2" t="s">
        <v>1095</v>
      </c>
      <c r="C1099" s="1"/>
      <c r="D1099" s="2"/>
      <c r="E1099" s="2"/>
      <c r="F1099" s="2"/>
      <c r="G1099" s="2"/>
      <c r="H1099" s="2"/>
      <c r="I1099" s="2"/>
    </row>
    <row r="1100">
      <c r="A1100" s="2" t="s">
        <v>1103</v>
      </c>
      <c r="B1100" s="2" t="s">
        <v>1095</v>
      </c>
      <c r="C1100" s="1"/>
      <c r="D1100" s="2"/>
      <c r="E1100" s="2"/>
      <c r="F1100" s="2"/>
      <c r="G1100" s="2"/>
      <c r="H1100" s="2"/>
      <c r="I1100" s="2"/>
    </row>
    <row r="1101">
      <c r="A1101" s="1" t="s">
        <v>1104</v>
      </c>
      <c r="B1101" s="2" t="s">
        <v>1095</v>
      </c>
      <c r="C1101" s="2"/>
      <c r="D1101" s="2" t="s">
        <v>11</v>
      </c>
      <c r="E1101" s="2">
        <v>10.0</v>
      </c>
      <c r="F1101" s="2" t="s">
        <v>12</v>
      </c>
      <c r="G1101" s="2"/>
      <c r="H1101" s="2"/>
      <c r="I1101" s="2"/>
    </row>
    <row r="1102">
      <c r="A1102" s="1" t="s">
        <v>1105</v>
      </c>
      <c r="B1102" s="2" t="s">
        <v>1095</v>
      </c>
      <c r="C1102" s="2"/>
      <c r="D1102" s="2" t="s">
        <v>11</v>
      </c>
      <c r="E1102" s="2">
        <v>10.0</v>
      </c>
      <c r="F1102" s="2" t="s">
        <v>12</v>
      </c>
      <c r="G1102" s="2"/>
      <c r="H1102" s="2"/>
      <c r="I1102" s="2"/>
    </row>
    <row r="1103">
      <c r="A1103" s="2" t="s">
        <v>1106</v>
      </c>
      <c r="B1103" s="2" t="s">
        <v>1095</v>
      </c>
      <c r="C1103" s="1"/>
      <c r="D1103" s="2"/>
      <c r="E1103" s="2"/>
      <c r="F1103" s="2"/>
      <c r="G1103" s="2"/>
      <c r="H1103" s="2"/>
      <c r="I1103" s="2"/>
    </row>
    <row r="1104">
      <c r="A1104" s="2" t="s">
        <v>1107</v>
      </c>
      <c r="B1104" s="2" t="s">
        <v>1095</v>
      </c>
      <c r="C1104" s="1"/>
      <c r="D1104" s="2"/>
      <c r="E1104" s="2"/>
      <c r="F1104" s="2"/>
      <c r="G1104" s="2"/>
      <c r="H1104" s="2"/>
      <c r="I1104" s="2"/>
    </row>
    <row r="1105">
      <c r="A1105" s="2" t="s">
        <v>1108</v>
      </c>
      <c r="B1105" s="2" t="s">
        <v>1095</v>
      </c>
      <c r="C1105" s="2"/>
      <c r="D1105" s="2" t="s">
        <v>11</v>
      </c>
      <c r="E1105" s="2">
        <v>10.0</v>
      </c>
      <c r="F1105" s="2" t="s">
        <v>12</v>
      </c>
      <c r="G1105" s="2"/>
      <c r="H1105" s="2"/>
      <c r="I1105" s="2"/>
    </row>
    <row r="1106">
      <c r="A1106" s="2" t="s">
        <v>1109</v>
      </c>
      <c r="B1106" s="2" t="s">
        <v>1095</v>
      </c>
      <c r="C1106" s="1"/>
      <c r="D1106" s="2"/>
      <c r="E1106" s="2"/>
      <c r="F1106" s="2"/>
      <c r="G1106" s="2"/>
      <c r="H1106" s="2"/>
      <c r="I1106" s="2"/>
    </row>
    <row r="1107">
      <c r="A1107" s="2" t="s">
        <v>1110</v>
      </c>
      <c r="B1107" s="2" t="s">
        <v>1095</v>
      </c>
      <c r="C1107" s="2"/>
      <c r="D1107" s="2" t="s">
        <v>11</v>
      </c>
      <c r="E1107" s="2">
        <v>10.0</v>
      </c>
      <c r="F1107" s="2" t="s">
        <v>12</v>
      </c>
      <c r="G1107" s="2"/>
      <c r="H1107" s="2"/>
      <c r="I1107" s="2"/>
    </row>
    <row r="1108">
      <c r="A1108" s="1" t="s">
        <v>1111</v>
      </c>
      <c r="B1108" s="2" t="s">
        <v>1095</v>
      </c>
      <c r="C1108" s="2"/>
      <c r="D1108" s="2" t="s">
        <v>11</v>
      </c>
      <c r="E1108" s="2">
        <v>10.0</v>
      </c>
      <c r="F1108" s="2" t="s">
        <v>12</v>
      </c>
      <c r="G1108" s="2"/>
      <c r="H1108" s="2"/>
      <c r="I1108" s="2"/>
    </row>
    <row r="1109">
      <c r="A1109" s="1" t="s">
        <v>1112</v>
      </c>
      <c r="B1109" s="2" t="s">
        <v>1095</v>
      </c>
      <c r="C1109" s="2"/>
      <c r="D1109" s="2" t="s">
        <v>11</v>
      </c>
      <c r="E1109" s="2">
        <v>10.0</v>
      </c>
      <c r="F1109" s="2" t="s">
        <v>12</v>
      </c>
      <c r="G1109" s="2"/>
      <c r="H1109" s="2"/>
      <c r="I1109" s="2"/>
    </row>
    <row r="1110">
      <c r="A1110" s="2" t="s">
        <v>1113</v>
      </c>
      <c r="B1110" s="2" t="s">
        <v>1095</v>
      </c>
      <c r="C1110" s="1"/>
      <c r="D1110" s="2"/>
      <c r="E1110" s="2"/>
      <c r="F1110" s="2"/>
      <c r="G1110" s="2"/>
      <c r="H1110" s="2"/>
      <c r="I1110" s="2"/>
    </row>
    <row r="1111">
      <c r="A1111" s="2" t="s">
        <v>1114</v>
      </c>
      <c r="B1111" s="2" t="s">
        <v>1095</v>
      </c>
      <c r="C1111" s="2"/>
      <c r="D1111" s="2" t="s">
        <v>11</v>
      </c>
      <c r="E1111" s="2">
        <v>10.0</v>
      </c>
      <c r="F1111" s="2" t="s">
        <v>12</v>
      </c>
      <c r="G1111" s="2"/>
      <c r="H1111" s="2"/>
      <c r="I1111" s="2"/>
    </row>
    <row r="1112">
      <c r="A1112" s="2" t="s">
        <v>1115</v>
      </c>
      <c r="B1112" s="2" t="s">
        <v>1116</v>
      </c>
      <c r="C1112" s="1"/>
      <c r="D1112" s="2"/>
      <c r="E1112" s="2"/>
      <c r="F1112" s="2"/>
      <c r="G1112" s="2"/>
      <c r="H1112" s="2"/>
      <c r="I1112" s="2"/>
    </row>
    <row r="1113">
      <c r="A1113" s="2" t="s">
        <v>1117</v>
      </c>
      <c r="B1113" s="2" t="s">
        <v>1116</v>
      </c>
      <c r="C1113" s="2"/>
      <c r="D1113" s="2" t="s">
        <v>11</v>
      </c>
      <c r="E1113" s="2">
        <v>6.0</v>
      </c>
      <c r="F1113" s="2" t="s">
        <v>12</v>
      </c>
      <c r="G1113" s="2"/>
      <c r="H1113" s="2"/>
      <c r="I1113" s="2"/>
    </row>
    <row r="1114">
      <c r="A1114" s="2" t="s">
        <v>1118</v>
      </c>
      <c r="B1114" s="2" t="s">
        <v>1116</v>
      </c>
      <c r="C1114" s="2"/>
      <c r="D1114" s="2" t="s">
        <v>866</v>
      </c>
      <c r="E1114" s="2">
        <v>9.0</v>
      </c>
      <c r="F1114" s="2"/>
      <c r="G1114" s="2"/>
      <c r="H1114" s="2"/>
      <c r="I1114" s="2"/>
    </row>
    <row r="1115">
      <c r="A1115" s="2" t="s">
        <v>1119</v>
      </c>
      <c r="B1115" s="2" t="s">
        <v>1116</v>
      </c>
      <c r="C1115" s="2"/>
      <c r="D1115" s="2" t="s">
        <v>866</v>
      </c>
      <c r="E1115" s="2">
        <v>9.0</v>
      </c>
      <c r="F1115" s="2"/>
      <c r="G1115" s="2"/>
      <c r="H1115" s="2"/>
      <c r="I1115" s="2"/>
    </row>
    <row r="1116">
      <c r="A1116" s="2" t="s">
        <v>1120</v>
      </c>
      <c r="B1116" s="2" t="s">
        <v>1116</v>
      </c>
      <c r="C1116" s="2"/>
      <c r="D1116" s="2" t="s">
        <v>37</v>
      </c>
      <c r="E1116" s="2">
        <v>10.0</v>
      </c>
      <c r="F1116" s="2" t="s">
        <v>12</v>
      </c>
      <c r="G1116" s="2"/>
      <c r="H1116" s="2"/>
      <c r="I1116" s="2"/>
    </row>
    <row r="1117">
      <c r="A1117" s="1" t="s">
        <v>1121</v>
      </c>
      <c r="B1117" s="2" t="s">
        <v>1116</v>
      </c>
      <c r="C1117" s="2"/>
      <c r="D1117" s="2" t="s">
        <v>11</v>
      </c>
      <c r="E1117" s="2">
        <v>10.0</v>
      </c>
      <c r="F1117" s="2" t="s">
        <v>12</v>
      </c>
      <c r="G1117" s="2"/>
      <c r="H1117" s="2"/>
      <c r="I1117" s="2"/>
    </row>
    <row r="1118">
      <c r="A1118" s="2" t="s">
        <v>1122</v>
      </c>
      <c r="B1118" s="2" t="s">
        <v>1123</v>
      </c>
      <c r="C1118" s="1"/>
      <c r="D1118" s="1" t="s">
        <v>300</v>
      </c>
      <c r="E1118" s="1" t="s">
        <v>1124</v>
      </c>
      <c r="F1118" s="1" t="s">
        <v>302</v>
      </c>
      <c r="G1118" s="2"/>
      <c r="H1118" s="2"/>
      <c r="I1118" s="2"/>
    </row>
    <row r="1119">
      <c r="A1119" s="2" t="s">
        <v>1125</v>
      </c>
      <c r="B1119" s="2" t="s">
        <v>1123</v>
      </c>
      <c r="C1119" s="1"/>
      <c r="D1119" s="2"/>
      <c r="E1119" s="2"/>
      <c r="F1119" s="2"/>
      <c r="G1119" s="2"/>
      <c r="H1119" s="2"/>
      <c r="I1119" s="2"/>
    </row>
    <row r="1120">
      <c r="A1120" s="2" t="s">
        <v>1126</v>
      </c>
      <c r="B1120" s="2" t="s">
        <v>1123</v>
      </c>
      <c r="C1120" s="1"/>
      <c r="D1120" s="2"/>
      <c r="E1120" s="2"/>
      <c r="F1120" s="2"/>
      <c r="G1120" s="2"/>
      <c r="H1120" s="2"/>
      <c r="I1120" s="2"/>
    </row>
    <row r="1121">
      <c r="A1121" s="1" t="s">
        <v>1127</v>
      </c>
      <c r="B1121" s="2" t="s">
        <v>1123</v>
      </c>
      <c r="C1121" s="2"/>
      <c r="D1121" s="2" t="s">
        <v>11</v>
      </c>
      <c r="E1121" s="2">
        <v>10.0</v>
      </c>
      <c r="F1121" s="2" t="s">
        <v>12</v>
      </c>
      <c r="G1121" s="2"/>
      <c r="H1121" s="2"/>
      <c r="I1121" s="2"/>
    </row>
    <row r="1122">
      <c r="A1122" s="2" t="s">
        <v>1128</v>
      </c>
      <c r="B1122" s="2" t="s">
        <v>1123</v>
      </c>
      <c r="C1122" s="2"/>
      <c r="D1122" s="2" t="s">
        <v>11</v>
      </c>
      <c r="E1122" s="2">
        <v>10.0</v>
      </c>
      <c r="F1122" s="2" t="s">
        <v>12</v>
      </c>
      <c r="G1122" s="2"/>
      <c r="H1122" s="2"/>
      <c r="I1122" s="2"/>
    </row>
    <row r="1123">
      <c r="A1123" s="2" t="s">
        <v>1129</v>
      </c>
      <c r="B1123" s="2" t="s">
        <v>1123</v>
      </c>
      <c r="C1123" s="1"/>
      <c r="D1123" s="2"/>
      <c r="E1123" s="2"/>
      <c r="F1123" s="2"/>
      <c r="G1123" s="2"/>
      <c r="H1123" s="2"/>
      <c r="I1123" s="2"/>
    </row>
    <row r="1124">
      <c r="A1124" s="2" t="s">
        <v>1130</v>
      </c>
      <c r="B1124" s="2" t="s">
        <v>1123</v>
      </c>
      <c r="C1124" s="1"/>
      <c r="D1124" s="2"/>
      <c r="E1124" s="2"/>
      <c r="F1124" s="2"/>
      <c r="G1124" s="2"/>
      <c r="H1124" s="2"/>
      <c r="I1124" s="2"/>
    </row>
    <row r="1125">
      <c r="A1125" s="1" t="s">
        <v>1131</v>
      </c>
      <c r="B1125" s="2" t="s">
        <v>1123</v>
      </c>
      <c r="C1125" s="2"/>
      <c r="D1125" s="2" t="s">
        <v>11</v>
      </c>
      <c r="E1125" s="2">
        <v>10.0</v>
      </c>
      <c r="F1125" s="2" t="s">
        <v>12</v>
      </c>
      <c r="G1125" s="2"/>
      <c r="H1125" s="2"/>
      <c r="I1125" s="2"/>
    </row>
    <row r="1126">
      <c r="A1126" s="2" t="s">
        <v>1132</v>
      </c>
      <c r="B1126" s="2" t="s">
        <v>1123</v>
      </c>
      <c r="C1126" s="1"/>
      <c r="D1126" s="2"/>
      <c r="E1126" s="2"/>
      <c r="F1126" s="2"/>
      <c r="G1126" s="2"/>
      <c r="H1126" s="2"/>
      <c r="I1126" s="2"/>
    </row>
    <row r="1127">
      <c r="A1127" s="2" t="s">
        <v>1133</v>
      </c>
      <c r="B1127" s="2" t="s">
        <v>1123</v>
      </c>
      <c r="C1127" s="2"/>
      <c r="D1127" s="2" t="s">
        <v>11</v>
      </c>
      <c r="E1127" s="2">
        <v>10.0</v>
      </c>
      <c r="F1127" s="2" t="s">
        <v>12</v>
      </c>
      <c r="G1127" s="2"/>
      <c r="H1127" s="2"/>
      <c r="I1127" s="2"/>
    </row>
    <row r="1128">
      <c r="A1128" s="2" t="s">
        <v>1134</v>
      </c>
      <c r="B1128" s="2" t="s">
        <v>1123</v>
      </c>
      <c r="C1128" s="2"/>
      <c r="D1128" s="2" t="s">
        <v>11</v>
      </c>
      <c r="E1128" s="2">
        <v>10.0</v>
      </c>
      <c r="F1128" s="2" t="s">
        <v>12</v>
      </c>
      <c r="G1128" s="2"/>
      <c r="H1128" s="2"/>
      <c r="I1128" s="2"/>
    </row>
    <row r="1129">
      <c r="A1129" s="2" t="s">
        <v>1135</v>
      </c>
      <c r="B1129" s="2" t="s">
        <v>1123</v>
      </c>
      <c r="C1129" s="1"/>
      <c r="D1129" s="2"/>
      <c r="E1129" s="2"/>
      <c r="F1129" s="2"/>
      <c r="G1129" s="2"/>
      <c r="H1129" s="2"/>
      <c r="I1129" s="2"/>
    </row>
    <row r="1130">
      <c r="A1130" s="1" t="s">
        <v>1136</v>
      </c>
      <c r="B1130" s="2" t="s">
        <v>1123</v>
      </c>
      <c r="C1130" s="2"/>
      <c r="D1130" s="2" t="s">
        <v>11</v>
      </c>
      <c r="E1130" s="2">
        <v>10.0</v>
      </c>
      <c r="F1130" s="2" t="s">
        <v>12</v>
      </c>
      <c r="G1130" s="2"/>
      <c r="H1130" s="2"/>
      <c r="I1130" s="2"/>
    </row>
    <row r="1131">
      <c r="A1131" s="1" t="s">
        <v>1136</v>
      </c>
      <c r="B1131" s="2" t="s">
        <v>1123</v>
      </c>
      <c r="C1131" s="2"/>
      <c r="D1131" s="1" t="s">
        <v>11</v>
      </c>
      <c r="E1131" s="2">
        <v>4.0</v>
      </c>
      <c r="F1131" s="2" t="s">
        <v>12</v>
      </c>
      <c r="G1131" s="2"/>
      <c r="H1131" s="2"/>
      <c r="I1131" s="2"/>
    </row>
    <row r="1132">
      <c r="A1132" s="1" t="s">
        <v>1137</v>
      </c>
      <c r="B1132" s="2" t="s">
        <v>1123</v>
      </c>
      <c r="C1132" s="1"/>
      <c r="D1132" s="2"/>
      <c r="E1132" s="2"/>
      <c r="F1132" s="2"/>
      <c r="G1132" s="2"/>
      <c r="H1132" s="2"/>
      <c r="I1132" s="2"/>
    </row>
    <row r="1133">
      <c r="A1133" s="1" t="s">
        <v>1138</v>
      </c>
      <c r="B1133" s="2" t="s">
        <v>1123</v>
      </c>
      <c r="C1133" s="1"/>
      <c r="D1133" s="2"/>
      <c r="E1133" s="2"/>
      <c r="F1133" s="2"/>
      <c r="G1133" s="2"/>
      <c r="H1133" s="2"/>
      <c r="I1133" s="2"/>
    </row>
    <row r="1134">
      <c r="A1134" s="1" t="s">
        <v>1139</v>
      </c>
      <c r="B1134" s="2" t="s">
        <v>1123</v>
      </c>
      <c r="C1134" s="2"/>
      <c r="D1134" s="2" t="s">
        <v>11</v>
      </c>
      <c r="E1134" s="2">
        <v>10.0</v>
      </c>
      <c r="F1134" s="2" t="s">
        <v>12</v>
      </c>
      <c r="G1134" s="2"/>
      <c r="H1134" s="2"/>
      <c r="I1134" s="2"/>
    </row>
    <row r="1135">
      <c r="A1135" s="1" t="s">
        <v>1139</v>
      </c>
      <c r="B1135" s="2" t="s">
        <v>1123</v>
      </c>
      <c r="C1135" s="2"/>
      <c r="D1135" s="1" t="s">
        <v>11</v>
      </c>
      <c r="E1135" s="2">
        <v>4.0</v>
      </c>
      <c r="F1135" s="2" t="s">
        <v>12</v>
      </c>
      <c r="G1135" s="2"/>
      <c r="H1135" s="2"/>
      <c r="I1135" s="2"/>
    </row>
    <row r="1136">
      <c r="A1136" s="1" t="s">
        <v>1140</v>
      </c>
      <c r="B1136" s="2" t="s">
        <v>1123</v>
      </c>
      <c r="C1136" s="2"/>
      <c r="D1136" s="2" t="s">
        <v>11</v>
      </c>
      <c r="E1136" s="2">
        <v>10.0</v>
      </c>
      <c r="F1136" s="2" t="s">
        <v>12</v>
      </c>
      <c r="G1136" s="2"/>
      <c r="H1136" s="2"/>
      <c r="I1136" s="2"/>
    </row>
    <row r="1137">
      <c r="A1137" s="1" t="s">
        <v>1140</v>
      </c>
      <c r="B1137" s="2" t="s">
        <v>1123</v>
      </c>
      <c r="C1137" s="2"/>
      <c r="D1137" s="1" t="s">
        <v>11</v>
      </c>
      <c r="E1137" s="2">
        <v>4.0</v>
      </c>
      <c r="F1137" s="2" t="s">
        <v>12</v>
      </c>
      <c r="G1137" s="2"/>
      <c r="H1137" s="2"/>
      <c r="I1137" s="2"/>
    </row>
    <row r="1138">
      <c r="A1138" s="1" t="s">
        <v>1141</v>
      </c>
      <c r="B1138" s="2" t="s">
        <v>1123</v>
      </c>
      <c r="C1138" s="1"/>
      <c r="D1138" s="2"/>
      <c r="E1138" s="2"/>
      <c r="F1138" s="2"/>
      <c r="G1138" s="2"/>
      <c r="H1138" s="2"/>
      <c r="I1138" s="2"/>
    </row>
    <row r="1139">
      <c r="A1139" s="1" t="s">
        <v>1142</v>
      </c>
      <c r="B1139" s="2" t="s">
        <v>1123</v>
      </c>
      <c r="C1139" s="1"/>
      <c r="D1139" s="2"/>
      <c r="E1139" s="2"/>
      <c r="F1139" s="2"/>
      <c r="G1139" s="2"/>
      <c r="H1139" s="2"/>
      <c r="I1139" s="2"/>
    </row>
    <row r="1140">
      <c r="A1140" s="2" t="s">
        <v>1143</v>
      </c>
      <c r="B1140" s="2" t="s">
        <v>1123</v>
      </c>
      <c r="C1140" s="2"/>
      <c r="D1140" s="2" t="s">
        <v>37</v>
      </c>
      <c r="E1140" s="2">
        <v>9.0</v>
      </c>
      <c r="F1140" s="2"/>
      <c r="G1140" s="2"/>
      <c r="H1140" s="2"/>
      <c r="I1140" s="2"/>
    </row>
    <row r="1141">
      <c r="A1141" s="2" t="s">
        <v>1144</v>
      </c>
      <c r="B1141" s="2" t="s">
        <v>1123</v>
      </c>
      <c r="C1141" s="2"/>
      <c r="D1141" s="2" t="s">
        <v>11</v>
      </c>
      <c r="E1141" s="2">
        <v>15.0</v>
      </c>
      <c r="F1141" s="2" t="s">
        <v>12</v>
      </c>
      <c r="G1141" s="2"/>
      <c r="H1141" s="2"/>
      <c r="I1141" s="2"/>
    </row>
    <row r="1142">
      <c r="A1142" s="1" t="s">
        <v>1145</v>
      </c>
      <c r="B1142" s="2" t="s">
        <v>1123</v>
      </c>
      <c r="C1142" s="2"/>
      <c r="D1142" s="2" t="s">
        <v>11</v>
      </c>
      <c r="E1142" s="2">
        <v>15.0</v>
      </c>
      <c r="F1142" s="2" t="s">
        <v>12</v>
      </c>
      <c r="G1142" s="2"/>
      <c r="H1142" s="2"/>
      <c r="I1142" s="2"/>
    </row>
    <row r="1143">
      <c r="A1143" s="1" t="s">
        <v>1146</v>
      </c>
      <c r="B1143" s="2" t="s">
        <v>1123</v>
      </c>
      <c r="C1143" s="1"/>
      <c r="D1143" s="2"/>
      <c r="E1143" s="2"/>
      <c r="F1143" s="2"/>
      <c r="G1143" s="2"/>
      <c r="H1143" s="2"/>
      <c r="I1143" s="2"/>
    </row>
    <row r="1144">
      <c r="A1144" s="1" t="s">
        <v>1147</v>
      </c>
      <c r="B1144" s="2" t="s">
        <v>1123</v>
      </c>
      <c r="C1144" s="1"/>
      <c r="D1144" s="2"/>
      <c r="E1144" s="2"/>
      <c r="F1144" s="2"/>
      <c r="G1144" s="2"/>
      <c r="H1144" s="2"/>
      <c r="I1144" s="2"/>
    </row>
    <row r="1145">
      <c r="A1145" s="1" t="s">
        <v>1148</v>
      </c>
      <c r="B1145" s="2" t="s">
        <v>1123</v>
      </c>
      <c r="C1145" s="2"/>
      <c r="D1145" s="2" t="s">
        <v>37</v>
      </c>
      <c r="E1145" s="2">
        <v>15.0</v>
      </c>
      <c r="F1145" s="2" t="s">
        <v>12</v>
      </c>
      <c r="G1145" s="2"/>
      <c r="H1145" s="2"/>
      <c r="I1145" s="2"/>
    </row>
    <row r="1146">
      <c r="A1146" s="1" t="s">
        <v>1149</v>
      </c>
      <c r="B1146" s="2" t="s">
        <v>1123</v>
      </c>
      <c r="C1146" s="2"/>
      <c r="D1146" s="2" t="s">
        <v>11</v>
      </c>
      <c r="E1146" s="2">
        <v>15.0</v>
      </c>
      <c r="F1146" s="2" t="s">
        <v>12</v>
      </c>
      <c r="G1146" s="2"/>
      <c r="H1146" s="2"/>
      <c r="I1146" s="2"/>
    </row>
    <row r="1147">
      <c r="A1147" s="1" t="s">
        <v>1150</v>
      </c>
      <c r="B1147" s="2" t="s">
        <v>1123</v>
      </c>
      <c r="C1147" s="1"/>
      <c r="D1147" s="2"/>
      <c r="E1147" s="2"/>
      <c r="F1147" s="2"/>
      <c r="G1147" s="2"/>
      <c r="H1147" s="2"/>
      <c r="I1147" s="2"/>
    </row>
    <row r="1148">
      <c r="A1148" s="1" t="s">
        <v>1151</v>
      </c>
      <c r="B1148" s="2" t="s">
        <v>1123</v>
      </c>
      <c r="C1148" s="2"/>
      <c r="D1148" s="2" t="s">
        <v>37</v>
      </c>
      <c r="E1148" s="2">
        <v>15.0</v>
      </c>
      <c r="F1148" s="2" t="s">
        <v>12</v>
      </c>
      <c r="G1148" s="2"/>
      <c r="H1148" s="2"/>
      <c r="I1148" s="2"/>
    </row>
    <row r="1149">
      <c r="A1149" s="1" t="s">
        <v>1152</v>
      </c>
      <c r="B1149" s="2" t="s">
        <v>1123</v>
      </c>
      <c r="C1149" s="2"/>
      <c r="D1149" s="2" t="s">
        <v>37</v>
      </c>
      <c r="E1149" s="2">
        <v>10.0</v>
      </c>
      <c r="F1149" s="2" t="s">
        <v>12</v>
      </c>
      <c r="G1149" s="2"/>
      <c r="H1149" s="2"/>
      <c r="I1149" s="2"/>
    </row>
    <row r="1150">
      <c r="A1150" s="1" t="s">
        <v>1153</v>
      </c>
      <c r="B1150" s="2" t="s">
        <v>1123</v>
      </c>
      <c r="C1150" s="1"/>
      <c r="D1150" s="2"/>
      <c r="E1150" s="2"/>
      <c r="F1150" s="2"/>
      <c r="G1150" s="2"/>
      <c r="H1150" s="2"/>
      <c r="I1150" s="2"/>
    </row>
    <row r="1151">
      <c r="A1151" s="1" t="s">
        <v>1154</v>
      </c>
      <c r="B1151" s="2" t="s">
        <v>1123</v>
      </c>
      <c r="C1151" s="2"/>
      <c r="D1151" s="2" t="s">
        <v>11</v>
      </c>
      <c r="E1151" s="2">
        <v>10.0</v>
      </c>
      <c r="F1151" s="2" t="s">
        <v>12</v>
      </c>
      <c r="G1151" s="2"/>
      <c r="H1151" s="2"/>
      <c r="I1151" s="2"/>
    </row>
    <row r="1152">
      <c r="A1152" s="1" t="s">
        <v>1155</v>
      </c>
      <c r="B1152" s="2" t="s">
        <v>1123</v>
      </c>
      <c r="C1152" s="2"/>
      <c r="D1152" s="2" t="s">
        <v>11</v>
      </c>
      <c r="E1152" s="2">
        <v>10.0</v>
      </c>
      <c r="F1152" s="2" t="s">
        <v>12</v>
      </c>
      <c r="G1152" s="2"/>
      <c r="H1152" s="2"/>
      <c r="I1152" s="2"/>
    </row>
    <row r="1153">
      <c r="A1153" s="1" t="s">
        <v>1156</v>
      </c>
      <c r="B1153" s="2" t="s">
        <v>1123</v>
      </c>
      <c r="C1153" s="2"/>
      <c r="D1153" s="2" t="s">
        <v>11</v>
      </c>
      <c r="E1153" s="2">
        <v>10.0</v>
      </c>
      <c r="F1153" s="2" t="s">
        <v>12</v>
      </c>
      <c r="G1153" s="2"/>
      <c r="H1153" s="2"/>
      <c r="I1153" s="2"/>
    </row>
    <row r="1154">
      <c r="A1154" s="2" t="s">
        <v>1157</v>
      </c>
      <c r="B1154" s="2" t="s">
        <v>1123</v>
      </c>
      <c r="C1154" s="1"/>
      <c r="D1154" s="2"/>
      <c r="E1154" s="2"/>
      <c r="F1154" s="2"/>
      <c r="G1154" s="2"/>
      <c r="H1154" s="2"/>
      <c r="I1154" s="2"/>
    </row>
    <row r="1155">
      <c r="A1155" s="2" t="s">
        <v>1158</v>
      </c>
      <c r="B1155" s="2" t="s">
        <v>1123</v>
      </c>
      <c r="C1155" s="1"/>
      <c r="D1155" s="2"/>
      <c r="E1155" s="2"/>
      <c r="F1155" s="2"/>
      <c r="G1155" s="2"/>
      <c r="H1155" s="2"/>
      <c r="I1155" s="2"/>
    </row>
    <row r="1156">
      <c r="A1156" s="2" t="s">
        <v>1159</v>
      </c>
      <c r="B1156" s="2" t="s">
        <v>1123</v>
      </c>
      <c r="C1156" s="1"/>
      <c r="D1156" s="2"/>
      <c r="E1156" s="2"/>
      <c r="F1156" s="2"/>
      <c r="G1156" s="2"/>
      <c r="H1156" s="2"/>
      <c r="I1156" s="2"/>
    </row>
    <row r="1157">
      <c r="A1157" s="2" t="s">
        <v>1160</v>
      </c>
      <c r="B1157" s="2" t="s">
        <v>1123</v>
      </c>
      <c r="C1157" s="1"/>
      <c r="D1157" s="2"/>
      <c r="E1157" s="2"/>
      <c r="F1157" s="2"/>
      <c r="G1157" s="2"/>
      <c r="H1157" s="2"/>
      <c r="I1157" s="2"/>
    </row>
    <row r="1158">
      <c r="A1158" s="2" t="s">
        <v>1161</v>
      </c>
      <c r="B1158" s="2" t="s">
        <v>1123</v>
      </c>
      <c r="C1158" s="1"/>
      <c r="D1158" s="2"/>
      <c r="E1158" s="2"/>
      <c r="F1158" s="2"/>
      <c r="G1158" s="2"/>
      <c r="H1158" s="2"/>
      <c r="I1158" s="2"/>
    </row>
    <row r="1159">
      <c r="A1159" s="2" t="s">
        <v>1162</v>
      </c>
      <c r="B1159" s="2" t="s">
        <v>1123</v>
      </c>
      <c r="C1159" s="1"/>
      <c r="D1159" s="2"/>
      <c r="E1159" s="2"/>
      <c r="F1159" s="2"/>
      <c r="G1159" s="2"/>
      <c r="H1159" s="2"/>
      <c r="I1159" s="2"/>
    </row>
    <row r="1160">
      <c r="A1160" s="1" t="s">
        <v>1163</v>
      </c>
      <c r="B1160" s="2" t="s">
        <v>1123</v>
      </c>
      <c r="C1160" s="2"/>
      <c r="D1160" s="2" t="s">
        <v>11</v>
      </c>
      <c r="E1160" s="2">
        <v>15.0</v>
      </c>
      <c r="F1160" s="2" t="s">
        <v>12</v>
      </c>
      <c r="G1160" s="2"/>
      <c r="H1160" s="2"/>
      <c r="I1160" s="2"/>
    </row>
    <row r="1161">
      <c r="A1161" s="1" t="s">
        <v>1164</v>
      </c>
      <c r="B1161" s="2" t="s">
        <v>1123</v>
      </c>
      <c r="C1161" s="1"/>
      <c r="D1161" s="2"/>
      <c r="E1161" s="2"/>
      <c r="F1161" s="2"/>
      <c r="G1161" s="2"/>
      <c r="H1161" s="2"/>
      <c r="I1161" s="2"/>
    </row>
    <row r="1162">
      <c r="A1162" s="1" t="s">
        <v>1165</v>
      </c>
      <c r="B1162" s="2" t="s">
        <v>1123</v>
      </c>
      <c r="C1162" s="1"/>
      <c r="D1162" s="2"/>
      <c r="E1162" s="2"/>
      <c r="F1162" s="2"/>
      <c r="G1162" s="2"/>
      <c r="H1162" s="2"/>
      <c r="I1162" s="2"/>
    </row>
    <row r="1163">
      <c r="A1163" s="1" t="s">
        <v>1166</v>
      </c>
      <c r="B1163" s="2" t="s">
        <v>1123</v>
      </c>
      <c r="C1163" s="1"/>
      <c r="D1163" s="2"/>
      <c r="E1163" s="2"/>
      <c r="F1163" s="2"/>
      <c r="G1163" s="2"/>
      <c r="H1163" s="2"/>
      <c r="I1163" s="2"/>
    </row>
    <row r="1164">
      <c r="A1164" s="2" t="s">
        <v>1167</v>
      </c>
      <c r="B1164" s="2" t="s">
        <v>1123</v>
      </c>
      <c r="C1164" s="2"/>
      <c r="D1164" s="2" t="s">
        <v>11</v>
      </c>
      <c r="E1164" s="2">
        <v>10.0</v>
      </c>
      <c r="F1164" s="2" t="s">
        <v>12</v>
      </c>
      <c r="G1164" s="2"/>
      <c r="H1164" s="2"/>
      <c r="I1164" s="2"/>
    </row>
    <row r="1165">
      <c r="A1165" s="2" t="s">
        <v>1168</v>
      </c>
      <c r="B1165" s="2" t="s">
        <v>1123</v>
      </c>
      <c r="C1165" s="2"/>
      <c r="D1165" s="2" t="s">
        <v>11</v>
      </c>
      <c r="E1165" s="2">
        <v>10.0</v>
      </c>
      <c r="F1165" s="2" t="s">
        <v>12</v>
      </c>
      <c r="G1165" s="2"/>
      <c r="H1165" s="2"/>
      <c r="I1165" s="2"/>
    </row>
    <row r="1166">
      <c r="A1166" s="2" t="s">
        <v>1169</v>
      </c>
      <c r="B1166" s="2" t="s">
        <v>1123</v>
      </c>
      <c r="C1166" s="2"/>
      <c r="D1166" s="2" t="s">
        <v>11</v>
      </c>
      <c r="E1166" s="2">
        <v>10.0</v>
      </c>
      <c r="F1166" s="2" t="s">
        <v>12</v>
      </c>
      <c r="G1166" s="2"/>
      <c r="H1166" s="2"/>
      <c r="I1166" s="2"/>
    </row>
    <row r="1167">
      <c r="A1167" s="1" t="s">
        <v>1170</v>
      </c>
      <c r="B1167" s="2" t="s">
        <v>1123</v>
      </c>
      <c r="C1167" s="2"/>
      <c r="D1167" s="2" t="s">
        <v>74</v>
      </c>
      <c r="E1167" s="2">
        <v>1.0</v>
      </c>
      <c r="F1167" s="2"/>
      <c r="G1167" s="2"/>
      <c r="H1167" s="2"/>
      <c r="I1167" s="2"/>
    </row>
    <row r="1168">
      <c r="A1168" s="2" t="s">
        <v>1171</v>
      </c>
      <c r="B1168" s="2" t="s">
        <v>1123</v>
      </c>
      <c r="C1168" s="2"/>
      <c r="D1168" s="2" t="s">
        <v>37</v>
      </c>
      <c r="E1168" s="2">
        <v>10.0</v>
      </c>
      <c r="F1168" s="2" t="s">
        <v>12</v>
      </c>
      <c r="G1168" s="2"/>
      <c r="H1168" s="2"/>
      <c r="I1168" s="2"/>
    </row>
    <row r="1169">
      <c r="A1169" s="2" t="s">
        <v>1171</v>
      </c>
      <c r="B1169" s="2" t="s">
        <v>1123</v>
      </c>
      <c r="C1169" s="2"/>
      <c r="D1169" s="2" t="s">
        <v>37</v>
      </c>
      <c r="E1169" s="2">
        <v>15.0</v>
      </c>
      <c r="F1169" s="2" t="s">
        <v>12</v>
      </c>
      <c r="G1169" s="2"/>
      <c r="H1169" s="2"/>
      <c r="I1169" s="2"/>
    </row>
    <row r="1170">
      <c r="A1170" s="2" t="s">
        <v>1172</v>
      </c>
      <c r="B1170" s="2" t="s">
        <v>1123</v>
      </c>
      <c r="C1170" s="2"/>
      <c r="D1170" s="2" t="s">
        <v>37</v>
      </c>
      <c r="E1170" s="2">
        <v>10.0</v>
      </c>
      <c r="F1170" s="2" t="s">
        <v>12</v>
      </c>
      <c r="G1170" s="2"/>
      <c r="H1170" s="2"/>
      <c r="I1170" s="2"/>
    </row>
    <row r="1171">
      <c r="A1171" s="2" t="s">
        <v>1173</v>
      </c>
      <c r="B1171" s="2" t="s">
        <v>1123</v>
      </c>
      <c r="C1171" s="2"/>
      <c r="D1171" s="2" t="s">
        <v>11</v>
      </c>
      <c r="E1171" s="2">
        <v>10.0</v>
      </c>
      <c r="F1171" s="2" t="s">
        <v>12</v>
      </c>
      <c r="G1171" s="2"/>
      <c r="H1171" s="2"/>
      <c r="I1171" s="2"/>
    </row>
    <row r="1172">
      <c r="A1172" s="2" t="s">
        <v>1173</v>
      </c>
      <c r="B1172" s="2" t="s">
        <v>1123</v>
      </c>
      <c r="C1172" s="2"/>
      <c r="D1172" s="2" t="s">
        <v>11</v>
      </c>
      <c r="E1172" s="2">
        <v>15.0</v>
      </c>
      <c r="F1172" s="2" t="s">
        <v>12</v>
      </c>
      <c r="G1172" s="2"/>
      <c r="H1172" s="2"/>
      <c r="I1172" s="2"/>
    </row>
    <row r="1173">
      <c r="A1173" s="1" t="s">
        <v>1174</v>
      </c>
      <c r="B1173" s="2" t="s">
        <v>1123</v>
      </c>
      <c r="C1173" s="1"/>
      <c r="D1173" s="2"/>
      <c r="E1173" s="2"/>
      <c r="F1173" s="2"/>
      <c r="G1173" s="2"/>
      <c r="H1173" s="2"/>
      <c r="I1173" s="2"/>
    </row>
    <row r="1174">
      <c r="A1174" s="2" t="s">
        <v>1175</v>
      </c>
      <c r="B1174" s="2" t="s">
        <v>1123</v>
      </c>
      <c r="C1174" s="1"/>
      <c r="D1174" s="2"/>
      <c r="E1174" s="2"/>
      <c r="F1174" s="2"/>
      <c r="G1174" s="2"/>
      <c r="H1174" s="2"/>
      <c r="I1174" s="2"/>
    </row>
    <row r="1175">
      <c r="A1175" s="2" t="s">
        <v>1176</v>
      </c>
      <c r="B1175" s="2" t="s">
        <v>1123</v>
      </c>
      <c r="C1175" s="1"/>
      <c r="D1175" s="2"/>
      <c r="E1175" s="2"/>
      <c r="F1175" s="2"/>
      <c r="G1175" s="2"/>
      <c r="H1175" s="2"/>
      <c r="I1175" s="2"/>
    </row>
    <row r="1176">
      <c r="A1176" s="2" t="s">
        <v>1177</v>
      </c>
      <c r="B1176" s="2" t="s">
        <v>1123</v>
      </c>
      <c r="C1176" s="1"/>
      <c r="D1176" s="2"/>
      <c r="E1176" s="2"/>
      <c r="F1176" s="2"/>
      <c r="G1176" s="2"/>
      <c r="H1176" s="2"/>
      <c r="I1176" s="2"/>
    </row>
    <row r="1177">
      <c r="A1177" s="2" t="s">
        <v>1178</v>
      </c>
      <c r="B1177" s="2" t="s">
        <v>1123</v>
      </c>
      <c r="C1177" s="1"/>
      <c r="D1177" s="2"/>
      <c r="E1177" s="2"/>
      <c r="F1177" s="2"/>
      <c r="G1177" s="2"/>
      <c r="H1177" s="2"/>
      <c r="I1177" s="2"/>
    </row>
    <row r="1178">
      <c r="A1178" s="2" t="s">
        <v>1179</v>
      </c>
      <c r="B1178" s="2" t="s">
        <v>1123</v>
      </c>
      <c r="C1178" s="2"/>
      <c r="D1178" s="2" t="s">
        <v>11</v>
      </c>
      <c r="E1178" s="2">
        <v>6.0</v>
      </c>
      <c r="F1178" s="2" t="s">
        <v>12</v>
      </c>
      <c r="G1178" s="2"/>
      <c r="H1178" s="2"/>
      <c r="I1178" s="2"/>
    </row>
    <row r="1179">
      <c r="A1179" s="1" t="s">
        <v>1180</v>
      </c>
      <c r="B1179" s="2" t="s">
        <v>1123</v>
      </c>
      <c r="C1179" s="2"/>
      <c r="D1179" s="2" t="s">
        <v>11</v>
      </c>
      <c r="E1179" s="2">
        <v>10.0</v>
      </c>
      <c r="F1179" s="2" t="s">
        <v>12</v>
      </c>
      <c r="G1179" s="2"/>
      <c r="H1179" s="2"/>
      <c r="I1179" s="2"/>
    </row>
    <row r="1180">
      <c r="A1180" s="1" t="s">
        <v>1181</v>
      </c>
      <c r="B1180" s="2" t="s">
        <v>1123</v>
      </c>
      <c r="C1180" s="2"/>
      <c r="D1180" s="2" t="s">
        <v>11</v>
      </c>
      <c r="E1180" s="2">
        <v>10.0</v>
      </c>
      <c r="F1180" s="2" t="s">
        <v>12</v>
      </c>
      <c r="G1180" s="2"/>
      <c r="H1180" s="2"/>
      <c r="I1180" s="2"/>
    </row>
    <row r="1181">
      <c r="A1181" s="2" t="s">
        <v>1182</v>
      </c>
      <c r="B1181" s="2" t="s">
        <v>1183</v>
      </c>
      <c r="C1181" s="2"/>
      <c r="D1181" s="2" t="s">
        <v>11</v>
      </c>
      <c r="E1181" s="2">
        <v>10.0</v>
      </c>
      <c r="F1181" s="2" t="s">
        <v>12</v>
      </c>
      <c r="G1181" s="2"/>
      <c r="H1181" s="2"/>
      <c r="I1181" s="2"/>
    </row>
    <row r="1182">
      <c r="A1182" s="1" t="s">
        <v>1184</v>
      </c>
      <c r="B1182" s="2" t="s">
        <v>1183</v>
      </c>
      <c r="C1182" s="2"/>
      <c r="D1182" s="2" t="s">
        <v>11</v>
      </c>
      <c r="E1182" s="2">
        <v>10.0</v>
      </c>
      <c r="F1182" s="2" t="s">
        <v>12</v>
      </c>
      <c r="G1182" s="2"/>
      <c r="H1182" s="2"/>
      <c r="I1182" s="2"/>
    </row>
    <row r="1183">
      <c r="A1183" s="1" t="s">
        <v>1185</v>
      </c>
      <c r="B1183" s="2" t="s">
        <v>1183</v>
      </c>
      <c r="C1183" s="2"/>
      <c r="D1183" s="2" t="s">
        <v>11</v>
      </c>
      <c r="E1183" s="2">
        <v>10.0</v>
      </c>
      <c r="F1183" s="2" t="s">
        <v>12</v>
      </c>
      <c r="G1183" s="2"/>
      <c r="H1183" s="2"/>
      <c r="I1183" s="2"/>
    </row>
    <row r="1184">
      <c r="A1184" s="1" t="s">
        <v>1186</v>
      </c>
      <c r="B1184" s="2" t="s">
        <v>1183</v>
      </c>
      <c r="C1184" s="2"/>
      <c r="D1184" s="2" t="s">
        <v>11</v>
      </c>
      <c r="E1184" s="2">
        <v>15.0</v>
      </c>
      <c r="F1184" s="2" t="s">
        <v>12</v>
      </c>
      <c r="G1184" s="2"/>
      <c r="H1184" s="2"/>
      <c r="I1184" s="2"/>
    </row>
    <row r="1185">
      <c r="A1185" s="2" t="s">
        <v>1187</v>
      </c>
      <c r="B1185" s="2" t="s">
        <v>1183</v>
      </c>
      <c r="C1185" s="2"/>
      <c r="D1185" s="2" t="s">
        <v>11</v>
      </c>
      <c r="E1185" s="2">
        <v>15.0</v>
      </c>
      <c r="F1185" s="2" t="s">
        <v>12</v>
      </c>
      <c r="G1185" s="2"/>
      <c r="H1185" s="2"/>
      <c r="I1185" s="2"/>
    </row>
    <row r="1186">
      <c r="A1186" s="2" t="s">
        <v>1188</v>
      </c>
      <c r="B1186" s="2" t="s">
        <v>1183</v>
      </c>
      <c r="C1186" s="2"/>
      <c r="D1186" s="2" t="s">
        <v>11</v>
      </c>
      <c r="E1186" s="2">
        <v>10.0</v>
      </c>
      <c r="F1186" s="2" t="s">
        <v>12</v>
      </c>
      <c r="G1186" s="2"/>
      <c r="H1186" s="2"/>
      <c r="I1186" s="2"/>
    </row>
    <row r="1187">
      <c r="A1187" s="1" t="s">
        <v>1189</v>
      </c>
      <c r="B1187" s="2" t="s">
        <v>1190</v>
      </c>
      <c r="C1187" s="2"/>
      <c r="D1187" s="2" t="s">
        <v>11</v>
      </c>
      <c r="E1187" s="2">
        <v>10.0</v>
      </c>
      <c r="F1187" s="2" t="s">
        <v>12</v>
      </c>
      <c r="G1187" s="2"/>
      <c r="H1187" s="2"/>
      <c r="I1187" s="2"/>
    </row>
    <row r="1188">
      <c r="A1188" s="2" t="s">
        <v>1191</v>
      </c>
      <c r="B1188" s="2" t="s">
        <v>1190</v>
      </c>
      <c r="C1188" s="2"/>
      <c r="D1188" s="2" t="s">
        <v>37</v>
      </c>
      <c r="E1188" s="2">
        <v>10.0</v>
      </c>
      <c r="F1188" s="2" t="s">
        <v>12</v>
      </c>
      <c r="G1188" s="2"/>
      <c r="H1188" s="2"/>
      <c r="I1188" s="2"/>
    </row>
    <row r="1189">
      <c r="A1189" s="2" t="s">
        <v>1192</v>
      </c>
      <c r="B1189" s="2" t="s">
        <v>1190</v>
      </c>
      <c r="C1189" s="1"/>
      <c r="D1189" s="2"/>
      <c r="E1189" s="2"/>
      <c r="F1189" s="2"/>
      <c r="G1189" s="2"/>
      <c r="H1189" s="2"/>
      <c r="I1189" s="2"/>
    </row>
    <row r="1190">
      <c r="A1190" s="2" t="s">
        <v>1193</v>
      </c>
      <c r="B1190" s="2" t="s">
        <v>1190</v>
      </c>
      <c r="C1190" s="1"/>
      <c r="D1190" s="2"/>
      <c r="E1190" s="2"/>
      <c r="F1190" s="2"/>
      <c r="G1190" s="2"/>
      <c r="H1190" s="2"/>
      <c r="I1190" s="2"/>
    </row>
    <row r="1191">
      <c r="A1191" s="2" t="s">
        <v>1194</v>
      </c>
      <c r="B1191" s="2" t="s">
        <v>1190</v>
      </c>
      <c r="C1191" s="1"/>
      <c r="D1191" s="2"/>
      <c r="E1191" s="2"/>
      <c r="F1191" s="2"/>
      <c r="G1191" s="2"/>
      <c r="H1191" s="2"/>
      <c r="I1191" s="2"/>
    </row>
    <row r="1192">
      <c r="A1192" s="2" t="s">
        <v>1195</v>
      </c>
      <c r="B1192" s="2" t="s">
        <v>1190</v>
      </c>
      <c r="C1192" s="1"/>
      <c r="D1192" s="2"/>
      <c r="E1192" s="2"/>
      <c r="F1192" s="2"/>
      <c r="G1192" s="2"/>
      <c r="H1192" s="2"/>
      <c r="I1192" s="2"/>
    </row>
    <row r="1193">
      <c r="A1193" s="2" t="s">
        <v>1196</v>
      </c>
      <c r="B1193" s="2" t="s">
        <v>1190</v>
      </c>
      <c r="C1193" s="2"/>
      <c r="D1193" s="2" t="s">
        <v>11</v>
      </c>
      <c r="E1193" s="2">
        <v>10.0</v>
      </c>
      <c r="F1193" s="2" t="s">
        <v>12</v>
      </c>
      <c r="G1193" s="2"/>
      <c r="H1193" s="2"/>
      <c r="I1193" s="2"/>
    </row>
    <row r="1194">
      <c r="A1194" s="2" t="s">
        <v>1197</v>
      </c>
      <c r="B1194" s="2" t="s">
        <v>1190</v>
      </c>
      <c r="C1194" s="2"/>
      <c r="D1194" s="2" t="s">
        <v>11</v>
      </c>
      <c r="E1194" s="2">
        <v>10.0</v>
      </c>
      <c r="F1194" s="2" t="s">
        <v>12</v>
      </c>
      <c r="G1194" s="2"/>
      <c r="H1194" s="2"/>
      <c r="I1194" s="2"/>
    </row>
    <row r="1195">
      <c r="A1195" s="2" t="s">
        <v>1198</v>
      </c>
      <c r="B1195" s="2" t="s">
        <v>1190</v>
      </c>
      <c r="C1195" s="1"/>
      <c r="D1195" s="2"/>
      <c r="E1195" s="2"/>
      <c r="F1195" s="2"/>
      <c r="G1195" s="2"/>
      <c r="H1195" s="2"/>
      <c r="I1195" s="2"/>
    </row>
    <row r="1196">
      <c r="A1196" s="2" t="s">
        <v>1199</v>
      </c>
      <c r="B1196" s="2" t="s">
        <v>1190</v>
      </c>
      <c r="C1196" s="1"/>
      <c r="D1196" s="2"/>
      <c r="E1196" s="2"/>
      <c r="F1196" s="2"/>
      <c r="G1196" s="2"/>
      <c r="H1196" s="2"/>
      <c r="I1196" s="2"/>
    </row>
    <row r="1197">
      <c r="A1197" s="2" t="s">
        <v>1200</v>
      </c>
      <c r="B1197" s="2" t="s">
        <v>1190</v>
      </c>
      <c r="C1197" s="1"/>
      <c r="D1197" s="2"/>
      <c r="E1197" s="2"/>
      <c r="F1197" s="2"/>
      <c r="G1197" s="2"/>
      <c r="H1197" s="2"/>
      <c r="I1197" s="2"/>
    </row>
    <row r="1198">
      <c r="A1198" s="2" t="s">
        <v>1201</v>
      </c>
      <c r="B1198" s="2" t="s">
        <v>1190</v>
      </c>
      <c r="C1198" s="2"/>
      <c r="D1198" s="2" t="s">
        <v>11</v>
      </c>
      <c r="E1198" s="2">
        <v>10.0</v>
      </c>
      <c r="F1198" s="2" t="s">
        <v>12</v>
      </c>
      <c r="G1198" s="2"/>
      <c r="H1198" s="2"/>
      <c r="I1198" s="2"/>
    </row>
    <row r="1199">
      <c r="A1199" s="2" t="s">
        <v>1202</v>
      </c>
      <c r="B1199" s="2" t="s">
        <v>1190</v>
      </c>
      <c r="C1199" s="2"/>
      <c r="D1199" s="2" t="s">
        <v>493</v>
      </c>
      <c r="E1199" s="2">
        <v>1.0</v>
      </c>
      <c r="F1199" s="2"/>
      <c r="G1199" s="2"/>
      <c r="H1199" s="2"/>
      <c r="I1199" s="2"/>
    </row>
    <row r="1200">
      <c r="A1200" s="1" t="s">
        <v>1203</v>
      </c>
      <c r="B1200" s="2" t="s">
        <v>1190</v>
      </c>
      <c r="C1200" s="1"/>
      <c r="D1200" s="2"/>
      <c r="E1200" s="2"/>
      <c r="F1200" s="2"/>
      <c r="G1200" s="2"/>
      <c r="H1200" s="2"/>
      <c r="I1200" s="2"/>
    </row>
    <row r="1201">
      <c r="A1201" s="1" t="s">
        <v>1204</v>
      </c>
      <c r="B1201" s="2" t="s">
        <v>1190</v>
      </c>
      <c r="C1201" s="2"/>
      <c r="D1201" s="2" t="s">
        <v>37</v>
      </c>
      <c r="E1201" s="2">
        <v>30.0</v>
      </c>
      <c r="F1201" s="2" t="s">
        <v>22</v>
      </c>
      <c r="G1201" s="2"/>
      <c r="H1201" s="2"/>
      <c r="I1201" s="2"/>
    </row>
    <row r="1202">
      <c r="A1202" s="1" t="s">
        <v>1205</v>
      </c>
      <c r="B1202" s="2" t="s">
        <v>1190</v>
      </c>
      <c r="C1202" s="2"/>
      <c r="D1202" s="2" t="s">
        <v>37</v>
      </c>
      <c r="E1202" s="2">
        <v>30.0</v>
      </c>
      <c r="F1202" s="2" t="s">
        <v>22</v>
      </c>
      <c r="G1202" s="2"/>
      <c r="H1202" s="2"/>
      <c r="I1202" s="2"/>
    </row>
    <row r="1203">
      <c r="A1203" s="1" t="s">
        <v>1206</v>
      </c>
      <c r="B1203" s="2" t="s">
        <v>1190</v>
      </c>
      <c r="C1203" s="2"/>
      <c r="D1203" s="2" t="s">
        <v>37</v>
      </c>
      <c r="E1203" s="2">
        <v>30.0</v>
      </c>
      <c r="F1203" s="2" t="s">
        <v>22</v>
      </c>
      <c r="G1203" s="2"/>
      <c r="H1203" s="2"/>
      <c r="I1203" s="2"/>
    </row>
    <row r="1204">
      <c r="A1204" s="1" t="s">
        <v>1207</v>
      </c>
      <c r="B1204" s="2" t="s">
        <v>1190</v>
      </c>
      <c r="C1204" s="2"/>
      <c r="D1204" s="2" t="s">
        <v>37</v>
      </c>
      <c r="E1204" s="2">
        <v>30.0</v>
      </c>
      <c r="F1204" s="2" t="s">
        <v>22</v>
      </c>
      <c r="G1204" s="2"/>
      <c r="H1204" s="2"/>
      <c r="I1204" s="2"/>
    </row>
    <row r="1205">
      <c r="A1205" s="1" t="s">
        <v>1208</v>
      </c>
      <c r="B1205" s="2" t="s">
        <v>1190</v>
      </c>
      <c r="C1205" s="2"/>
      <c r="D1205" s="2" t="s">
        <v>37</v>
      </c>
      <c r="E1205" s="2">
        <v>30.0</v>
      </c>
      <c r="F1205" s="2" t="s">
        <v>22</v>
      </c>
      <c r="G1205" s="2"/>
      <c r="H1205" s="2"/>
      <c r="I1205" s="2"/>
    </row>
    <row r="1206">
      <c r="A1206" s="2" t="s">
        <v>1209</v>
      </c>
      <c r="B1206" s="2" t="s">
        <v>1190</v>
      </c>
      <c r="C1206" s="1"/>
      <c r="D1206" s="2"/>
      <c r="E1206" s="2"/>
      <c r="F1206" s="2"/>
      <c r="G1206" s="2"/>
      <c r="H1206" s="2"/>
      <c r="I1206" s="2"/>
    </row>
    <row r="1207">
      <c r="A1207" s="2" t="s">
        <v>1210</v>
      </c>
      <c r="B1207" s="2" t="s">
        <v>1190</v>
      </c>
      <c r="C1207" s="2"/>
      <c r="D1207" s="2" t="s">
        <v>37</v>
      </c>
      <c r="E1207" s="2">
        <v>30.0</v>
      </c>
      <c r="F1207" s="2" t="s">
        <v>22</v>
      </c>
      <c r="G1207" s="2"/>
      <c r="H1207" s="2"/>
      <c r="I1207" s="2"/>
    </row>
    <row r="1208">
      <c r="A1208" s="2" t="s">
        <v>1211</v>
      </c>
      <c r="B1208" s="2" t="s">
        <v>1190</v>
      </c>
      <c r="C1208" s="1"/>
      <c r="D1208" s="2"/>
      <c r="E1208" s="2"/>
      <c r="F1208" s="2"/>
      <c r="G1208" s="2"/>
      <c r="H1208" s="2"/>
      <c r="I1208" s="2"/>
    </row>
    <row r="1209">
      <c r="A1209" s="2" t="s">
        <v>1212</v>
      </c>
      <c r="B1209" s="2" t="s">
        <v>1190</v>
      </c>
      <c r="C1209" s="2"/>
      <c r="D1209" s="2" t="s">
        <v>37</v>
      </c>
      <c r="E1209" s="2">
        <v>30.0</v>
      </c>
      <c r="F1209" s="2" t="s">
        <v>22</v>
      </c>
      <c r="G1209" s="2"/>
      <c r="H1209" s="2"/>
      <c r="I1209" s="2"/>
    </row>
    <row r="1210">
      <c r="A1210" s="2" t="s">
        <v>1213</v>
      </c>
      <c r="B1210" s="2" t="s">
        <v>1190</v>
      </c>
      <c r="C1210" s="1"/>
      <c r="D1210" s="2"/>
      <c r="E1210" s="2"/>
      <c r="F1210" s="2"/>
      <c r="G1210" s="2"/>
      <c r="H1210" s="2"/>
      <c r="I1210" s="2"/>
    </row>
    <row r="1211">
      <c r="A1211" s="2" t="s">
        <v>1214</v>
      </c>
      <c r="B1211" s="2" t="s">
        <v>1190</v>
      </c>
      <c r="C1211" s="2"/>
      <c r="D1211" s="2" t="s">
        <v>11</v>
      </c>
      <c r="E1211" s="2"/>
      <c r="F1211" s="2"/>
      <c r="G1211" s="2"/>
      <c r="H1211" s="2"/>
      <c r="I1211" s="2"/>
    </row>
    <row r="1212">
      <c r="A1212" s="2" t="s">
        <v>1215</v>
      </c>
      <c r="B1212" s="2" t="s">
        <v>1190</v>
      </c>
      <c r="C1212" s="2"/>
      <c r="D1212" s="2" t="s">
        <v>37</v>
      </c>
      <c r="E1212" s="2">
        <v>10.0</v>
      </c>
      <c r="F1212" s="2" t="s">
        <v>12</v>
      </c>
      <c r="G1212" s="2"/>
      <c r="H1212" s="2"/>
      <c r="I1212" s="2"/>
    </row>
    <row r="1213">
      <c r="A1213" s="2" t="s">
        <v>1216</v>
      </c>
      <c r="B1213" s="2" t="s">
        <v>1190</v>
      </c>
      <c r="C1213" s="1"/>
      <c r="D1213" s="2"/>
      <c r="E1213" s="2"/>
      <c r="F1213" s="2"/>
      <c r="G1213" s="2"/>
      <c r="H1213" s="2"/>
      <c r="I1213" s="2"/>
    </row>
    <row r="1214">
      <c r="A1214" s="2" t="s">
        <v>1217</v>
      </c>
      <c r="B1214" s="2" t="s">
        <v>1190</v>
      </c>
      <c r="C1214" s="2"/>
      <c r="D1214" s="2" t="s">
        <v>37</v>
      </c>
      <c r="E1214" s="2">
        <v>30.0</v>
      </c>
      <c r="F1214" s="2" t="s">
        <v>22</v>
      </c>
      <c r="G1214" s="2"/>
      <c r="H1214" s="2"/>
      <c r="I1214" s="2"/>
    </row>
    <row r="1215">
      <c r="A1215" s="1" t="s">
        <v>1218</v>
      </c>
      <c r="B1215" s="2" t="s">
        <v>1190</v>
      </c>
      <c r="C1215" s="2"/>
      <c r="D1215" s="2" t="s">
        <v>37</v>
      </c>
      <c r="E1215" s="2">
        <v>30.0</v>
      </c>
      <c r="F1215" s="2" t="s">
        <v>22</v>
      </c>
      <c r="G1215" s="2"/>
      <c r="H1215" s="2"/>
      <c r="I1215" s="2"/>
    </row>
    <row r="1216">
      <c r="A1216" s="2" t="s">
        <v>1219</v>
      </c>
      <c r="B1216" s="2" t="s">
        <v>1190</v>
      </c>
      <c r="C1216" s="1"/>
      <c r="D1216" s="2"/>
      <c r="E1216" s="2"/>
      <c r="F1216" s="2"/>
      <c r="G1216" s="2"/>
      <c r="H1216" s="2"/>
      <c r="I1216" s="2"/>
    </row>
    <row r="1217">
      <c r="A1217" s="2" t="s">
        <v>1220</v>
      </c>
      <c r="B1217" s="2" t="s">
        <v>1190</v>
      </c>
      <c r="C1217" s="1"/>
      <c r="D1217" s="2"/>
      <c r="E1217" s="2"/>
      <c r="F1217" s="2"/>
      <c r="G1217" s="2"/>
      <c r="H1217" s="2"/>
      <c r="I1217" s="2"/>
    </row>
    <row r="1218">
      <c r="A1218" s="1" t="s">
        <v>1221</v>
      </c>
      <c r="B1218" s="2" t="s">
        <v>1190</v>
      </c>
      <c r="C1218" s="2"/>
      <c r="D1218" s="2" t="s">
        <v>37</v>
      </c>
      <c r="E1218" s="2">
        <v>30.0</v>
      </c>
      <c r="F1218" s="2" t="s">
        <v>22</v>
      </c>
      <c r="G1218" s="2"/>
      <c r="H1218" s="2"/>
      <c r="I1218" s="2"/>
    </row>
    <row r="1219">
      <c r="A1219" s="2" t="s">
        <v>1222</v>
      </c>
      <c r="B1219" s="2" t="s">
        <v>1190</v>
      </c>
      <c r="C1219" s="2"/>
      <c r="D1219" s="2" t="s">
        <v>37</v>
      </c>
      <c r="E1219" s="2">
        <v>30.0</v>
      </c>
      <c r="F1219" s="2" t="s">
        <v>22</v>
      </c>
      <c r="G1219" s="2"/>
      <c r="H1219" s="2"/>
      <c r="I1219" s="2"/>
    </row>
    <row r="1220">
      <c r="A1220" s="2" t="s">
        <v>1223</v>
      </c>
      <c r="B1220" s="2" t="s">
        <v>1190</v>
      </c>
      <c r="C1220" s="2"/>
      <c r="D1220" s="2"/>
      <c r="E1220" s="2"/>
      <c r="F1220" s="2"/>
      <c r="G1220" s="2"/>
      <c r="H1220" s="2"/>
      <c r="I1220" s="2"/>
    </row>
    <row r="1221">
      <c r="A1221" s="1" t="s">
        <v>1224</v>
      </c>
      <c r="B1221" s="2" t="s">
        <v>1190</v>
      </c>
      <c r="C1221" s="2"/>
      <c r="D1221" s="2" t="s">
        <v>11</v>
      </c>
      <c r="E1221" s="2">
        <v>10.0</v>
      </c>
      <c r="F1221" s="2" t="s">
        <v>12</v>
      </c>
      <c r="G1221" s="2"/>
      <c r="H1221" s="2"/>
      <c r="I1221" s="2"/>
    </row>
    <row r="1222">
      <c r="A1222" s="1" t="s">
        <v>1225</v>
      </c>
      <c r="B1222" s="2" t="s">
        <v>1190</v>
      </c>
      <c r="C1222" s="2"/>
      <c r="D1222" s="2" t="s">
        <v>11</v>
      </c>
      <c r="E1222" s="2">
        <v>10.0</v>
      </c>
      <c r="F1222" s="2" t="s">
        <v>12</v>
      </c>
      <c r="G1222" s="2"/>
      <c r="H1222" s="2"/>
      <c r="I1222" s="2"/>
    </row>
    <row r="1223">
      <c r="A1223" s="2" t="s">
        <v>1226</v>
      </c>
      <c r="B1223" s="2" t="s">
        <v>1190</v>
      </c>
      <c r="C1223" s="2"/>
      <c r="D1223" s="2" t="s">
        <v>11</v>
      </c>
      <c r="E1223" s="2">
        <v>10.0</v>
      </c>
      <c r="F1223" s="2" t="s">
        <v>12</v>
      </c>
      <c r="G1223" s="2"/>
      <c r="H1223" s="2"/>
      <c r="I1223" s="2"/>
    </row>
    <row r="1224">
      <c r="A1224" s="2" t="s">
        <v>1227</v>
      </c>
      <c r="B1224" s="2" t="s">
        <v>1190</v>
      </c>
      <c r="C1224" s="2"/>
      <c r="D1224" s="2"/>
      <c r="E1224" s="2"/>
      <c r="F1224" s="2"/>
      <c r="G1224" s="2"/>
      <c r="H1224" s="2"/>
      <c r="I1224" s="2"/>
    </row>
    <row r="1225">
      <c r="A1225" s="2" t="s">
        <v>1228</v>
      </c>
      <c r="B1225" s="2" t="s">
        <v>1190</v>
      </c>
      <c r="C1225" s="2"/>
      <c r="D1225" s="2"/>
      <c r="E1225" s="2"/>
      <c r="F1225" s="2"/>
      <c r="G1225" s="2"/>
      <c r="H1225" s="2"/>
      <c r="I1225" s="2"/>
    </row>
    <row r="1226">
      <c r="A1226" s="2" t="s">
        <v>1229</v>
      </c>
      <c r="B1226" s="2" t="s">
        <v>1190</v>
      </c>
      <c r="C1226" s="1"/>
      <c r="D1226" s="2"/>
      <c r="E1226" s="2"/>
      <c r="F1226" s="2"/>
      <c r="G1226" s="2"/>
      <c r="H1226" s="2"/>
      <c r="I1226" s="2"/>
    </row>
    <row r="1227">
      <c r="A1227" s="2" t="s">
        <v>1230</v>
      </c>
      <c r="B1227" s="2" t="s">
        <v>1190</v>
      </c>
      <c r="C1227" s="2"/>
      <c r="D1227" s="2" t="s">
        <v>11</v>
      </c>
      <c r="E1227" s="2">
        <v>10.0</v>
      </c>
      <c r="F1227" s="2" t="s">
        <v>12</v>
      </c>
      <c r="G1227" s="2"/>
      <c r="H1227" s="2"/>
      <c r="I1227" s="2"/>
    </row>
    <row r="1228">
      <c r="A1228" s="1" t="s">
        <v>1231</v>
      </c>
      <c r="B1228" s="2" t="s">
        <v>1190</v>
      </c>
      <c r="C1228" s="2"/>
      <c r="D1228" s="2" t="s">
        <v>37</v>
      </c>
      <c r="E1228" s="2">
        <v>30.0</v>
      </c>
      <c r="F1228" s="2" t="s">
        <v>22</v>
      </c>
      <c r="G1228" s="2"/>
      <c r="H1228" s="2"/>
      <c r="I1228" s="2"/>
    </row>
    <row r="1229">
      <c r="A1229" s="2" t="s">
        <v>1232</v>
      </c>
      <c r="B1229" s="2" t="s">
        <v>1190</v>
      </c>
      <c r="C1229" s="1"/>
      <c r="D1229" s="2"/>
      <c r="E1229" s="2"/>
      <c r="F1229" s="2"/>
      <c r="G1229" s="2"/>
      <c r="H1229" s="2"/>
      <c r="I1229" s="2"/>
    </row>
    <row r="1230">
      <c r="A1230" s="1" t="s">
        <v>1233</v>
      </c>
      <c r="B1230" s="2" t="s">
        <v>1190</v>
      </c>
      <c r="C1230" s="1"/>
      <c r="D1230" s="2"/>
      <c r="E1230" s="2"/>
      <c r="F1230" s="2"/>
      <c r="G1230" s="2"/>
      <c r="H1230" s="2"/>
      <c r="I1230" s="2"/>
    </row>
    <row r="1231">
      <c r="A1231" s="2" t="s">
        <v>1234</v>
      </c>
      <c r="B1231" s="2" t="s">
        <v>1190</v>
      </c>
      <c r="C1231" s="1"/>
      <c r="D1231" s="2"/>
      <c r="E1231" s="2"/>
      <c r="F1231" s="2"/>
      <c r="G1231" s="2"/>
      <c r="H1231" s="2"/>
      <c r="I1231" s="2"/>
    </row>
    <row r="1232">
      <c r="A1232" s="2" t="s">
        <v>1235</v>
      </c>
      <c r="B1232" s="2" t="s">
        <v>1190</v>
      </c>
      <c r="C1232" s="1"/>
      <c r="D1232" s="2"/>
      <c r="E1232" s="2"/>
      <c r="F1232" s="2"/>
      <c r="G1232" s="2"/>
      <c r="H1232" s="2"/>
      <c r="I1232" s="2"/>
    </row>
    <row r="1233">
      <c r="A1233" s="1" t="s">
        <v>1236</v>
      </c>
      <c r="B1233" s="2" t="s">
        <v>1190</v>
      </c>
      <c r="C1233" s="1"/>
      <c r="D1233" s="2"/>
      <c r="E1233" s="2"/>
      <c r="F1233" s="2"/>
      <c r="G1233" s="2"/>
      <c r="H1233" s="2"/>
      <c r="I1233" s="2"/>
    </row>
    <row r="1234">
      <c r="A1234" s="1" t="s">
        <v>1237</v>
      </c>
      <c r="B1234" s="2" t="s">
        <v>1190</v>
      </c>
      <c r="C1234" s="2"/>
      <c r="D1234" s="2" t="s">
        <v>11</v>
      </c>
      <c r="E1234" s="2"/>
      <c r="F1234" s="2"/>
      <c r="G1234" s="2"/>
      <c r="H1234" s="2"/>
      <c r="I1234" s="2"/>
    </row>
    <row r="1235">
      <c r="A1235" s="2" t="s">
        <v>1238</v>
      </c>
      <c r="B1235" s="2" t="s">
        <v>1190</v>
      </c>
      <c r="C1235" s="2"/>
      <c r="D1235" s="2" t="s">
        <v>1239</v>
      </c>
      <c r="E1235" s="2">
        <v>30.0</v>
      </c>
      <c r="F1235" s="2"/>
      <c r="G1235" s="2"/>
      <c r="H1235" s="2"/>
      <c r="I1235" s="2"/>
    </row>
    <row r="1236">
      <c r="A1236" s="2" t="s">
        <v>1240</v>
      </c>
      <c r="B1236" s="2" t="s">
        <v>1190</v>
      </c>
      <c r="C1236" s="1"/>
      <c r="D1236" s="2"/>
      <c r="E1236" s="2"/>
      <c r="F1236" s="2"/>
      <c r="G1236" s="2"/>
      <c r="H1236" s="2"/>
      <c r="I1236" s="2"/>
    </row>
    <row r="1237">
      <c r="A1237" s="1" t="s">
        <v>1241</v>
      </c>
      <c r="B1237" s="2" t="s">
        <v>1190</v>
      </c>
      <c r="C1237" s="2"/>
      <c r="D1237" s="2" t="s">
        <v>37</v>
      </c>
      <c r="E1237" s="2">
        <v>30.0</v>
      </c>
      <c r="F1237" s="2" t="s">
        <v>22</v>
      </c>
      <c r="G1237" s="2"/>
      <c r="H1237" s="2"/>
      <c r="I1237" s="2"/>
    </row>
    <row r="1238">
      <c r="A1238" s="1" t="s">
        <v>1242</v>
      </c>
      <c r="B1238" s="2" t="s">
        <v>1190</v>
      </c>
      <c r="C1238" s="1"/>
      <c r="D1238" s="2"/>
      <c r="E1238" s="2"/>
      <c r="F1238" s="2"/>
      <c r="G1238" s="2"/>
      <c r="H1238" s="2"/>
      <c r="I1238" s="2"/>
    </row>
    <row r="1239">
      <c r="A1239" s="2" t="s">
        <v>1243</v>
      </c>
      <c r="B1239" s="2" t="s">
        <v>1190</v>
      </c>
      <c r="C1239" s="1"/>
      <c r="D1239" s="2"/>
      <c r="E1239" s="2"/>
      <c r="F1239" s="2"/>
      <c r="G1239" s="2"/>
      <c r="H1239" s="2"/>
      <c r="I1239" s="2"/>
    </row>
    <row r="1240">
      <c r="A1240" s="2" t="s">
        <v>1244</v>
      </c>
      <c r="B1240" s="2" t="s">
        <v>1190</v>
      </c>
      <c r="C1240" s="2"/>
      <c r="D1240" s="2" t="s">
        <v>37</v>
      </c>
      <c r="E1240" s="2">
        <v>15.0</v>
      </c>
      <c r="F1240" s="2" t="s">
        <v>12</v>
      </c>
      <c r="G1240" s="2"/>
      <c r="H1240" s="2"/>
      <c r="I1240" s="2"/>
    </row>
    <row r="1241">
      <c r="A1241" s="2" t="s">
        <v>1245</v>
      </c>
      <c r="B1241" s="2" t="s">
        <v>1190</v>
      </c>
      <c r="C1241" s="2"/>
      <c r="D1241" s="2" t="s">
        <v>37</v>
      </c>
      <c r="E1241" s="2">
        <v>30.0</v>
      </c>
      <c r="F1241" s="2" t="s">
        <v>22</v>
      </c>
      <c r="G1241" s="2"/>
      <c r="H1241" s="2"/>
      <c r="I1241" s="2"/>
    </row>
    <row r="1242">
      <c r="A1242" s="2" t="s">
        <v>1246</v>
      </c>
      <c r="B1242" s="2" t="s">
        <v>1190</v>
      </c>
      <c r="C1242" s="2"/>
      <c r="D1242" s="1" t="s">
        <v>22</v>
      </c>
      <c r="E1242" s="2">
        <v>1.0</v>
      </c>
      <c r="F1242" s="2" t="s">
        <v>22</v>
      </c>
      <c r="G1242" s="2"/>
      <c r="H1242" s="2"/>
      <c r="I1242" s="2"/>
    </row>
    <row r="1243">
      <c r="A1243" s="2" t="s">
        <v>1247</v>
      </c>
      <c r="B1243" s="2" t="s">
        <v>1190</v>
      </c>
      <c r="C1243" s="2"/>
      <c r="D1243" s="2" t="s">
        <v>37</v>
      </c>
      <c r="E1243" s="2">
        <v>15.0</v>
      </c>
      <c r="F1243" s="2" t="s">
        <v>12</v>
      </c>
      <c r="G1243" s="2"/>
      <c r="H1243" s="2"/>
      <c r="I1243" s="2"/>
    </row>
    <row r="1244">
      <c r="A1244" s="2" t="s">
        <v>1248</v>
      </c>
      <c r="B1244" s="2" t="s">
        <v>1190</v>
      </c>
      <c r="C1244" s="2"/>
      <c r="D1244" s="1" t="s">
        <v>22</v>
      </c>
      <c r="E1244" s="2">
        <v>1.0</v>
      </c>
      <c r="F1244" s="2" t="s">
        <v>22</v>
      </c>
      <c r="G1244" s="2"/>
      <c r="H1244" s="2"/>
      <c r="I1244" s="2"/>
    </row>
    <row r="1245">
      <c r="A1245" s="1" t="s">
        <v>1249</v>
      </c>
      <c r="B1245" s="2" t="s">
        <v>1250</v>
      </c>
      <c r="C1245" s="1"/>
      <c r="D1245" s="2"/>
      <c r="E1245" s="2"/>
      <c r="F1245" s="2"/>
      <c r="G1245" s="2"/>
      <c r="H1245" s="2"/>
      <c r="I1245" s="2"/>
    </row>
    <row r="1246">
      <c r="A1246" s="1" t="s">
        <v>1251</v>
      </c>
      <c r="B1246" s="2" t="s">
        <v>1250</v>
      </c>
      <c r="C1246" s="1"/>
      <c r="D1246" s="2"/>
      <c r="E1246" s="2"/>
      <c r="F1246" s="2"/>
      <c r="G1246" s="2"/>
      <c r="H1246" s="2"/>
      <c r="I1246" s="2"/>
    </row>
    <row r="1247">
      <c r="A1247" s="1" t="s">
        <v>1252</v>
      </c>
      <c r="B1247" s="2" t="s">
        <v>1250</v>
      </c>
      <c r="C1247" s="1"/>
      <c r="D1247" s="2"/>
      <c r="E1247" s="2"/>
      <c r="F1247" s="2"/>
      <c r="G1247" s="2"/>
      <c r="H1247" s="2"/>
      <c r="I1247" s="2"/>
    </row>
    <row r="1248">
      <c r="A1248" s="1" t="s">
        <v>1253</v>
      </c>
      <c r="B1248" s="2" t="s">
        <v>1250</v>
      </c>
      <c r="C1248" s="1"/>
      <c r="D1248" s="2"/>
      <c r="E1248" s="2"/>
      <c r="F1248" s="2"/>
      <c r="G1248" s="2"/>
      <c r="H1248" s="2"/>
      <c r="I1248" s="2"/>
    </row>
    <row r="1249">
      <c r="A1249" s="2" t="s">
        <v>1254</v>
      </c>
      <c r="B1249" s="2" t="s">
        <v>1250</v>
      </c>
      <c r="C1249" s="2"/>
      <c r="D1249" s="2" t="s">
        <v>37</v>
      </c>
      <c r="E1249" s="2">
        <v>30.0</v>
      </c>
      <c r="F1249" s="2" t="s">
        <v>22</v>
      </c>
      <c r="G1249" s="2"/>
      <c r="H1249" s="2"/>
      <c r="I1249" s="2"/>
    </row>
    <row r="1250">
      <c r="A1250" s="2" t="s">
        <v>1255</v>
      </c>
      <c r="B1250" s="2" t="s">
        <v>1250</v>
      </c>
      <c r="C1250" s="1"/>
      <c r="D1250" s="2"/>
      <c r="E1250" s="2"/>
      <c r="F1250" s="2"/>
      <c r="G1250" s="2"/>
      <c r="H1250" s="2"/>
      <c r="I1250" s="2"/>
    </row>
    <row r="1251">
      <c r="A1251" s="2" t="s">
        <v>1256</v>
      </c>
      <c r="B1251" s="2" t="s">
        <v>1250</v>
      </c>
      <c r="C1251" s="2"/>
      <c r="D1251" s="2" t="s">
        <v>37</v>
      </c>
      <c r="E1251" s="2">
        <v>30.0</v>
      </c>
      <c r="F1251" s="2" t="s">
        <v>22</v>
      </c>
      <c r="G1251" s="2"/>
      <c r="H1251" s="2"/>
      <c r="I1251" s="2"/>
    </row>
    <row r="1252">
      <c r="A1252" s="1" t="s">
        <v>1257</v>
      </c>
      <c r="B1252" s="2" t="s">
        <v>1250</v>
      </c>
      <c r="C1252" s="1"/>
      <c r="D1252" s="2"/>
      <c r="E1252" s="2"/>
      <c r="F1252" s="2"/>
      <c r="G1252" s="2"/>
      <c r="H1252" s="2"/>
      <c r="I1252" s="2"/>
    </row>
    <row r="1253">
      <c r="A1253" s="1" t="s">
        <v>1258</v>
      </c>
      <c r="B1253" s="2" t="s">
        <v>1250</v>
      </c>
      <c r="C1253" s="2"/>
      <c r="D1253" s="2" t="s">
        <v>37</v>
      </c>
      <c r="E1253" s="2">
        <v>30.0</v>
      </c>
      <c r="F1253" s="2" t="s">
        <v>22</v>
      </c>
      <c r="G1253" s="2"/>
      <c r="H1253" s="2"/>
      <c r="I1253" s="2"/>
    </row>
    <row r="1254">
      <c r="A1254" s="1" t="s">
        <v>1259</v>
      </c>
      <c r="B1254" s="2" t="s">
        <v>1250</v>
      </c>
      <c r="C1254" s="1"/>
      <c r="D1254" s="2"/>
      <c r="E1254" s="2"/>
      <c r="F1254" s="2"/>
      <c r="G1254" s="2"/>
      <c r="H1254" s="2"/>
      <c r="I1254" s="2"/>
    </row>
    <row r="1255">
      <c r="A1255" s="1" t="s">
        <v>1260</v>
      </c>
      <c r="B1255" s="2" t="s">
        <v>1250</v>
      </c>
      <c r="C1255" s="2"/>
      <c r="D1255" s="2" t="s">
        <v>37</v>
      </c>
      <c r="E1255" s="2">
        <v>30.0</v>
      </c>
      <c r="F1255" s="2" t="s">
        <v>22</v>
      </c>
      <c r="G1255" s="2"/>
      <c r="H1255" s="2"/>
      <c r="I1255" s="2"/>
    </row>
    <row r="1256">
      <c r="A1256" s="2" t="s">
        <v>1261</v>
      </c>
      <c r="B1256" s="2" t="s">
        <v>1250</v>
      </c>
      <c r="C1256" s="1"/>
      <c r="D1256" s="2"/>
      <c r="E1256" s="2"/>
      <c r="F1256" s="2"/>
      <c r="G1256" s="2"/>
      <c r="H1256" s="2"/>
      <c r="I1256" s="2"/>
    </row>
    <row r="1257">
      <c r="A1257" s="1" t="s">
        <v>1262</v>
      </c>
      <c r="B1257" s="2" t="s">
        <v>1250</v>
      </c>
      <c r="C1257" s="1"/>
      <c r="D1257" s="2"/>
      <c r="E1257" s="2"/>
      <c r="F1257" s="2"/>
      <c r="G1257" s="2"/>
      <c r="H1257" s="2"/>
      <c r="I1257" s="2"/>
    </row>
    <row r="1258">
      <c r="A1258" s="1" t="s">
        <v>1263</v>
      </c>
      <c r="B1258" s="2" t="s">
        <v>1250</v>
      </c>
      <c r="C1258" s="2"/>
      <c r="D1258" s="2" t="s">
        <v>37</v>
      </c>
      <c r="E1258" s="2">
        <v>30.0</v>
      </c>
      <c r="F1258" s="2" t="s">
        <v>22</v>
      </c>
      <c r="G1258" s="2"/>
      <c r="H1258" s="2"/>
      <c r="I1258" s="2"/>
    </row>
    <row r="1259">
      <c r="A1259" s="2" t="s">
        <v>1264</v>
      </c>
      <c r="B1259" s="2" t="s">
        <v>1250</v>
      </c>
      <c r="C1259" s="1"/>
      <c r="D1259" s="2"/>
      <c r="E1259" s="2"/>
      <c r="F1259" s="2"/>
      <c r="G1259" s="2"/>
      <c r="H1259" s="2"/>
      <c r="I1259" s="2"/>
    </row>
    <row r="1260">
      <c r="A1260" s="2" t="s">
        <v>1265</v>
      </c>
      <c r="B1260" s="2" t="s">
        <v>1250</v>
      </c>
      <c r="C1260" s="2"/>
      <c r="D1260" s="2" t="s">
        <v>37</v>
      </c>
      <c r="E1260" s="2">
        <v>30.0</v>
      </c>
      <c r="F1260" s="2" t="s">
        <v>22</v>
      </c>
      <c r="G1260" s="2"/>
      <c r="H1260" s="2"/>
      <c r="I1260" s="2"/>
    </row>
    <row r="1261">
      <c r="A1261" s="1" t="s">
        <v>1266</v>
      </c>
      <c r="B1261" s="2" t="s">
        <v>1250</v>
      </c>
      <c r="C1261" s="2"/>
      <c r="D1261" s="2" t="s">
        <v>37</v>
      </c>
      <c r="E1261" s="2">
        <v>30.0</v>
      </c>
      <c r="F1261" s="2" t="s">
        <v>22</v>
      </c>
      <c r="G1261" s="2"/>
      <c r="H1261" s="2"/>
      <c r="I1261" s="2"/>
    </row>
    <row r="1262">
      <c r="A1262" s="1" t="s">
        <v>1267</v>
      </c>
      <c r="B1262" s="2" t="s">
        <v>1250</v>
      </c>
      <c r="C1262" s="2"/>
      <c r="D1262" s="2" t="s">
        <v>37</v>
      </c>
      <c r="E1262" s="2">
        <v>30.0</v>
      </c>
      <c r="F1262" s="2" t="s">
        <v>22</v>
      </c>
      <c r="G1262" s="2"/>
      <c r="H1262" s="2"/>
      <c r="I1262" s="2"/>
    </row>
    <row r="1263">
      <c r="A1263" s="2" t="s">
        <v>1268</v>
      </c>
      <c r="B1263" s="2" t="s">
        <v>1250</v>
      </c>
      <c r="C1263" s="2"/>
      <c r="D1263" s="1" t="s">
        <v>22</v>
      </c>
      <c r="E1263" s="2">
        <v>1.0</v>
      </c>
      <c r="F1263" s="2" t="s">
        <v>22</v>
      </c>
      <c r="G1263" s="2"/>
      <c r="H1263" s="2"/>
      <c r="I1263" s="2"/>
    </row>
    <row r="1264">
      <c r="A1264" s="1" t="s">
        <v>1269</v>
      </c>
      <c r="B1264" s="2" t="s">
        <v>1250</v>
      </c>
      <c r="C1264" s="2"/>
      <c r="D1264" s="2" t="s">
        <v>11</v>
      </c>
      <c r="E1264" s="2">
        <v>15.0</v>
      </c>
      <c r="F1264" s="2" t="s">
        <v>12</v>
      </c>
      <c r="G1264" s="2"/>
      <c r="H1264" s="2"/>
      <c r="I1264" s="2"/>
    </row>
    <row r="1265">
      <c r="A1265" s="2" t="s">
        <v>1270</v>
      </c>
      <c r="B1265" s="2" t="s">
        <v>1250</v>
      </c>
      <c r="C1265" s="2"/>
      <c r="D1265" s="2" t="s">
        <v>11</v>
      </c>
      <c r="E1265" s="2">
        <v>10.0</v>
      </c>
      <c r="F1265" s="2" t="s">
        <v>12</v>
      </c>
      <c r="G1265" s="2"/>
      <c r="H1265" s="2"/>
      <c r="I1265" s="2"/>
    </row>
    <row r="1266">
      <c r="A1266" s="2" t="s">
        <v>1270</v>
      </c>
      <c r="B1266" s="2" t="s">
        <v>1250</v>
      </c>
      <c r="C1266" s="2"/>
      <c r="D1266" s="2" t="s">
        <v>11</v>
      </c>
      <c r="E1266" s="2">
        <v>15.0</v>
      </c>
      <c r="F1266" s="2" t="s">
        <v>12</v>
      </c>
      <c r="G1266" s="2"/>
      <c r="H1266" s="2"/>
      <c r="I1266" s="2"/>
    </row>
    <row r="1267">
      <c r="A1267" s="2" t="s">
        <v>1271</v>
      </c>
      <c r="B1267" s="2" t="s">
        <v>1250</v>
      </c>
      <c r="C1267" s="2"/>
      <c r="D1267" s="1" t="s">
        <v>22</v>
      </c>
      <c r="E1267" s="2">
        <v>1.0</v>
      </c>
      <c r="F1267" s="2" t="s">
        <v>22</v>
      </c>
      <c r="G1267" s="2"/>
      <c r="H1267" s="2"/>
      <c r="I1267" s="2"/>
    </row>
    <row r="1268">
      <c r="A1268" s="2" t="s">
        <v>1272</v>
      </c>
      <c r="B1268" s="2" t="s">
        <v>1250</v>
      </c>
      <c r="C1268" s="1"/>
      <c r="D1268" s="2"/>
      <c r="E1268" s="2"/>
      <c r="F1268" s="2"/>
      <c r="G1268" s="2"/>
      <c r="H1268" s="2"/>
      <c r="I1268" s="2"/>
    </row>
    <row r="1269">
      <c r="A1269" s="2" t="s">
        <v>1273</v>
      </c>
      <c r="B1269" s="2" t="s">
        <v>1250</v>
      </c>
      <c r="C1269" s="2"/>
      <c r="D1269" s="1" t="s">
        <v>22</v>
      </c>
      <c r="E1269" s="2">
        <v>1.0</v>
      </c>
      <c r="F1269" s="2" t="s">
        <v>22</v>
      </c>
      <c r="G1269" s="2"/>
      <c r="H1269" s="2"/>
      <c r="I1269" s="2"/>
    </row>
    <row r="1270">
      <c r="A1270" s="2" t="s">
        <v>1274</v>
      </c>
      <c r="B1270" s="2" t="s">
        <v>1250</v>
      </c>
      <c r="C1270" s="2"/>
      <c r="D1270" s="1" t="s">
        <v>22</v>
      </c>
      <c r="E1270" s="2">
        <v>1.0</v>
      </c>
      <c r="F1270" s="2" t="s">
        <v>22</v>
      </c>
      <c r="G1270" s="2"/>
      <c r="H1270" s="2"/>
      <c r="I1270" s="2"/>
    </row>
    <row r="1271">
      <c r="A1271" s="2" t="s">
        <v>1275</v>
      </c>
      <c r="B1271" s="2" t="s">
        <v>1276</v>
      </c>
      <c r="C1271" s="2"/>
      <c r="D1271" s="2" t="s">
        <v>37</v>
      </c>
      <c r="E1271" s="2">
        <v>30.0</v>
      </c>
      <c r="F1271" s="2" t="s">
        <v>22</v>
      </c>
      <c r="G1271" s="2"/>
      <c r="H1271" s="2"/>
      <c r="I1271" s="2"/>
    </row>
    <row r="1272">
      <c r="A1272" s="2" t="s">
        <v>1277</v>
      </c>
      <c r="B1272" s="2" t="s">
        <v>1276</v>
      </c>
      <c r="C1272" s="1"/>
      <c r="D1272" s="2"/>
      <c r="E1272" s="2"/>
      <c r="F1272" s="2"/>
      <c r="G1272" s="2"/>
      <c r="H1272" s="2"/>
      <c r="I1272" s="2"/>
    </row>
    <row r="1273">
      <c r="A1273" s="2" t="s">
        <v>1278</v>
      </c>
      <c r="B1273" s="2" t="s">
        <v>1276</v>
      </c>
      <c r="C1273" s="2"/>
      <c r="D1273" s="2" t="s">
        <v>37</v>
      </c>
      <c r="E1273" s="2">
        <v>30.0</v>
      </c>
      <c r="F1273" s="2" t="s">
        <v>22</v>
      </c>
      <c r="G1273" s="2"/>
      <c r="H1273" s="2"/>
      <c r="I1273" s="2"/>
    </row>
    <row r="1274">
      <c r="A1274" s="2" t="s">
        <v>1279</v>
      </c>
      <c r="B1274" s="2" t="s">
        <v>1276</v>
      </c>
      <c r="C1274" s="1"/>
      <c r="D1274" s="2"/>
      <c r="E1274" s="2"/>
      <c r="F1274" s="2"/>
      <c r="G1274" s="2"/>
      <c r="H1274" s="2"/>
      <c r="I1274" s="2"/>
    </row>
    <row r="1275">
      <c r="A1275" s="2" t="s">
        <v>1280</v>
      </c>
      <c r="B1275" s="2" t="s">
        <v>1276</v>
      </c>
      <c r="C1275" s="1"/>
      <c r="D1275" s="2"/>
      <c r="E1275" s="2"/>
      <c r="F1275" s="2"/>
      <c r="G1275" s="2"/>
      <c r="H1275" s="2"/>
      <c r="I1275" s="2"/>
    </row>
    <row r="1276">
      <c r="A1276" s="2" t="s">
        <v>1281</v>
      </c>
      <c r="B1276" s="2" t="s">
        <v>1276</v>
      </c>
      <c r="C1276" s="1"/>
      <c r="D1276" s="2"/>
      <c r="E1276" s="2"/>
      <c r="F1276" s="2"/>
      <c r="G1276" s="2"/>
      <c r="H1276" s="2"/>
      <c r="I1276" s="2"/>
    </row>
    <row r="1277">
      <c r="A1277" s="2" t="s">
        <v>1282</v>
      </c>
      <c r="B1277" s="2" t="s">
        <v>1276</v>
      </c>
      <c r="C1277" s="2"/>
      <c r="D1277" s="2" t="s">
        <v>37</v>
      </c>
      <c r="E1277" s="2">
        <v>30.0</v>
      </c>
      <c r="F1277" s="2" t="s">
        <v>22</v>
      </c>
      <c r="G1277" s="2"/>
      <c r="H1277" s="2"/>
      <c r="I1277" s="2"/>
    </row>
    <row r="1278">
      <c r="A1278" s="2" t="s">
        <v>1283</v>
      </c>
      <c r="B1278" s="2" t="s">
        <v>1276</v>
      </c>
      <c r="C1278" s="2"/>
      <c r="D1278" s="2" t="s">
        <v>37</v>
      </c>
      <c r="E1278" s="2">
        <v>60.0</v>
      </c>
      <c r="F1278" s="2" t="s">
        <v>22</v>
      </c>
      <c r="G1278" s="2"/>
      <c r="H1278" s="2"/>
      <c r="I1278" s="2"/>
    </row>
    <row r="1279">
      <c r="A1279" s="2" t="s">
        <v>1284</v>
      </c>
      <c r="B1279" s="2" t="s">
        <v>1276</v>
      </c>
      <c r="C1279" s="1"/>
      <c r="D1279" s="2"/>
      <c r="E1279" s="2"/>
      <c r="F1279" s="2"/>
      <c r="G1279" s="2"/>
      <c r="H1279" s="2"/>
      <c r="I1279" s="2"/>
    </row>
    <row r="1280">
      <c r="A1280" s="1" t="s">
        <v>1285</v>
      </c>
      <c r="B1280" s="2" t="s">
        <v>1276</v>
      </c>
      <c r="C1280" s="1"/>
      <c r="D1280" s="2"/>
      <c r="E1280" s="2"/>
      <c r="F1280" s="2"/>
      <c r="G1280" s="2"/>
      <c r="H1280" s="2"/>
      <c r="I1280" s="2"/>
    </row>
    <row r="1281">
      <c r="A1281" s="1" t="s">
        <v>1286</v>
      </c>
      <c r="B1281" s="2" t="s">
        <v>1276</v>
      </c>
      <c r="C1281" s="2"/>
      <c r="D1281" s="2" t="s">
        <v>11</v>
      </c>
      <c r="E1281" s="2">
        <v>6.0</v>
      </c>
      <c r="F1281" s="2" t="s">
        <v>12</v>
      </c>
      <c r="G1281" s="2"/>
      <c r="H1281" s="2"/>
      <c r="I1281" s="2"/>
    </row>
    <row r="1282">
      <c r="A1282" s="1" t="s">
        <v>1287</v>
      </c>
      <c r="B1282" s="2" t="s">
        <v>1276</v>
      </c>
      <c r="C1282" s="2"/>
      <c r="D1282" s="2" t="s">
        <v>11</v>
      </c>
      <c r="E1282" s="2">
        <v>3.0</v>
      </c>
      <c r="F1282" s="2" t="s">
        <v>12</v>
      </c>
      <c r="G1282" s="2"/>
      <c r="H1282" s="2"/>
      <c r="I1282" s="2"/>
    </row>
    <row r="1283">
      <c r="A1283" s="1" t="s">
        <v>1287</v>
      </c>
      <c r="B1283" s="2" t="s">
        <v>1276</v>
      </c>
      <c r="C1283" s="2"/>
      <c r="D1283" s="2" t="s">
        <v>11</v>
      </c>
      <c r="E1283" s="2">
        <v>5.0</v>
      </c>
      <c r="F1283" s="2" t="s">
        <v>12</v>
      </c>
      <c r="G1283" s="2"/>
      <c r="H1283" s="2"/>
      <c r="I1283" s="2"/>
    </row>
    <row r="1284">
      <c r="A1284" s="1" t="s">
        <v>1288</v>
      </c>
      <c r="B1284" s="2" t="s">
        <v>1276</v>
      </c>
      <c r="C1284" s="1"/>
      <c r="D1284" s="2"/>
      <c r="E1284" s="2"/>
      <c r="F1284" s="2"/>
      <c r="G1284" s="2"/>
      <c r="H1284" s="2"/>
      <c r="I1284" s="2"/>
    </row>
    <row r="1285">
      <c r="A1285" s="1" t="s">
        <v>1289</v>
      </c>
      <c r="B1285" s="2" t="s">
        <v>1276</v>
      </c>
      <c r="C1285" s="1"/>
      <c r="D1285" s="2"/>
      <c r="E1285" s="2"/>
      <c r="F1285" s="2"/>
      <c r="G1285" s="2"/>
      <c r="H1285" s="2"/>
      <c r="I1285" s="2"/>
    </row>
    <row r="1286">
      <c r="A1286" s="1" t="s">
        <v>1290</v>
      </c>
      <c r="B1286" s="2" t="s">
        <v>1276</v>
      </c>
      <c r="C1286" s="1"/>
      <c r="D1286" s="2"/>
      <c r="E1286" s="2"/>
      <c r="F1286" s="2"/>
      <c r="G1286" s="2"/>
      <c r="H1286" s="2"/>
      <c r="I1286" s="2"/>
    </row>
    <row r="1287">
      <c r="A1287" s="1" t="s">
        <v>1291</v>
      </c>
      <c r="B1287" s="2" t="s">
        <v>1276</v>
      </c>
      <c r="C1287" s="1"/>
      <c r="D1287" s="2"/>
      <c r="E1287" s="2"/>
      <c r="F1287" s="2"/>
      <c r="G1287" s="2"/>
      <c r="H1287" s="2"/>
      <c r="I1287" s="2"/>
    </row>
    <row r="1288">
      <c r="A1288" s="2" t="s">
        <v>1292</v>
      </c>
      <c r="B1288" s="2" t="s">
        <v>1276</v>
      </c>
      <c r="C1288" s="1"/>
      <c r="D1288" s="2"/>
      <c r="E1288" s="2"/>
      <c r="F1288" s="2"/>
      <c r="G1288" s="2"/>
      <c r="H1288" s="2"/>
      <c r="I1288" s="2"/>
    </row>
    <row r="1289">
      <c r="A1289" s="2" t="s">
        <v>1293</v>
      </c>
      <c r="B1289" s="2" t="s">
        <v>1276</v>
      </c>
      <c r="C1289" s="1"/>
      <c r="D1289" s="2"/>
      <c r="E1289" s="2"/>
      <c r="F1289" s="2"/>
      <c r="G1289" s="2"/>
      <c r="H1289" s="2"/>
      <c r="I1289" s="2"/>
    </row>
    <row r="1290">
      <c r="A1290" s="1" t="s">
        <v>1294</v>
      </c>
      <c r="B1290" s="2" t="s">
        <v>1276</v>
      </c>
      <c r="C1290" s="1"/>
      <c r="D1290" s="2"/>
      <c r="E1290" s="2"/>
      <c r="F1290" s="2"/>
      <c r="G1290" s="2"/>
      <c r="H1290" s="2"/>
      <c r="I1290" s="2"/>
    </row>
    <row r="1291">
      <c r="A1291" s="1" t="s">
        <v>1295</v>
      </c>
      <c r="B1291" s="2" t="s">
        <v>1276</v>
      </c>
      <c r="C1291" s="1"/>
      <c r="D1291" s="2"/>
      <c r="E1291" s="2"/>
      <c r="F1291" s="2"/>
      <c r="G1291" s="2"/>
      <c r="H1291" s="2"/>
      <c r="I1291" s="2"/>
    </row>
    <row r="1292">
      <c r="A1292" s="1" t="s">
        <v>1296</v>
      </c>
      <c r="B1292" s="2" t="s">
        <v>1276</v>
      </c>
      <c r="C1292" s="1"/>
      <c r="D1292" s="2"/>
      <c r="E1292" s="2"/>
      <c r="F1292" s="2"/>
      <c r="G1292" s="2"/>
      <c r="H1292" s="2"/>
      <c r="I1292" s="2"/>
    </row>
    <row r="1293">
      <c r="A1293" s="2" t="s">
        <v>1297</v>
      </c>
      <c r="B1293" s="2" t="s">
        <v>1276</v>
      </c>
      <c r="C1293" s="1"/>
      <c r="D1293" s="2"/>
      <c r="E1293" s="2"/>
      <c r="F1293" s="2"/>
      <c r="G1293" s="2"/>
      <c r="H1293" s="2"/>
      <c r="I1293" s="2"/>
    </row>
    <row r="1294">
      <c r="A1294" s="2" t="s">
        <v>1298</v>
      </c>
      <c r="B1294" s="2" t="s">
        <v>1276</v>
      </c>
      <c r="C1294" s="1"/>
      <c r="D1294" s="2"/>
      <c r="E1294" s="2"/>
      <c r="F1294" s="2"/>
      <c r="G1294" s="2"/>
      <c r="H1294" s="2"/>
      <c r="I1294" s="2"/>
    </row>
    <row r="1295">
      <c r="A1295" s="2" t="s">
        <v>1299</v>
      </c>
      <c r="B1295" s="2" t="s">
        <v>1276</v>
      </c>
      <c r="C1295" s="1"/>
      <c r="D1295" s="2"/>
      <c r="E1295" s="2"/>
      <c r="F1295" s="2"/>
      <c r="G1295" s="2"/>
      <c r="H1295" s="2"/>
      <c r="I1295" s="2"/>
    </row>
    <row r="1296">
      <c r="A1296" s="1" t="s">
        <v>1300</v>
      </c>
      <c r="B1296" s="2" t="s">
        <v>1276</v>
      </c>
      <c r="C1296" s="1"/>
      <c r="D1296" s="2"/>
      <c r="E1296" s="2"/>
      <c r="F1296" s="2"/>
      <c r="G1296" s="2"/>
      <c r="H1296" s="2"/>
      <c r="I1296" s="2"/>
    </row>
    <row r="1297">
      <c r="A1297" s="1" t="s">
        <v>1301</v>
      </c>
      <c r="B1297" s="2" t="s">
        <v>1276</v>
      </c>
      <c r="C1297" s="1"/>
      <c r="D1297" s="2"/>
      <c r="E1297" s="2"/>
      <c r="F1297" s="2"/>
      <c r="G1297" s="2"/>
      <c r="H1297" s="2"/>
      <c r="I1297" s="2"/>
    </row>
    <row r="1298">
      <c r="A1298" s="1" t="s">
        <v>1302</v>
      </c>
      <c r="B1298" s="2" t="s">
        <v>1276</v>
      </c>
      <c r="C1298" s="1"/>
      <c r="D1298" s="2"/>
      <c r="E1298" s="2"/>
      <c r="F1298" s="2"/>
      <c r="G1298" s="2"/>
      <c r="H1298" s="2"/>
      <c r="I1298" s="2"/>
    </row>
    <row r="1299">
      <c r="A1299" s="1" t="s">
        <v>1303</v>
      </c>
      <c r="B1299" s="2" t="s">
        <v>1276</v>
      </c>
      <c r="C1299" s="2"/>
      <c r="D1299" s="2" t="s">
        <v>11</v>
      </c>
      <c r="E1299" s="2">
        <v>10.0</v>
      </c>
      <c r="F1299" s="2" t="s">
        <v>12</v>
      </c>
      <c r="G1299" s="2"/>
      <c r="H1299" s="2"/>
      <c r="I1299" s="2"/>
    </row>
    <row r="1300">
      <c r="A1300" s="2" t="s">
        <v>1304</v>
      </c>
      <c r="B1300" s="2" t="s">
        <v>1276</v>
      </c>
      <c r="C1300" s="1"/>
      <c r="D1300" s="2"/>
      <c r="E1300" s="2"/>
      <c r="F1300" s="2"/>
      <c r="G1300" s="2"/>
      <c r="H1300" s="2"/>
      <c r="I1300" s="2"/>
    </row>
    <row r="1301">
      <c r="A1301" s="2" t="s">
        <v>1305</v>
      </c>
      <c r="B1301" s="2" t="s">
        <v>1276</v>
      </c>
      <c r="C1301" s="1"/>
      <c r="D1301" s="2"/>
      <c r="E1301" s="2"/>
      <c r="F1301" s="2"/>
      <c r="G1301" s="2"/>
      <c r="H1301" s="2"/>
      <c r="I1301" s="2"/>
    </row>
    <row r="1302">
      <c r="A1302" s="2" t="s">
        <v>1306</v>
      </c>
      <c r="B1302" s="2" t="s">
        <v>1307</v>
      </c>
      <c r="C1302" s="1"/>
      <c r="D1302" s="2"/>
      <c r="E1302" s="2"/>
      <c r="F1302" s="2"/>
      <c r="G1302" s="2"/>
      <c r="H1302" s="2"/>
      <c r="I1302" s="2"/>
    </row>
    <row r="1303">
      <c r="A1303" s="2" t="s">
        <v>1308</v>
      </c>
      <c r="B1303" s="2" t="s">
        <v>1307</v>
      </c>
      <c r="C1303" s="1"/>
      <c r="D1303" s="2"/>
      <c r="E1303" s="2"/>
      <c r="F1303" s="2"/>
      <c r="G1303" s="2"/>
      <c r="H1303" s="2"/>
      <c r="I1303" s="2"/>
    </row>
    <row r="1304">
      <c r="A1304" s="1" t="s">
        <v>1309</v>
      </c>
      <c r="B1304" s="2" t="s">
        <v>1190</v>
      </c>
      <c r="C1304" s="2"/>
      <c r="D1304" s="2" t="s">
        <v>11</v>
      </c>
      <c r="E1304" s="2">
        <v>10.0</v>
      </c>
      <c r="F1304" s="2" t="s">
        <v>12</v>
      </c>
      <c r="G1304" s="2"/>
      <c r="H1304" s="2"/>
      <c r="I1304" s="2"/>
    </row>
    <row r="1305">
      <c r="A1305" s="1" t="s">
        <v>1310</v>
      </c>
      <c r="B1305" s="2" t="s">
        <v>1190</v>
      </c>
      <c r="C1305" s="2"/>
      <c r="D1305" s="2" t="s">
        <v>11</v>
      </c>
      <c r="E1305" s="2">
        <v>10.0</v>
      </c>
      <c r="F1305" s="2" t="s">
        <v>12</v>
      </c>
      <c r="G1305" s="2"/>
      <c r="H1305" s="2"/>
      <c r="I1305" s="2"/>
    </row>
    <row r="1306">
      <c r="A1306" s="2" t="s">
        <v>1311</v>
      </c>
      <c r="B1306" s="2" t="s">
        <v>1312</v>
      </c>
      <c r="C1306" s="1"/>
      <c r="D1306" s="2"/>
      <c r="E1306" s="2"/>
      <c r="F1306" s="2"/>
      <c r="G1306" s="2"/>
      <c r="H1306" s="2"/>
      <c r="I1306" s="2"/>
    </row>
    <row r="1307">
      <c r="A1307" s="2" t="s">
        <v>1313</v>
      </c>
      <c r="B1307" s="2" t="s">
        <v>1312</v>
      </c>
      <c r="C1307" s="2"/>
      <c r="D1307" s="2" t="s">
        <v>11</v>
      </c>
      <c r="E1307" s="2">
        <v>5.0</v>
      </c>
      <c r="F1307" s="2" t="s">
        <v>12</v>
      </c>
      <c r="G1307" s="2"/>
      <c r="H1307" s="2"/>
      <c r="I1307" s="2"/>
    </row>
    <row r="1308">
      <c r="A1308" s="1" t="s">
        <v>1314</v>
      </c>
      <c r="B1308" s="2" t="s">
        <v>1312</v>
      </c>
      <c r="C1308" s="2"/>
      <c r="D1308" s="1" t="s">
        <v>11</v>
      </c>
      <c r="E1308" s="2">
        <v>4.0</v>
      </c>
      <c r="F1308" s="2" t="s">
        <v>12</v>
      </c>
      <c r="G1308" s="2"/>
      <c r="H1308" s="2"/>
      <c r="I1308" s="2"/>
    </row>
    <row r="1309">
      <c r="A1309" s="1" t="s">
        <v>1315</v>
      </c>
      <c r="B1309" s="2" t="s">
        <v>1316</v>
      </c>
      <c r="C1309" s="2"/>
      <c r="D1309" s="2" t="s">
        <v>11</v>
      </c>
      <c r="E1309" s="2">
        <v>10.0</v>
      </c>
      <c r="F1309" s="2" t="s">
        <v>12</v>
      </c>
      <c r="G1309" s="2"/>
      <c r="H1309" s="2"/>
      <c r="I1309" s="2"/>
    </row>
    <row r="1310">
      <c r="A1310" s="2" t="s">
        <v>1317</v>
      </c>
      <c r="B1310" s="2" t="s">
        <v>1316</v>
      </c>
      <c r="C1310" s="2"/>
      <c r="D1310" s="2" t="s">
        <v>11</v>
      </c>
      <c r="E1310" s="2">
        <v>24.0</v>
      </c>
      <c r="F1310" s="2"/>
      <c r="G1310" s="2"/>
      <c r="H1310" s="2"/>
      <c r="I1310" s="2"/>
    </row>
    <row r="1311">
      <c r="A1311" s="2" t="s">
        <v>1318</v>
      </c>
      <c r="B1311" s="2" t="s">
        <v>1316</v>
      </c>
      <c r="C1311" s="2"/>
      <c r="D1311" s="2" t="s">
        <v>11</v>
      </c>
      <c r="E1311" s="2">
        <v>21.0</v>
      </c>
      <c r="F1311" s="2" t="s">
        <v>12</v>
      </c>
      <c r="G1311" s="2"/>
      <c r="H1311" s="2"/>
      <c r="I1311" s="2"/>
    </row>
    <row r="1312">
      <c r="A1312" s="1" t="s">
        <v>1319</v>
      </c>
      <c r="B1312" s="2" t="s">
        <v>1316</v>
      </c>
      <c r="C1312" s="2"/>
      <c r="D1312" s="2" t="s">
        <v>37</v>
      </c>
      <c r="E1312" s="2">
        <v>10.0</v>
      </c>
      <c r="F1312" s="2" t="s">
        <v>12</v>
      </c>
      <c r="G1312" s="2"/>
      <c r="H1312" s="2"/>
      <c r="I1312" s="2"/>
    </row>
    <row r="1313">
      <c r="A1313" s="1" t="s">
        <v>1320</v>
      </c>
      <c r="B1313" s="2" t="s">
        <v>1316</v>
      </c>
      <c r="C1313" s="2"/>
      <c r="D1313" s="2" t="s">
        <v>37</v>
      </c>
      <c r="E1313" s="2">
        <v>10.0</v>
      </c>
      <c r="F1313" s="2" t="s">
        <v>12</v>
      </c>
      <c r="G1313" s="2"/>
      <c r="H1313" s="2"/>
      <c r="I1313" s="2"/>
    </row>
    <row r="1314">
      <c r="A1314" s="1" t="s">
        <v>1321</v>
      </c>
      <c r="B1314" s="2" t="s">
        <v>1316</v>
      </c>
      <c r="C1314" s="2"/>
      <c r="D1314" s="2" t="s">
        <v>37</v>
      </c>
      <c r="E1314" s="2">
        <v>10.0</v>
      </c>
      <c r="F1314" s="2" t="s">
        <v>12</v>
      </c>
      <c r="G1314" s="2"/>
      <c r="H1314" s="2"/>
      <c r="I1314" s="2"/>
    </row>
    <row r="1315">
      <c r="A1315" s="1" t="s">
        <v>1322</v>
      </c>
      <c r="B1315" s="2" t="s">
        <v>1316</v>
      </c>
      <c r="C1315" s="2"/>
      <c r="D1315" s="2" t="s">
        <v>37</v>
      </c>
      <c r="E1315" s="2">
        <v>10.0</v>
      </c>
      <c r="F1315" s="2" t="s">
        <v>12</v>
      </c>
      <c r="G1315" s="2"/>
      <c r="H1315" s="2"/>
      <c r="I1315" s="2"/>
    </row>
    <row r="1316">
      <c r="A1316" s="1" t="s">
        <v>1323</v>
      </c>
      <c r="B1316" s="2" t="s">
        <v>1316</v>
      </c>
      <c r="C1316" s="2"/>
      <c r="D1316" s="2" t="s">
        <v>37</v>
      </c>
      <c r="E1316" s="2">
        <v>10.0</v>
      </c>
      <c r="F1316" s="2" t="s">
        <v>12</v>
      </c>
      <c r="G1316" s="2"/>
      <c r="H1316" s="2"/>
      <c r="I1316" s="2"/>
    </row>
    <row r="1317">
      <c r="A1317" s="1" t="s">
        <v>1324</v>
      </c>
      <c r="B1317" s="2" t="s">
        <v>1316</v>
      </c>
      <c r="C1317" s="2"/>
      <c r="D1317" s="2" t="s">
        <v>11</v>
      </c>
      <c r="E1317" s="2">
        <v>10.0</v>
      </c>
      <c r="F1317" s="2" t="s">
        <v>12</v>
      </c>
      <c r="G1317" s="2"/>
      <c r="H1317" s="2"/>
      <c r="I1317" s="2"/>
    </row>
    <row r="1318">
      <c r="A1318" s="1" t="s">
        <v>1325</v>
      </c>
      <c r="B1318" s="2" t="s">
        <v>1316</v>
      </c>
      <c r="C1318" s="2"/>
      <c r="D1318" s="2" t="s">
        <v>11</v>
      </c>
      <c r="E1318" s="2">
        <v>10.0</v>
      </c>
      <c r="F1318" s="2" t="s">
        <v>12</v>
      </c>
      <c r="G1318" s="2"/>
      <c r="H1318" s="2"/>
      <c r="I1318" s="2"/>
    </row>
    <row r="1319">
      <c r="A1319" s="2" t="s">
        <v>1326</v>
      </c>
      <c r="B1319" s="2" t="s">
        <v>1316</v>
      </c>
      <c r="C1319" s="1"/>
      <c r="D1319" s="2"/>
      <c r="E1319" s="2"/>
      <c r="F1319" s="2"/>
      <c r="G1319" s="2"/>
      <c r="H1319" s="2"/>
      <c r="I1319" s="2"/>
    </row>
    <row r="1320">
      <c r="A1320" s="1" t="s">
        <v>1327</v>
      </c>
      <c r="B1320" s="2" t="s">
        <v>1316</v>
      </c>
      <c r="C1320" s="2"/>
      <c r="D1320" s="2" t="s">
        <v>11</v>
      </c>
      <c r="E1320" s="2">
        <v>10.0</v>
      </c>
      <c r="F1320" s="2" t="s">
        <v>12</v>
      </c>
      <c r="G1320" s="2"/>
      <c r="H1320" s="2"/>
      <c r="I1320" s="2"/>
    </row>
    <row r="1321">
      <c r="A1321" s="1" t="s">
        <v>1328</v>
      </c>
      <c r="B1321" s="2" t="s">
        <v>1316</v>
      </c>
      <c r="C1321" s="2"/>
      <c r="D1321" s="2" t="s">
        <v>11</v>
      </c>
      <c r="E1321" s="2">
        <v>10.0</v>
      </c>
      <c r="F1321" s="2" t="s">
        <v>12</v>
      </c>
      <c r="G1321" s="2"/>
      <c r="H1321" s="2"/>
      <c r="I1321" s="2"/>
    </row>
    <row r="1322">
      <c r="A1322" s="1" t="s">
        <v>1329</v>
      </c>
      <c r="B1322" s="2" t="s">
        <v>1316</v>
      </c>
      <c r="C1322" s="2"/>
      <c r="D1322" s="2" t="s">
        <v>11</v>
      </c>
      <c r="E1322" s="2">
        <v>10.0</v>
      </c>
      <c r="F1322" s="2" t="s">
        <v>12</v>
      </c>
      <c r="G1322" s="2"/>
      <c r="H1322" s="2"/>
      <c r="I1322" s="2"/>
    </row>
    <row r="1323">
      <c r="A1323" s="1" t="s">
        <v>1330</v>
      </c>
      <c r="B1323" s="2" t="s">
        <v>1316</v>
      </c>
      <c r="C1323" s="2"/>
      <c r="D1323" s="2" t="s">
        <v>11</v>
      </c>
      <c r="E1323" s="2">
        <v>28.0</v>
      </c>
      <c r="F1323" s="2" t="s">
        <v>12</v>
      </c>
      <c r="G1323" s="2"/>
      <c r="H1323" s="2"/>
      <c r="I1323" s="2"/>
    </row>
    <row r="1324">
      <c r="A1324" s="2" t="s">
        <v>1331</v>
      </c>
      <c r="B1324" s="2" t="s">
        <v>1316</v>
      </c>
      <c r="C1324" s="2"/>
      <c r="D1324" s="2" t="s">
        <v>11</v>
      </c>
      <c r="E1324" s="2">
        <v>10.0</v>
      </c>
      <c r="F1324" s="2" t="s">
        <v>12</v>
      </c>
      <c r="G1324" s="2"/>
      <c r="H1324" s="2"/>
      <c r="I1324" s="2"/>
    </row>
    <row r="1325">
      <c r="A1325" s="1" t="s">
        <v>1332</v>
      </c>
      <c r="B1325" s="2" t="s">
        <v>1316</v>
      </c>
      <c r="C1325" s="2"/>
      <c r="D1325" s="2" t="s">
        <v>11</v>
      </c>
      <c r="E1325" s="2">
        <v>10.0</v>
      </c>
      <c r="F1325" s="2" t="s">
        <v>12</v>
      </c>
      <c r="G1325" s="2"/>
      <c r="H1325" s="2"/>
      <c r="I1325" s="2"/>
    </row>
    <row r="1326">
      <c r="A1326" s="1" t="s">
        <v>1333</v>
      </c>
      <c r="B1326" s="2" t="s">
        <v>1316</v>
      </c>
      <c r="C1326" s="2"/>
      <c r="D1326" s="2" t="s">
        <v>11</v>
      </c>
      <c r="E1326" s="2">
        <v>10.0</v>
      </c>
      <c r="F1326" s="2" t="s">
        <v>12</v>
      </c>
      <c r="G1326" s="2"/>
      <c r="H1326" s="2"/>
      <c r="I1326" s="2"/>
    </row>
    <row r="1327">
      <c r="A1327" s="1" t="s">
        <v>1334</v>
      </c>
      <c r="B1327" s="2" t="s">
        <v>1316</v>
      </c>
      <c r="C1327" s="2"/>
      <c r="D1327" s="1" t="s">
        <v>11</v>
      </c>
      <c r="E1327" s="2">
        <v>4.0</v>
      </c>
      <c r="F1327" s="2" t="s">
        <v>12</v>
      </c>
      <c r="G1327" s="2"/>
      <c r="H1327" s="2"/>
      <c r="I1327" s="2"/>
    </row>
    <row r="1328">
      <c r="A1328" s="1" t="s">
        <v>1335</v>
      </c>
      <c r="B1328" s="2" t="s">
        <v>1316</v>
      </c>
      <c r="C1328" s="2"/>
      <c r="D1328" s="2" t="s">
        <v>11</v>
      </c>
      <c r="E1328" s="2">
        <v>1.0</v>
      </c>
      <c r="F1328" s="2" t="s">
        <v>12</v>
      </c>
      <c r="G1328" s="2"/>
      <c r="H1328" s="2"/>
      <c r="I1328" s="2"/>
    </row>
    <row r="1329">
      <c r="A1329" s="1" t="s">
        <v>1336</v>
      </c>
      <c r="B1329" s="2" t="s">
        <v>1316</v>
      </c>
      <c r="C1329" s="2"/>
      <c r="D1329" s="2" t="s">
        <v>11</v>
      </c>
      <c r="E1329" s="2">
        <v>7.0</v>
      </c>
      <c r="F1329" s="2" t="s">
        <v>12</v>
      </c>
      <c r="G1329" s="2"/>
      <c r="H1329" s="2"/>
      <c r="I1329" s="2"/>
    </row>
    <row r="1330">
      <c r="A1330" s="2" t="s">
        <v>1337</v>
      </c>
      <c r="B1330" s="2" t="s">
        <v>1316</v>
      </c>
      <c r="C1330" s="2"/>
      <c r="D1330" s="2" t="s">
        <v>11</v>
      </c>
      <c r="E1330" s="2">
        <v>10.0</v>
      </c>
      <c r="F1330" s="2" t="s">
        <v>12</v>
      </c>
      <c r="G1330" s="2"/>
      <c r="H1330" s="2"/>
      <c r="I1330" s="2"/>
    </row>
    <row r="1331">
      <c r="A1331" s="2" t="s">
        <v>1338</v>
      </c>
      <c r="B1331" s="2" t="s">
        <v>1316</v>
      </c>
      <c r="C1331" s="2"/>
      <c r="D1331" s="2" t="s">
        <v>11</v>
      </c>
      <c r="E1331" s="2">
        <v>14.0</v>
      </c>
      <c r="F1331" s="2" t="s">
        <v>12</v>
      </c>
      <c r="G1331" s="2"/>
      <c r="H1331" s="2"/>
      <c r="I1331" s="2"/>
    </row>
    <row r="1332">
      <c r="A1332" s="2" t="s">
        <v>1339</v>
      </c>
      <c r="B1332" s="2" t="s">
        <v>1312</v>
      </c>
      <c r="C1332" s="2"/>
      <c r="D1332" s="2" t="s">
        <v>37</v>
      </c>
      <c r="E1332" s="2">
        <v>10.0</v>
      </c>
      <c r="F1332" s="2" t="s">
        <v>12</v>
      </c>
      <c r="G1332" s="2"/>
      <c r="H1332" s="2"/>
      <c r="I1332" s="2"/>
    </row>
    <row r="1333">
      <c r="A1333" s="2" t="s">
        <v>1340</v>
      </c>
      <c r="B1333" s="2" t="s">
        <v>1312</v>
      </c>
      <c r="C1333" s="2"/>
      <c r="D1333" s="1" t="s">
        <v>11</v>
      </c>
      <c r="E1333" s="2">
        <v>4.0</v>
      </c>
      <c r="F1333" s="2" t="s">
        <v>12</v>
      </c>
      <c r="G1333" s="2"/>
      <c r="H1333" s="2"/>
      <c r="I1333" s="2"/>
    </row>
    <row r="1334">
      <c r="A1334" s="1" t="s">
        <v>1341</v>
      </c>
      <c r="B1334" s="2" t="s">
        <v>1312</v>
      </c>
      <c r="C1334" s="2"/>
      <c r="D1334" s="2" t="s">
        <v>11</v>
      </c>
      <c r="E1334" s="2">
        <v>10.0</v>
      </c>
      <c r="F1334" s="2" t="s">
        <v>12</v>
      </c>
      <c r="G1334" s="2"/>
      <c r="H1334" s="2"/>
      <c r="I1334" s="2"/>
    </row>
    <row r="1335">
      <c r="A1335" s="1" t="s">
        <v>1342</v>
      </c>
      <c r="B1335" s="2" t="s">
        <v>1312</v>
      </c>
      <c r="C1335" s="2"/>
      <c r="D1335" s="2" t="s">
        <v>11</v>
      </c>
      <c r="E1335" s="2">
        <v>10.0</v>
      </c>
      <c r="F1335" s="2" t="s">
        <v>12</v>
      </c>
      <c r="G1335" s="2"/>
      <c r="H1335" s="2"/>
      <c r="I1335" s="2"/>
    </row>
    <row r="1336">
      <c r="A1336" s="1" t="s">
        <v>1343</v>
      </c>
      <c r="B1336" s="2" t="s">
        <v>1312</v>
      </c>
      <c r="C1336" s="2"/>
      <c r="D1336" s="1" t="s">
        <v>11</v>
      </c>
      <c r="E1336" s="2">
        <v>4.0</v>
      </c>
      <c r="F1336" s="2" t="s">
        <v>12</v>
      </c>
      <c r="G1336" s="2"/>
      <c r="H1336" s="2"/>
      <c r="I1336" s="2"/>
    </row>
    <row r="1337">
      <c r="A1337" s="1" t="s">
        <v>1344</v>
      </c>
      <c r="B1337" s="2" t="s">
        <v>1312</v>
      </c>
      <c r="C1337" s="2"/>
      <c r="D1337" s="1" t="s">
        <v>11</v>
      </c>
      <c r="E1337" s="2">
        <v>4.0</v>
      </c>
      <c r="F1337" s="2" t="s">
        <v>12</v>
      </c>
      <c r="G1337" s="2"/>
      <c r="H1337" s="2"/>
      <c r="I1337" s="2"/>
    </row>
    <row r="1338">
      <c r="A1338" s="1" t="s">
        <v>1345</v>
      </c>
      <c r="B1338" s="2" t="s">
        <v>1312</v>
      </c>
      <c r="C1338" s="2"/>
      <c r="D1338" s="2" t="s">
        <v>11</v>
      </c>
      <c r="E1338" s="2">
        <v>1.0</v>
      </c>
      <c r="F1338" s="2" t="s">
        <v>12</v>
      </c>
      <c r="G1338" s="2"/>
      <c r="H1338" s="2"/>
      <c r="I1338" s="2"/>
    </row>
    <row r="1339">
      <c r="A1339" s="1" t="s">
        <v>1346</v>
      </c>
      <c r="B1339" s="2" t="s">
        <v>1312</v>
      </c>
      <c r="C1339" s="2"/>
      <c r="D1339" s="1" t="s">
        <v>11</v>
      </c>
      <c r="E1339" s="2">
        <v>4.0</v>
      </c>
      <c r="F1339" s="2" t="s">
        <v>12</v>
      </c>
      <c r="G1339" s="2"/>
      <c r="H1339" s="2"/>
      <c r="I1339" s="2"/>
    </row>
    <row r="1340">
      <c r="A1340" s="2" t="s">
        <v>1347</v>
      </c>
      <c r="B1340" s="2" t="s">
        <v>1312</v>
      </c>
      <c r="C1340" s="1"/>
      <c r="D1340" s="2"/>
      <c r="E1340" s="2"/>
      <c r="F1340" s="2"/>
      <c r="G1340" s="2"/>
      <c r="H1340" s="2"/>
      <c r="I1340" s="2"/>
    </row>
    <row r="1341">
      <c r="A1341" s="2" t="s">
        <v>1348</v>
      </c>
      <c r="B1341" s="2" t="s">
        <v>1312</v>
      </c>
      <c r="C1341" s="2"/>
      <c r="D1341" s="2" t="s">
        <v>11</v>
      </c>
      <c r="E1341" s="2">
        <v>10.0</v>
      </c>
      <c r="F1341" s="2" t="s">
        <v>12</v>
      </c>
      <c r="G1341" s="2"/>
      <c r="H1341" s="2"/>
      <c r="I1341" s="2"/>
    </row>
    <row r="1342">
      <c r="A1342" s="2" t="s">
        <v>1349</v>
      </c>
      <c r="B1342" s="2" t="s">
        <v>1350</v>
      </c>
      <c r="C1342" s="1"/>
      <c r="D1342" s="2"/>
      <c r="E1342" s="2"/>
      <c r="F1342" s="2"/>
      <c r="G1342" s="2"/>
      <c r="H1342" s="2"/>
      <c r="I1342" s="2"/>
    </row>
    <row r="1343">
      <c r="A1343" s="2" t="s">
        <v>1351</v>
      </c>
      <c r="B1343" s="2" t="s">
        <v>1350</v>
      </c>
      <c r="C1343" s="1"/>
      <c r="D1343" s="2"/>
      <c r="E1343" s="2"/>
      <c r="F1343" s="2"/>
      <c r="G1343" s="2"/>
      <c r="H1343" s="2"/>
      <c r="I1343" s="2"/>
    </row>
    <row r="1344">
      <c r="A1344" s="1" t="s">
        <v>1352</v>
      </c>
      <c r="B1344" s="2" t="s">
        <v>1353</v>
      </c>
      <c r="C1344" s="2"/>
      <c r="D1344" s="2" t="s">
        <v>11</v>
      </c>
      <c r="E1344" s="2">
        <v>14.0</v>
      </c>
      <c r="F1344" s="2" t="s">
        <v>12</v>
      </c>
      <c r="G1344" s="2"/>
      <c r="H1344" s="2"/>
      <c r="I1344" s="2"/>
    </row>
    <row r="1345">
      <c r="A1345" s="1" t="s">
        <v>1354</v>
      </c>
      <c r="B1345" s="2" t="s">
        <v>1353</v>
      </c>
      <c r="C1345" s="2"/>
      <c r="D1345" s="2" t="s">
        <v>11</v>
      </c>
      <c r="E1345" s="2">
        <v>10.0</v>
      </c>
      <c r="F1345" s="2" t="s">
        <v>12</v>
      </c>
      <c r="G1345" s="2"/>
      <c r="H1345" s="2"/>
      <c r="I1345" s="2"/>
    </row>
    <row r="1346">
      <c r="A1346" s="1" t="s">
        <v>1355</v>
      </c>
      <c r="B1346" s="2" t="s">
        <v>1353</v>
      </c>
      <c r="C1346" s="2"/>
      <c r="D1346" s="2" t="s">
        <v>11</v>
      </c>
      <c r="E1346" s="2">
        <v>10.0</v>
      </c>
      <c r="F1346" s="2" t="s">
        <v>12</v>
      </c>
      <c r="G1346" s="2"/>
      <c r="H1346" s="2"/>
      <c r="I1346" s="2"/>
    </row>
    <row r="1347">
      <c r="A1347" s="2" t="s">
        <v>1356</v>
      </c>
      <c r="B1347" s="2" t="s">
        <v>1353</v>
      </c>
      <c r="C1347" s="2"/>
      <c r="D1347" s="2" t="s">
        <v>11</v>
      </c>
      <c r="E1347" s="2">
        <v>15.0</v>
      </c>
      <c r="F1347" s="2" t="s">
        <v>12</v>
      </c>
      <c r="G1347" s="2"/>
      <c r="H1347" s="2"/>
      <c r="I1347" s="2"/>
    </row>
    <row r="1348">
      <c r="A1348" s="1" t="s">
        <v>1357</v>
      </c>
      <c r="B1348" s="2" t="s">
        <v>1353</v>
      </c>
      <c r="C1348" s="2"/>
      <c r="D1348" s="2" t="s">
        <v>11</v>
      </c>
      <c r="E1348" s="2">
        <v>15.0</v>
      </c>
      <c r="F1348" s="2" t="s">
        <v>12</v>
      </c>
      <c r="G1348" s="2"/>
      <c r="H1348" s="2"/>
      <c r="I1348" s="2"/>
    </row>
    <row r="1349">
      <c r="A1349" s="1" t="s">
        <v>1358</v>
      </c>
      <c r="B1349" s="2" t="s">
        <v>1353</v>
      </c>
      <c r="C1349" s="2"/>
      <c r="D1349" s="2" t="s">
        <v>11</v>
      </c>
      <c r="E1349" s="2">
        <v>10.0</v>
      </c>
      <c r="F1349" s="2" t="s">
        <v>12</v>
      </c>
      <c r="G1349" s="2"/>
      <c r="H1349" s="2"/>
      <c r="I1349" s="2"/>
    </row>
    <row r="1350">
      <c r="A1350" s="1" t="s">
        <v>1358</v>
      </c>
      <c r="B1350" s="2" t="s">
        <v>1353</v>
      </c>
      <c r="C1350" s="2"/>
      <c r="D1350" s="2" t="s">
        <v>11</v>
      </c>
      <c r="E1350" s="2">
        <v>15.0</v>
      </c>
      <c r="F1350" s="2" t="s">
        <v>12</v>
      </c>
      <c r="G1350" s="2"/>
      <c r="H1350" s="2"/>
      <c r="I1350" s="2"/>
    </row>
    <row r="1351">
      <c r="A1351" s="1" t="s">
        <v>1359</v>
      </c>
      <c r="B1351" s="2" t="s">
        <v>1353</v>
      </c>
      <c r="C1351" s="2"/>
      <c r="D1351" s="2" t="s">
        <v>11</v>
      </c>
      <c r="E1351" s="2">
        <v>15.0</v>
      </c>
      <c r="F1351" s="2" t="s">
        <v>12</v>
      </c>
      <c r="G1351" s="2"/>
      <c r="H1351" s="2"/>
      <c r="I1351" s="2"/>
    </row>
    <row r="1352">
      <c r="A1352" s="1" t="s">
        <v>1360</v>
      </c>
      <c r="B1352" s="2" t="s">
        <v>1353</v>
      </c>
      <c r="C1352" s="2"/>
      <c r="D1352" s="2" t="s">
        <v>11</v>
      </c>
      <c r="E1352" s="2">
        <v>10.0</v>
      </c>
      <c r="F1352" s="2" t="s">
        <v>12</v>
      </c>
      <c r="G1352" s="2"/>
      <c r="H1352" s="2"/>
      <c r="I1352" s="2"/>
    </row>
    <row r="1353">
      <c r="A1353" s="1" t="s">
        <v>1361</v>
      </c>
      <c r="B1353" s="2" t="s">
        <v>1353</v>
      </c>
      <c r="C1353" s="2"/>
      <c r="D1353" s="2" t="s">
        <v>11</v>
      </c>
      <c r="E1353" s="2">
        <v>10.0</v>
      </c>
      <c r="F1353" s="2" t="s">
        <v>12</v>
      </c>
      <c r="G1353" s="2"/>
      <c r="H1353" s="2"/>
      <c r="I1353" s="2"/>
    </row>
    <row r="1354">
      <c r="A1354" s="1" t="s">
        <v>1362</v>
      </c>
      <c r="B1354" s="2" t="s">
        <v>1353</v>
      </c>
      <c r="C1354" s="2"/>
      <c r="D1354" s="2" t="s">
        <v>11</v>
      </c>
      <c r="E1354" s="2">
        <v>10.0</v>
      </c>
      <c r="F1354" s="2" t="s">
        <v>12</v>
      </c>
      <c r="G1354" s="2"/>
      <c r="H1354" s="2"/>
      <c r="I1354" s="2"/>
    </row>
    <row r="1355">
      <c r="A1355" s="1" t="s">
        <v>1363</v>
      </c>
      <c r="B1355" s="2" t="s">
        <v>1353</v>
      </c>
      <c r="C1355" s="2"/>
      <c r="D1355" s="2" t="s">
        <v>11</v>
      </c>
      <c r="E1355" s="2">
        <v>10.0</v>
      </c>
      <c r="F1355" s="2" t="s">
        <v>12</v>
      </c>
      <c r="G1355" s="2"/>
      <c r="H1355" s="2"/>
      <c r="I1355" s="2"/>
    </row>
    <row r="1356">
      <c r="A1356" s="1" t="s">
        <v>1363</v>
      </c>
      <c r="B1356" s="2" t="s">
        <v>1353</v>
      </c>
      <c r="C1356" s="2"/>
      <c r="D1356" s="2" t="s">
        <v>11</v>
      </c>
      <c r="E1356" s="2">
        <v>15.0</v>
      </c>
      <c r="F1356" s="2" t="s">
        <v>12</v>
      </c>
      <c r="G1356" s="2"/>
      <c r="H1356" s="2"/>
      <c r="I1356" s="2"/>
    </row>
    <row r="1357">
      <c r="A1357" s="1" t="s">
        <v>1364</v>
      </c>
      <c r="B1357" s="2" t="s">
        <v>1353</v>
      </c>
      <c r="C1357" s="2"/>
      <c r="D1357" s="2" t="s">
        <v>11</v>
      </c>
      <c r="E1357" s="2">
        <v>15.0</v>
      </c>
      <c r="F1357" s="2" t="s">
        <v>12</v>
      </c>
      <c r="G1357" s="2"/>
      <c r="H1357" s="2"/>
      <c r="I1357" s="2"/>
    </row>
    <row r="1358">
      <c r="A1358" s="1" t="s">
        <v>1365</v>
      </c>
      <c r="B1358" s="2" t="s">
        <v>1353</v>
      </c>
      <c r="C1358" s="2"/>
      <c r="D1358" s="2" t="s">
        <v>11</v>
      </c>
      <c r="E1358" s="2">
        <v>10.0</v>
      </c>
      <c r="F1358" s="2" t="s">
        <v>12</v>
      </c>
      <c r="G1358" s="2"/>
      <c r="H1358" s="2"/>
      <c r="I1358" s="2"/>
    </row>
    <row r="1359">
      <c r="A1359" s="1" t="s">
        <v>1366</v>
      </c>
      <c r="B1359" s="2" t="s">
        <v>1353</v>
      </c>
      <c r="C1359" s="2"/>
      <c r="D1359" s="2" t="s">
        <v>11</v>
      </c>
      <c r="E1359" s="2">
        <v>10.0</v>
      </c>
      <c r="F1359" s="2" t="s">
        <v>12</v>
      </c>
      <c r="G1359" s="2"/>
      <c r="H1359" s="2"/>
      <c r="I1359" s="2"/>
    </row>
    <row r="1360">
      <c r="A1360" s="1" t="s">
        <v>1367</v>
      </c>
      <c r="B1360" s="2" t="s">
        <v>1353</v>
      </c>
      <c r="C1360" s="2"/>
      <c r="D1360" s="2" t="s">
        <v>11</v>
      </c>
      <c r="E1360" s="2">
        <v>10.0</v>
      </c>
      <c r="F1360" s="2" t="s">
        <v>12</v>
      </c>
      <c r="G1360" s="2"/>
      <c r="H1360" s="2"/>
      <c r="I1360" s="2"/>
    </row>
    <row r="1361">
      <c r="A1361" s="1" t="s">
        <v>1368</v>
      </c>
      <c r="B1361" s="2" t="s">
        <v>1353</v>
      </c>
      <c r="C1361" s="2"/>
      <c r="D1361" s="2" t="s">
        <v>11</v>
      </c>
      <c r="E1361" s="2">
        <v>10.0</v>
      </c>
      <c r="F1361" s="2" t="s">
        <v>12</v>
      </c>
      <c r="G1361" s="2"/>
      <c r="H1361" s="2"/>
      <c r="I1361" s="2"/>
    </row>
    <row r="1362">
      <c r="A1362" s="1" t="s">
        <v>1369</v>
      </c>
      <c r="B1362" s="2" t="s">
        <v>1353</v>
      </c>
      <c r="C1362" s="2"/>
      <c r="D1362" s="2" t="s">
        <v>37</v>
      </c>
      <c r="E1362" s="2">
        <v>10.0</v>
      </c>
      <c r="F1362" s="2" t="s">
        <v>12</v>
      </c>
      <c r="G1362" s="2"/>
      <c r="H1362" s="2"/>
      <c r="I1362" s="2"/>
    </row>
    <row r="1363">
      <c r="A1363" s="1" t="s">
        <v>1370</v>
      </c>
      <c r="B1363" s="2" t="s">
        <v>1353</v>
      </c>
      <c r="C1363" s="2"/>
      <c r="D1363" s="2" t="s">
        <v>37</v>
      </c>
      <c r="E1363" s="2">
        <v>15.0</v>
      </c>
      <c r="F1363" s="2" t="s">
        <v>12</v>
      </c>
      <c r="G1363" s="2"/>
      <c r="H1363" s="2"/>
      <c r="I1363" s="2"/>
    </row>
    <row r="1364">
      <c r="A1364" s="1" t="s">
        <v>1371</v>
      </c>
      <c r="B1364" s="2" t="s">
        <v>1353</v>
      </c>
      <c r="C1364" s="2"/>
      <c r="D1364" s="2" t="s">
        <v>11</v>
      </c>
      <c r="E1364" s="2">
        <v>15.0</v>
      </c>
      <c r="F1364" s="2" t="s">
        <v>12</v>
      </c>
      <c r="G1364" s="2"/>
      <c r="H1364" s="2"/>
      <c r="I1364" s="2"/>
    </row>
    <row r="1365">
      <c r="A1365" s="1" t="s">
        <v>1372</v>
      </c>
      <c r="B1365" s="2" t="s">
        <v>1353</v>
      </c>
      <c r="C1365" s="2"/>
      <c r="D1365" s="2" t="s">
        <v>37</v>
      </c>
      <c r="E1365" s="2">
        <v>15.0</v>
      </c>
      <c r="F1365" s="2" t="s">
        <v>12</v>
      </c>
      <c r="G1365" s="2"/>
      <c r="H1365" s="2"/>
      <c r="I1365" s="2"/>
    </row>
    <row r="1366">
      <c r="A1366" s="1" t="s">
        <v>1373</v>
      </c>
      <c r="B1366" s="2" t="s">
        <v>1353</v>
      </c>
      <c r="C1366" s="2"/>
      <c r="D1366" s="2" t="s">
        <v>11</v>
      </c>
      <c r="E1366" s="2">
        <v>10.0</v>
      </c>
      <c r="F1366" s="2" t="s">
        <v>12</v>
      </c>
      <c r="G1366" s="2"/>
      <c r="H1366" s="2"/>
      <c r="I1366" s="2"/>
    </row>
    <row r="1367">
      <c r="A1367" s="1" t="s">
        <v>1374</v>
      </c>
      <c r="B1367" s="2" t="s">
        <v>1353</v>
      </c>
      <c r="C1367" s="2"/>
      <c r="D1367" s="2" t="s">
        <v>11</v>
      </c>
      <c r="E1367" s="2">
        <v>15.0</v>
      </c>
      <c r="F1367" s="2" t="s">
        <v>12</v>
      </c>
      <c r="G1367" s="2"/>
      <c r="H1367" s="2"/>
      <c r="I1367" s="2"/>
    </row>
    <row r="1368">
      <c r="A1368" s="1" t="s">
        <v>1375</v>
      </c>
      <c r="B1368" s="2" t="s">
        <v>1353</v>
      </c>
      <c r="C1368" s="2"/>
      <c r="D1368" s="2" t="s">
        <v>11</v>
      </c>
      <c r="E1368" s="2">
        <v>15.0</v>
      </c>
      <c r="F1368" s="2" t="s">
        <v>12</v>
      </c>
      <c r="G1368" s="2"/>
      <c r="H1368" s="2"/>
      <c r="I1368" s="2"/>
    </row>
    <row r="1369">
      <c r="A1369" s="1" t="s">
        <v>1376</v>
      </c>
      <c r="B1369" s="2" t="s">
        <v>1353</v>
      </c>
      <c r="C1369" s="2"/>
      <c r="D1369" s="2" t="s">
        <v>11</v>
      </c>
      <c r="E1369" s="2">
        <v>10.0</v>
      </c>
      <c r="F1369" s="2" t="s">
        <v>12</v>
      </c>
      <c r="G1369" s="2"/>
      <c r="H1369" s="2"/>
      <c r="I1369" s="2"/>
    </row>
    <row r="1370">
      <c r="A1370" s="1" t="s">
        <v>1377</v>
      </c>
      <c r="B1370" s="2" t="s">
        <v>1353</v>
      </c>
      <c r="C1370" s="2"/>
      <c r="D1370" s="2" t="s">
        <v>11</v>
      </c>
      <c r="E1370" s="2">
        <v>10.0</v>
      </c>
      <c r="F1370" s="2" t="s">
        <v>12</v>
      </c>
      <c r="G1370" s="2"/>
      <c r="H1370" s="2"/>
      <c r="I1370" s="2"/>
    </row>
    <row r="1371">
      <c r="A1371" s="2" t="s">
        <v>1378</v>
      </c>
      <c r="B1371" s="2" t="s">
        <v>1353</v>
      </c>
      <c r="C1371" s="2"/>
      <c r="D1371" s="2" t="s">
        <v>11</v>
      </c>
      <c r="E1371" s="2">
        <v>10.0</v>
      </c>
      <c r="F1371" s="2" t="s">
        <v>12</v>
      </c>
      <c r="G1371" s="2"/>
      <c r="H1371" s="2"/>
      <c r="I1371" s="2"/>
    </row>
    <row r="1372">
      <c r="A1372" s="1" t="s">
        <v>1379</v>
      </c>
      <c r="B1372" s="2" t="s">
        <v>1353</v>
      </c>
      <c r="C1372" s="2"/>
      <c r="D1372" s="2" t="s">
        <v>11</v>
      </c>
      <c r="E1372" s="2">
        <v>10.0</v>
      </c>
      <c r="F1372" s="2" t="s">
        <v>12</v>
      </c>
      <c r="G1372" s="2"/>
      <c r="H1372" s="2"/>
      <c r="I1372" s="2"/>
    </row>
    <row r="1373">
      <c r="A1373" s="2" t="s">
        <v>1380</v>
      </c>
      <c r="B1373" s="2" t="s">
        <v>1353</v>
      </c>
      <c r="C1373" s="2"/>
      <c r="D1373" s="2" t="s">
        <v>11</v>
      </c>
      <c r="E1373" s="2">
        <v>10.0</v>
      </c>
      <c r="F1373" s="2" t="s">
        <v>12</v>
      </c>
      <c r="G1373" s="2"/>
      <c r="H1373" s="2"/>
      <c r="I1373" s="2"/>
    </row>
    <row r="1374">
      <c r="A1374" s="2" t="s">
        <v>1381</v>
      </c>
      <c r="B1374" s="2" t="s">
        <v>1353</v>
      </c>
      <c r="C1374" s="2"/>
      <c r="D1374" s="2" t="s">
        <v>11</v>
      </c>
      <c r="E1374" s="2">
        <v>10.0</v>
      </c>
      <c r="F1374" s="2" t="s">
        <v>12</v>
      </c>
      <c r="G1374" s="2"/>
      <c r="H1374" s="2"/>
      <c r="I1374" s="2"/>
    </row>
    <row r="1375">
      <c r="A1375" s="1" t="s">
        <v>1382</v>
      </c>
      <c r="B1375" s="2" t="s">
        <v>1353</v>
      </c>
      <c r="C1375" s="2"/>
      <c r="D1375" s="2" t="s">
        <v>11</v>
      </c>
      <c r="E1375" s="2">
        <v>10.0</v>
      </c>
      <c r="F1375" s="2" t="s">
        <v>12</v>
      </c>
      <c r="G1375" s="2"/>
      <c r="H1375" s="2"/>
      <c r="I1375" s="2"/>
    </row>
    <row r="1376">
      <c r="A1376" s="1" t="s">
        <v>1383</v>
      </c>
      <c r="B1376" s="2" t="s">
        <v>1353</v>
      </c>
      <c r="C1376" s="2"/>
      <c r="D1376" s="2" t="s">
        <v>11</v>
      </c>
      <c r="E1376" s="2">
        <v>10.0</v>
      </c>
      <c r="F1376" s="2" t="s">
        <v>12</v>
      </c>
      <c r="G1376" s="2"/>
      <c r="H1376" s="2"/>
      <c r="I1376" s="2"/>
    </row>
    <row r="1377">
      <c r="A1377" s="1" t="s">
        <v>1384</v>
      </c>
      <c r="B1377" s="2" t="s">
        <v>1353</v>
      </c>
      <c r="C1377" s="2"/>
      <c r="D1377" s="2" t="s">
        <v>11</v>
      </c>
      <c r="E1377" s="2">
        <v>10.0</v>
      </c>
      <c r="F1377" s="2" t="s">
        <v>12</v>
      </c>
      <c r="G1377" s="2"/>
      <c r="H1377" s="2"/>
      <c r="I1377" s="2"/>
    </row>
    <row r="1378">
      <c r="A1378" s="1" t="s">
        <v>1385</v>
      </c>
      <c r="B1378" s="2" t="s">
        <v>1353</v>
      </c>
      <c r="C1378" s="2"/>
      <c r="D1378" s="2" t="s">
        <v>11</v>
      </c>
      <c r="E1378" s="2">
        <v>10.0</v>
      </c>
      <c r="F1378" s="2" t="s">
        <v>12</v>
      </c>
      <c r="G1378" s="2"/>
      <c r="H1378" s="2"/>
      <c r="I1378" s="2"/>
    </row>
    <row r="1379">
      <c r="A1379" s="1" t="s">
        <v>1386</v>
      </c>
      <c r="B1379" s="2" t="s">
        <v>1353</v>
      </c>
      <c r="C1379" s="2"/>
      <c r="D1379" s="2" t="s">
        <v>11</v>
      </c>
      <c r="E1379" s="2">
        <v>10.0</v>
      </c>
      <c r="F1379" s="2" t="s">
        <v>12</v>
      </c>
      <c r="G1379" s="2"/>
      <c r="H1379" s="2"/>
      <c r="I1379" s="2"/>
    </row>
    <row r="1380">
      <c r="A1380" s="1" t="s">
        <v>1387</v>
      </c>
      <c r="B1380" s="2" t="s">
        <v>1353</v>
      </c>
      <c r="C1380" s="2"/>
      <c r="D1380" s="2" t="s">
        <v>11</v>
      </c>
      <c r="E1380" s="2">
        <v>10.0</v>
      </c>
      <c r="F1380" s="2" t="s">
        <v>12</v>
      </c>
      <c r="G1380" s="2"/>
      <c r="H1380" s="2"/>
      <c r="I1380" s="2"/>
    </row>
    <row r="1381">
      <c r="A1381" s="2" t="s">
        <v>1388</v>
      </c>
      <c r="B1381" s="2" t="s">
        <v>1353</v>
      </c>
      <c r="C1381" s="2"/>
      <c r="D1381" s="2" t="s">
        <v>11</v>
      </c>
      <c r="E1381" s="2">
        <v>10.0</v>
      </c>
      <c r="F1381" s="2" t="s">
        <v>12</v>
      </c>
      <c r="G1381" s="2"/>
      <c r="H1381" s="2"/>
      <c r="I1381" s="2"/>
    </row>
    <row r="1382">
      <c r="A1382" s="1" t="s">
        <v>1389</v>
      </c>
      <c r="B1382" s="2" t="s">
        <v>1353</v>
      </c>
      <c r="C1382" s="2"/>
      <c r="D1382" s="2" t="s">
        <v>11</v>
      </c>
      <c r="E1382" s="2">
        <v>10.0</v>
      </c>
      <c r="F1382" s="2" t="s">
        <v>12</v>
      </c>
      <c r="G1382" s="2"/>
      <c r="H1382" s="2"/>
      <c r="I1382" s="2"/>
    </row>
    <row r="1383">
      <c r="A1383" s="1" t="s">
        <v>1390</v>
      </c>
      <c r="B1383" s="2" t="s">
        <v>1353</v>
      </c>
      <c r="C1383" s="2"/>
      <c r="D1383" s="2" t="s">
        <v>11</v>
      </c>
      <c r="E1383" s="2">
        <v>10.0</v>
      </c>
      <c r="F1383" s="2" t="s">
        <v>12</v>
      </c>
      <c r="G1383" s="2"/>
      <c r="H1383" s="2"/>
      <c r="I1383" s="2"/>
    </row>
    <row r="1384">
      <c r="A1384" s="1" t="s">
        <v>1391</v>
      </c>
      <c r="B1384" s="2" t="s">
        <v>1353</v>
      </c>
      <c r="C1384" s="2"/>
      <c r="D1384" s="2" t="s">
        <v>11</v>
      </c>
      <c r="E1384" s="2">
        <v>14.0</v>
      </c>
      <c r="F1384" s="2" t="s">
        <v>12</v>
      </c>
      <c r="G1384" s="2"/>
      <c r="H1384" s="2"/>
      <c r="I1384" s="2"/>
    </row>
    <row r="1385">
      <c r="A1385" s="1" t="s">
        <v>1392</v>
      </c>
      <c r="B1385" s="2" t="s">
        <v>1353</v>
      </c>
      <c r="C1385" s="2"/>
      <c r="D1385" s="2" t="s">
        <v>11</v>
      </c>
      <c r="E1385" s="2">
        <v>10.0</v>
      </c>
      <c r="F1385" s="2" t="s">
        <v>12</v>
      </c>
      <c r="G1385" s="2"/>
      <c r="H1385" s="2"/>
      <c r="I1385" s="2"/>
    </row>
    <row r="1386">
      <c r="A1386" s="1" t="s">
        <v>1393</v>
      </c>
      <c r="B1386" s="2" t="s">
        <v>1353</v>
      </c>
      <c r="C1386" s="2"/>
      <c r="D1386" s="2" t="s">
        <v>11</v>
      </c>
      <c r="E1386" s="2">
        <v>10.0</v>
      </c>
      <c r="F1386" s="2" t="s">
        <v>12</v>
      </c>
      <c r="G1386" s="2"/>
      <c r="H1386" s="2"/>
      <c r="I1386" s="2"/>
    </row>
    <row r="1387">
      <c r="A1387" s="2" t="s">
        <v>1394</v>
      </c>
      <c r="B1387" s="2" t="s">
        <v>1353</v>
      </c>
      <c r="C1387" s="2"/>
      <c r="D1387" s="2" t="s">
        <v>11</v>
      </c>
      <c r="E1387" s="2">
        <v>10.0</v>
      </c>
      <c r="F1387" s="2" t="s">
        <v>12</v>
      </c>
      <c r="G1387" s="2"/>
      <c r="H1387" s="2"/>
      <c r="I1387" s="2"/>
    </row>
    <row r="1388">
      <c r="A1388" s="1" t="s">
        <v>1395</v>
      </c>
      <c r="B1388" s="2" t="s">
        <v>1396</v>
      </c>
      <c r="C1388" s="2"/>
      <c r="D1388" s="2" t="s">
        <v>11</v>
      </c>
      <c r="E1388" s="2">
        <v>15.0</v>
      </c>
      <c r="F1388" s="2" t="s">
        <v>12</v>
      </c>
      <c r="G1388" s="2"/>
      <c r="H1388" s="2"/>
      <c r="I1388" s="2"/>
    </row>
    <row r="1389">
      <c r="A1389" s="1" t="s">
        <v>1397</v>
      </c>
      <c r="B1389" s="2" t="s">
        <v>1396</v>
      </c>
      <c r="C1389" s="2"/>
      <c r="D1389" s="2" t="s">
        <v>11</v>
      </c>
      <c r="E1389" s="2">
        <v>15.0</v>
      </c>
      <c r="F1389" s="2" t="s">
        <v>12</v>
      </c>
      <c r="G1389" s="2"/>
      <c r="H1389" s="2"/>
      <c r="I1389" s="2"/>
    </row>
    <row r="1390">
      <c r="A1390" s="1" t="s">
        <v>1398</v>
      </c>
      <c r="B1390" s="2" t="s">
        <v>1396</v>
      </c>
      <c r="C1390" s="2"/>
      <c r="D1390" s="2" t="s">
        <v>11</v>
      </c>
      <c r="E1390" s="2">
        <v>15.0</v>
      </c>
      <c r="F1390" s="2" t="s">
        <v>12</v>
      </c>
      <c r="G1390" s="2"/>
      <c r="H1390" s="2"/>
      <c r="I1390" s="2"/>
    </row>
    <row r="1391">
      <c r="A1391" s="1" t="s">
        <v>1399</v>
      </c>
      <c r="B1391" s="2" t="s">
        <v>1396</v>
      </c>
      <c r="C1391" s="2"/>
      <c r="D1391" s="2" t="s">
        <v>11</v>
      </c>
      <c r="E1391" s="2">
        <v>15.0</v>
      </c>
      <c r="F1391" s="2" t="s">
        <v>12</v>
      </c>
      <c r="G1391" s="2"/>
      <c r="H1391" s="2"/>
      <c r="I1391" s="2"/>
    </row>
    <row r="1392">
      <c r="A1392" s="1" t="s">
        <v>1400</v>
      </c>
      <c r="B1392" s="2" t="s">
        <v>1396</v>
      </c>
      <c r="C1392" s="2"/>
      <c r="D1392" s="2" t="s">
        <v>11</v>
      </c>
      <c r="E1392" s="2">
        <v>15.0</v>
      </c>
      <c r="F1392" s="2" t="s">
        <v>12</v>
      </c>
      <c r="G1392" s="2"/>
      <c r="H1392" s="2"/>
      <c r="I1392" s="2"/>
    </row>
    <row r="1393">
      <c r="A1393" s="1" t="s">
        <v>1401</v>
      </c>
      <c r="B1393" s="2" t="s">
        <v>1396</v>
      </c>
      <c r="C1393" s="2"/>
      <c r="D1393" s="2" t="s">
        <v>11</v>
      </c>
      <c r="E1393" s="2">
        <v>15.0</v>
      </c>
      <c r="F1393" s="2" t="s">
        <v>12</v>
      </c>
      <c r="G1393" s="2"/>
      <c r="H1393" s="2"/>
      <c r="I1393" s="2"/>
    </row>
    <row r="1394">
      <c r="A1394" s="1" t="s">
        <v>1402</v>
      </c>
      <c r="B1394" s="2" t="s">
        <v>1396</v>
      </c>
      <c r="C1394" s="2"/>
      <c r="D1394" s="2" t="s">
        <v>11</v>
      </c>
      <c r="E1394" s="2">
        <v>15.0</v>
      </c>
      <c r="F1394" s="2" t="s">
        <v>12</v>
      </c>
      <c r="G1394" s="2"/>
      <c r="H1394" s="2"/>
      <c r="I1394" s="2"/>
    </row>
    <row r="1395">
      <c r="A1395" s="1" t="s">
        <v>1403</v>
      </c>
      <c r="B1395" s="2" t="s">
        <v>1396</v>
      </c>
      <c r="C1395" s="2"/>
      <c r="D1395" s="2" t="s">
        <v>11</v>
      </c>
      <c r="E1395" s="2">
        <v>10.0</v>
      </c>
      <c r="F1395" s="2" t="s">
        <v>12</v>
      </c>
      <c r="G1395" s="2"/>
      <c r="H1395" s="2"/>
      <c r="I1395" s="2"/>
    </row>
    <row r="1396">
      <c r="A1396" s="1" t="s">
        <v>1404</v>
      </c>
      <c r="B1396" s="2" t="s">
        <v>1396</v>
      </c>
      <c r="C1396" s="2"/>
      <c r="D1396" s="2" t="s">
        <v>11</v>
      </c>
      <c r="E1396" s="2">
        <v>10.0</v>
      </c>
      <c r="F1396" s="2" t="s">
        <v>12</v>
      </c>
      <c r="G1396" s="2"/>
      <c r="H1396" s="2"/>
      <c r="I1396" s="2"/>
    </row>
    <row r="1397">
      <c r="A1397" s="1" t="s">
        <v>1405</v>
      </c>
      <c r="B1397" s="2" t="s">
        <v>1396</v>
      </c>
      <c r="C1397" s="2"/>
      <c r="D1397" s="2" t="s">
        <v>11</v>
      </c>
      <c r="E1397" s="2">
        <v>10.0</v>
      </c>
      <c r="F1397" s="2" t="s">
        <v>12</v>
      </c>
      <c r="G1397" s="2"/>
      <c r="H1397" s="2"/>
      <c r="I1397" s="2"/>
    </row>
    <row r="1398">
      <c r="A1398" s="1" t="s">
        <v>1405</v>
      </c>
      <c r="B1398" s="2" t="s">
        <v>1396</v>
      </c>
      <c r="C1398" s="2"/>
      <c r="D1398" s="2" t="s">
        <v>11</v>
      </c>
      <c r="E1398" s="2">
        <v>15.0</v>
      </c>
      <c r="F1398" s="2" t="s">
        <v>12</v>
      </c>
      <c r="G1398" s="2"/>
      <c r="H1398" s="2"/>
      <c r="I1398" s="2"/>
    </row>
    <row r="1399">
      <c r="A1399" s="2" t="s">
        <v>1406</v>
      </c>
      <c r="B1399" s="2" t="s">
        <v>1396</v>
      </c>
      <c r="C1399" s="2"/>
      <c r="D1399" s="2" t="s">
        <v>11</v>
      </c>
      <c r="E1399" s="2">
        <v>10.0</v>
      </c>
      <c r="F1399" s="2" t="s">
        <v>12</v>
      </c>
      <c r="G1399" s="2"/>
      <c r="H1399" s="2"/>
      <c r="I1399" s="2"/>
    </row>
    <row r="1400">
      <c r="A1400" s="1" t="s">
        <v>1407</v>
      </c>
      <c r="B1400" s="2" t="s">
        <v>1396</v>
      </c>
      <c r="C1400" s="2"/>
      <c r="D1400" s="2" t="s">
        <v>11</v>
      </c>
      <c r="E1400" s="2">
        <v>10.0</v>
      </c>
      <c r="F1400" s="2" t="s">
        <v>12</v>
      </c>
      <c r="G1400" s="2"/>
      <c r="H1400" s="2"/>
      <c r="I1400" s="2"/>
    </row>
    <row r="1401">
      <c r="A1401" s="1" t="s">
        <v>1408</v>
      </c>
      <c r="B1401" s="2" t="s">
        <v>1396</v>
      </c>
      <c r="C1401" s="2"/>
      <c r="D1401" s="2" t="s">
        <v>11</v>
      </c>
      <c r="E1401" s="2">
        <v>10.0</v>
      </c>
      <c r="F1401" s="2" t="s">
        <v>12</v>
      </c>
      <c r="G1401" s="2"/>
      <c r="H1401" s="2"/>
      <c r="I1401" s="2"/>
    </row>
    <row r="1402">
      <c r="A1402" s="1" t="s">
        <v>1408</v>
      </c>
      <c r="B1402" s="2" t="s">
        <v>1396</v>
      </c>
      <c r="C1402" s="2"/>
      <c r="D1402" s="2" t="s">
        <v>11</v>
      </c>
      <c r="E1402" s="2">
        <v>15.0</v>
      </c>
      <c r="F1402" s="2" t="s">
        <v>12</v>
      </c>
      <c r="G1402" s="2"/>
      <c r="H1402" s="2"/>
      <c r="I1402" s="2"/>
    </row>
    <row r="1403">
      <c r="A1403" s="1" t="s">
        <v>1409</v>
      </c>
      <c r="B1403" s="2" t="s">
        <v>1396</v>
      </c>
      <c r="C1403" s="2"/>
      <c r="D1403" s="2" t="s">
        <v>37</v>
      </c>
      <c r="E1403" s="2">
        <v>10.0</v>
      </c>
      <c r="F1403" s="2" t="s">
        <v>12</v>
      </c>
      <c r="G1403" s="2"/>
      <c r="H1403" s="2"/>
      <c r="I1403" s="2"/>
    </row>
    <row r="1404">
      <c r="A1404" s="1" t="s">
        <v>1410</v>
      </c>
      <c r="B1404" s="2" t="s">
        <v>1396</v>
      </c>
      <c r="C1404" s="2"/>
      <c r="D1404" s="2" t="s">
        <v>37</v>
      </c>
      <c r="E1404" s="2">
        <v>10.0</v>
      </c>
      <c r="F1404" s="2" t="s">
        <v>12</v>
      </c>
      <c r="G1404" s="2"/>
      <c r="H1404" s="2"/>
      <c r="I1404" s="2"/>
    </row>
    <row r="1405">
      <c r="A1405" s="1" t="s">
        <v>1410</v>
      </c>
      <c r="B1405" s="2" t="s">
        <v>1396</v>
      </c>
      <c r="C1405" s="2"/>
      <c r="D1405" s="2" t="s">
        <v>37</v>
      </c>
      <c r="E1405" s="2">
        <v>15.0</v>
      </c>
      <c r="F1405" s="2" t="s">
        <v>12</v>
      </c>
      <c r="G1405" s="2"/>
      <c r="H1405" s="2"/>
      <c r="I1405" s="2"/>
    </row>
    <row r="1406">
      <c r="A1406" s="1" t="s">
        <v>1411</v>
      </c>
      <c r="B1406" s="2" t="s">
        <v>1396</v>
      </c>
      <c r="C1406" s="2"/>
      <c r="D1406" s="2" t="s">
        <v>37</v>
      </c>
      <c r="E1406" s="2">
        <v>10.0</v>
      </c>
      <c r="F1406" s="2" t="s">
        <v>12</v>
      </c>
      <c r="G1406" s="2"/>
      <c r="H1406" s="2"/>
      <c r="I1406" s="2"/>
    </row>
    <row r="1407">
      <c r="A1407" s="1" t="s">
        <v>1412</v>
      </c>
      <c r="B1407" s="2" t="s">
        <v>1396</v>
      </c>
      <c r="C1407" s="2"/>
      <c r="D1407" s="2" t="s">
        <v>37</v>
      </c>
      <c r="E1407" s="2">
        <v>10.0</v>
      </c>
      <c r="F1407" s="2" t="s">
        <v>12</v>
      </c>
      <c r="G1407" s="2"/>
      <c r="H1407" s="2"/>
      <c r="I1407" s="2"/>
    </row>
    <row r="1408">
      <c r="A1408" s="1" t="s">
        <v>1413</v>
      </c>
      <c r="B1408" s="2" t="s">
        <v>1396</v>
      </c>
      <c r="C1408" s="2"/>
      <c r="D1408" s="2" t="s">
        <v>11</v>
      </c>
      <c r="E1408" s="2">
        <v>10.0</v>
      </c>
      <c r="F1408" s="2" t="s">
        <v>12</v>
      </c>
      <c r="G1408" s="2"/>
      <c r="H1408" s="2"/>
      <c r="I1408" s="2"/>
    </row>
    <row r="1409">
      <c r="A1409" s="1" t="s">
        <v>1414</v>
      </c>
      <c r="B1409" s="2" t="s">
        <v>1396</v>
      </c>
      <c r="C1409" s="2"/>
      <c r="D1409" s="2" t="s">
        <v>11</v>
      </c>
      <c r="E1409" s="2">
        <v>10.0</v>
      </c>
      <c r="F1409" s="2" t="s">
        <v>12</v>
      </c>
      <c r="G1409" s="2"/>
      <c r="H1409" s="2"/>
      <c r="I1409" s="2"/>
    </row>
    <row r="1410">
      <c r="A1410" s="1" t="s">
        <v>1415</v>
      </c>
      <c r="B1410" s="2" t="s">
        <v>1396</v>
      </c>
      <c r="C1410" s="2"/>
      <c r="D1410" s="2" t="s">
        <v>37</v>
      </c>
      <c r="E1410" s="2">
        <v>10.0</v>
      </c>
      <c r="F1410" s="2" t="s">
        <v>12</v>
      </c>
      <c r="G1410" s="2"/>
      <c r="H1410" s="2"/>
      <c r="I1410" s="2"/>
    </row>
    <row r="1411">
      <c r="A1411" s="1" t="s">
        <v>1416</v>
      </c>
      <c r="B1411" s="2" t="s">
        <v>1396</v>
      </c>
      <c r="C1411" s="2"/>
      <c r="D1411" s="2" t="s">
        <v>37</v>
      </c>
      <c r="E1411" s="2">
        <v>10.0</v>
      </c>
      <c r="F1411" s="2" t="s">
        <v>12</v>
      </c>
      <c r="G1411" s="2"/>
      <c r="H1411" s="2"/>
      <c r="I1411" s="2"/>
    </row>
    <row r="1412">
      <c r="A1412" s="2" t="s">
        <v>1417</v>
      </c>
      <c r="B1412" s="2" t="s">
        <v>1396</v>
      </c>
      <c r="C1412" s="2"/>
      <c r="D1412" s="2" t="s">
        <v>11</v>
      </c>
      <c r="E1412" s="2">
        <v>10.0</v>
      </c>
      <c r="F1412" s="2" t="s">
        <v>12</v>
      </c>
      <c r="G1412" s="2"/>
      <c r="H1412" s="2"/>
      <c r="I1412" s="2"/>
    </row>
    <row r="1413">
      <c r="A1413" s="1" t="s">
        <v>1418</v>
      </c>
      <c r="B1413" s="2" t="s">
        <v>1396</v>
      </c>
      <c r="C1413" s="2"/>
      <c r="D1413" s="2" t="s">
        <v>11</v>
      </c>
      <c r="E1413" s="2">
        <v>10.0</v>
      </c>
      <c r="F1413" s="2" t="s">
        <v>12</v>
      </c>
      <c r="G1413" s="2"/>
      <c r="H1413" s="2"/>
      <c r="I1413" s="2"/>
    </row>
    <row r="1414">
      <c r="A1414" s="1" t="s">
        <v>1419</v>
      </c>
      <c r="B1414" s="2" t="s">
        <v>1396</v>
      </c>
      <c r="C1414" s="2"/>
      <c r="D1414" s="2" t="s">
        <v>11</v>
      </c>
      <c r="E1414" s="2">
        <v>10.0</v>
      </c>
      <c r="F1414" s="2" t="s">
        <v>12</v>
      </c>
      <c r="G1414" s="2"/>
      <c r="H1414" s="2"/>
      <c r="I1414" s="2"/>
    </row>
    <row r="1415">
      <c r="A1415" s="1" t="s">
        <v>1420</v>
      </c>
      <c r="B1415" s="2" t="s">
        <v>1353</v>
      </c>
      <c r="C1415" s="2"/>
      <c r="D1415" s="2" t="s">
        <v>11</v>
      </c>
      <c r="E1415" s="2">
        <v>15.0</v>
      </c>
      <c r="F1415" s="2" t="s">
        <v>12</v>
      </c>
      <c r="G1415" s="2"/>
      <c r="H1415" s="2"/>
      <c r="I1415" s="2"/>
    </row>
    <row r="1416">
      <c r="A1416" s="1" t="s">
        <v>1421</v>
      </c>
      <c r="B1416" s="2" t="s">
        <v>1353</v>
      </c>
      <c r="C1416" s="2"/>
      <c r="D1416" s="2" t="s">
        <v>11</v>
      </c>
      <c r="E1416" s="2">
        <v>15.0</v>
      </c>
      <c r="F1416" s="2" t="s">
        <v>12</v>
      </c>
      <c r="G1416" s="2"/>
      <c r="H1416" s="2"/>
      <c r="I1416" s="2"/>
    </row>
    <row r="1417">
      <c r="A1417" s="1" t="s">
        <v>1422</v>
      </c>
      <c r="B1417" s="2" t="s">
        <v>1353</v>
      </c>
      <c r="C1417" s="2"/>
      <c r="D1417" s="2" t="s">
        <v>11</v>
      </c>
      <c r="E1417" s="2">
        <v>10.0</v>
      </c>
      <c r="F1417" s="2" t="s">
        <v>12</v>
      </c>
      <c r="G1417" s="2"/>
      <c r="H1417" s="2"/>
      <c r="I1417" s="2"/>
    </row>
    <row r="1418">
      <c r="A1418" s="1" t="s">
        <v>1423</v>
      </c>
      <c r="B1418" s="2" t="s">
        <v>1353</v>
      </c>
      <c r="C1418" s="2"/>
      <c r="D1418" s="2" t="s">
        <v>11</v>
      </c>
      <c r="E1418" s="2">
        <v>10.0</v>
      </c>
      <c r="F1418" s="2" t="s">
        <v>12</v>
      </c>
      <c r="G1418" s="2"/>
      <c r="H1418" s="2"/>
      <c r="I1418" s="2"/>
    </row>
    <row r="1419">
      <c r="A1419" s="2" t="s">
        <v>1424</v>
      </c>
      <c r="B1419" s="2" t="s">
        <v>1353</v>
      </c>
      <c r="C1419" s="2"/>
      <c r="D1419" s="2" t="s">
        <v>11</v>
      </c>
      <c r="E1419" s="2">
        <v>15.0</v>
      </c>
      <c r="F1419" s="2" t="s">
        <v>12</v>
      </c>
      <c r="G1419" s="2"/>
      <c r="H1419" s="2"/>
      <c r="I1419" s="2"/>
    </row>
    <row r="1420">
      <c r="A1420" s="1" t="s">
        <v>1425</v>
      </c>
      <c r="B1420" s="2" t="s">
        <v>1353</v>
      </c>
      <c r="C1420" s="2"/>
      <c r="D1420" s="2" t="s">
        <v>11</v>
      </c>
      <c r="E1420" s="2">
        <v>10.0</v>
      </c>
      <c r="F1420" s="2" t="s">
        <v>12</v>
      </c>
      <c r="G1420" s="2"/>
      <c r="H1420" s="2"/>
      <c r="I1420" s="2"/>
    </row>
    <row r="1421">
      <c r="A1421" s="1" t="s">
        <v>1426</v>
      </c>
      <c r="B1421" s="2" t="s">
        <v>1353</v>
      </c>
      <c r="C1421" s="2"/>
      <c r="D1421" s="2" t="s">
        <v>11</v>
      </c>
      <c r="E1421" s="2">
        <v>10.0</v>
      </c>
      <c r="F1421" s="2" t="s">
        <v>12</v>
      </c>
      <c r="G1421" s="2"/>
      <c r="H1421" s="2"/>
      <c r="I1421" s="2"/>
    </row>
    <row r="1422">
      <c r="A1422" s="1" t="s">
        <v>1427</v>
      </c>
      <c r="B1422" s="2" t="s">
        <v>1353</v>
      </c>
      <c r="C1422" s="2"/>
      <c r="D1422" s="2" t="s">
        <v>11</v>
      </c>
      <c r="E1422" s="2">
        <v>10.0</v>
      </c>
      <c r="F1422" s="2" t="s">
        <v>12</v>
      </c>
      <c r="G1422" s="2"/>
      <c r="H1422" s="2"/>
      <c r="I1422" s="2"/>
    </row>
    <row r="1423">
      <c r="A1423" s="2" t="s">
        <v>1428</v>
      </c>
      <c r="B1423" s="2" t="s">
        <v>1353</v>
      </c>
      <c r="C1423" s="2"/>
      <c r="D1423" s="2" t="s">
        <v>11</v>
      </c>
      <c r="E1423" s="2">
        <v>15.0</v>
      </c>
      <c r="F1423" s="2" t="s">
        <v>12</v>
      </c>
      <c r="G1423" s="2"/>
      <c r="H1423" s="2"/>
      <c r="I1423" s="2"/>
    </row>
    <row r="1424">
      <c r="A1424" s="2" t="s">
        <v>1429</v>
      </c>
      <c r="B1424" s="2" t="s">
        <v>1353</v>
      </c>
      <c r="C1424" s="2"/>
      <c r="D1424" s="2" t="s">
        <v>11</v>
      </c>
      <c r="E1424" s="2">
        <v>10.0</v>
      </c>
      <c r="F1424" s="2" t="s">
        <v>12</v>
      </c>
      <c r="G1424" s="2"/>
      <c r="H1424" s="2"/>
      <c r="I1424" s="2"/>
    </row>
    <row r="1425">
      <c r="A1425" s="1" t="s">
        <v>1430</v>
      </c>
      <c r="B1425" s="2" t="s">
        <v>1353</v>
      </c>
      <c r="C1425" s="2"/>
      <c r="D1425" s="2" t="s">
        <v>11</v>
      </c>
      <c r="E1425" s="2">
        <v>15.0</v>
      </c>
      <c r="F1425" s="2" t="s">
        <v>12</v>
      </c>
      <c r="G1425" s="2"/>
      <c r="H1425" s="2"/>
      <c r="I1425" s="2"/>
    </row>
    <row r="1426">
      <c r="A1426" s="1" t="s">
        <v>1431</v>
      </c>
      <c r="B1426" s="2" t="s">
        <v>1353</v>
      </c>
      <c r="C1426" s="2"/>
      <c r="D1426" s="2" t="s">
        <v>11</v>
      </c>
      <c r="E1426" s="2">
        <v>15.0</v>
      </c>
      <c r="F1426" s="2" t="s">
        <v>12</v>
      </c>
      <c r="G1426" s="2"/>
      <c r="H1426" s="2"/>
      <c r="I1426" s="2"/>
    </row>
    <row r="1427">
      <c r="A1427" s="1" t="s">
        <v>1432</v>
      </c>
      <c r="B1427" s="2" t="s">
        <v>1353</v>
      </c>
      <c r="C1427" s="2"/>
      <c r="D1427" s="2" t="s">
        <v>11</v>
      </c>
      <c r="E1427" s="2">
        <v>15.0</v>
      </c>
      <c r="F1427" s="2" t="s">
        <v>12</v>
      </c>
      <c r="G1427" s="2"/>
      <c r="H1427" s="2"/>
      <c r="I1427" s="2"/>
    </row>
    <row r="1428">
      <c r="A1428" s="1" t="s">
        <v>1433</v>
      </c>
      <c r="B1428" s="2" t="s">
        <v>1353</v>
      </c>
      <c r="C1428" s="2"/>
      <c r="D1428" s="2" t="s">
        <v>11</v>
      </c>
      <c r="E1428" s="2">
        <v>10.0</v>
      </c>
      <c r="F1428" s="2" t="s">
        <v>12</v>
      </c>
      <c r="G1428" s="2"/>
      <c r="H1428" s="2"/>
      <c r="I1428" s="2"/>
    </row>
    <row r="1429">
      <c r="A1429" s="1" t="s">
        <v>1434</v>
      </c>
      <c r="B1429" s="2" t="s">
        <v>1353</v>
      </c>
      <c r="C1429" s="2"/>
      <c r="D1429" s="2" t="s">
        <v>11</v>
      </c>
      <c r="E1429" s="2">
        <v>15.0</v>
      </c>
      <c r="F1429" s="2" t="s">
        <v>12</v>
      </c>
      <c r="G1429" s="2"/>
      <c r="H1429" s="2"/>
      <c r="I1429" s="2"/>
    </row>
    <row r="1430">
      <c r="A1430" s="1" t="s">
        <v>1435</v>
      </c>
      <c r="B1430" s="2" t="s">
        <v>1353</v>
      </c>
      <c r="C1430" s="2"/>
      <c r="D1430" s="2" t="s">
        <v>11</v>
      </c>
      <c r="E1430" s="2">
        <v>15.0</v>
      </c>
      <c r="F1430" s="2" t="s">
        <v>12</v>
      </c>
      <c r="G1430" s="2"/>
      <c r="H1430" s="2"/>
      <c r="I1430" s="2"/>
    </row>
    <row r="1431">
      <c r="A1431" s="1" t="s">
        <v>1436</v>
      </c>
      <c r="B1431" s="2" t="s">
        <v>1353</v>
      </c>
      <c r="C1431" s="2"/>
      <c r="D1431" s="2" t="s">
        <v>11</v>
      </c>
      <c r="E1431" s="2">
        <v>10.0</v>
      </c>
      <c r="F1431" s="2" t="s">
        <v>12</v>
      </c>
      <c r="G1431" s="2"/>
      <c r="H1431" s="2"/>
      <c r="I1431" s="2"/>
    </row>
    <row r="1432">
      <c r="A1432" s="1" t="s">
        <v>1437</v>
      </c>
      <c r="B1432" s="2" t="s">
        <v>1353</v>
      </c>
      <c r="C1432" s="2"/>
      <c r="D1432" s="2" t="s">
        <v>11</v>
      </c>
      <c r="E1432" s="2">
        <v>10.0</v>
      </c>
      <c r="F1432" s="2" t="s">
        <v>12</v>
      </c>
      <c r="G1432" s="2"/>
      <c r="H1432" s="2"/>
      <c r="I1432" s="2"/>
    </row>
    <row r="1433">
      <c r="A1433" s="1" t="s">
        <v>1438</v>
      </c>
      <c r="B1433" s="2" t="s">
        <v>1353</v>
      </c>
      <c r="C1433" s="2"/>
      <c r="D1433" s="2" t="s">
        <v>11</v>
      </c>
      <c r="E1433" s="2">
        <v>15.0</v>
      </c>
      <c r="F1433" s="2" t="s">
        <v>12</v>
      </c>
      <c r="G1433" s="2"/>
      <c r="H1433" s="2"/>
      <c r="I1433" s="2"/>
    </row>
    <row r="1434">
      <c r="A1434" s="1" t="s">
        <v>1439</v>
      </c>
      <c r="B1434" s="2" t="s">
        <v>1353</v>
      </c>
      <c r="C1434" s="2"/>
      <c r="D1434" s="2" t="s">
        <v>11</v>
      </c>
      <c r="E1434" s="2">
        <v>10.0</v>
      </c>
      <c r="F1434" s="2" t="s">
        <v>12</v>
      </c>
      <c r="G1434" s="2"/>
      <c r="H1434" s="2"/>
      <c r="I1434" s="2"/>
    </row>
    <row r="1435">
      <c r="A1435" s="1" t="s">
        <v>1440</v>
      </c>
      <c r="B1435" s="2" t="s">
        <v>1353</v>
      </c>
      <c r="C1435" s="2"/>
      <c r="D1435" s="2" t="s">
        <v>37</v>
      </c>
      <c r="E1435" s="2">
        <v>10.0</v>
      </c>
      <c r="F1435" s="2" t="s">
        <v>12</v>
      </c>
      <c r="G1435" s="2"/>
      <c r="H1435" s="2"/>
      <c r="I1435" s="2"/>
    </row>
    <row r="1436">
      <c r="A1436" s="2" t="s">
        <v>1441</v>
      </c>
      <c r="B1436" s="2" t="s">
        <v>1353</v>
      </c>
      <c r="C1436" s="2"/>
      <c r="D1436" s="2" t="s">
        <v>37</v>
      </c>
      <c r="E1436" s="2">
        <v>10.0</v>
      </c>
      <c r="F1436" s="2" t="s">
        <v>12</v>
      </c>
      <c r="G1436" s="2"/>
      <c r="H1436" s="2"/>
      <c r="I1436" s="2"/>
    </row>
    <row r="1437">
      <c r="A1437" s="2" t="s">
        <v>1442</v>
      </c>
      <c r="B1437" s="2" t="s">
        <v>1353</v>
      </c>
      <c r="C1437" s="1"/>
      <c r="D1437" s="2"/>
      <c r="E1437" s="2"/>
      <c r="F1437" s="2"/>
      <c r="G1437" s="2"/>
      <c r="H1437" s="2"/>
      <c r="I1437" s="2"/>
    </row>
    <row r="1438">
      <c r="A1438" s="1" t="s">
        <v>1443</v>
      </c>
      <c r="B1438" s="2" t="s">
        <v>1353</v>
      </c>
      <c r="C1438" s="2"/>
      <c r="D1438" s="2" t="s">
        <v>11</v>
      </c>
      <c r="E1438" s="2">
        <v>10.0</v>
      </c>
      <c r="F1438" s="2" t="s">
        <v>12</v>
      </c>
      <c r="G1438" s="2"/>
      <c r="H1438" s="2"/>
      <c r="I1438" s="2"/>
    </row>
    <row r="1439">
      <c r="A1439" s="2" t="s">
        <v>1444</v>
      </c>
      <c r="B1439" s="2" t="s">
        <v>1353</v>
      </c>
      <c r="C1439" s="1"/>
      <c r="D1439" s="2"/>
      <c r="E1439" s="2"/>
      <c r="F1439" s="2"/>
      <c r="G1439" s="2"/>
      <c r="H1439" s="2"/>
      <c r="I1439" s="2"/>
    </row>
    <row r="1440">
      <c r="A1440" s="1" t="s">
        <v>1445</v>
      </c>
      <c r="B1440" s="2" t="s">
        <v>1353</v>
      </c>
      <c r="C1440" s="2"/>
      <c r="D1440" s="2" t="s">
        <v>11</v>
      </c>
      <c r="E1440" s="2">
        <v>10.0</v>
      </c>
      <c r="F1440" s="2" t="s">
        <v>12</v>
      </c>
      <c r="G1440" s="2"/>
      <c r="H1440" s="2"/>
      <c r="I1440" s="2"/>
    </row>
    <row r="1441">
      <c r="A1441" s="1" t="s">
        <v>1446</v>
      </c>
      <c r="B1441" s="2" t="s">
        <v>1353</v>
      </c>
      <c r="C1441" s="2"/>
      <c r="D1441" s="2" t="s">
        <v>11</v>
      </c>
      <c r="E1441" s="2">
        <v>10.0</v>
      </c>
      <c r="F1441" s="2" t="s">
        <v>12</v>
      </c>
      <c r="G1441" s="2"/>
      <c r="H1441" s="2"/>
      <c r="I1441" s="2"/>
    </row>
    <row r="1442">
      <c r="A1442" s="1" t="s">
        <v>1447</v>
      </c>
      <c r="B1442" s="2" t="s">
        <v>1353</v>
      </c>
      <c r="C1442" s="2"/>
      <c r="D1442" s="2" t="s">
        <v>11</v>
      </c>
      <c r="E1442" s="2">
        <v>10.0</v>
      </c>
      <c r="F1442" s="2" t="s">
        <v>12</v>
      </c>
      <c r="G1442" s="2"/>
      <c r="H1442" s="2"/>
      <c r="I1442" s="2"/>
    </row>
    <row r="1443">
      <c r="A1443" s="1" t="s">
        <v>1448</v>
      </c>
      <c r="B1443" s="2" t="s">
        <v>1353</v>
      </c>
      <c r="C1443" s="2"/>
      <c r="D1443" s="2" t="s">
        <v>11</v>
      </c>
      <c r="E1443" s="2">
        <v>10.0</v>
      </c>
      <c r="F1443" s="2" t="s">
        <v>12</v>
      </c>
      <c r="G1443" s="2"/>
      <c r="H1443" s="2"/>
      <c r="I1443" s="2"/>
    </row>
    <row r="1444">
      <c r="A1444" s="1" t="s">
        <v>1449</v>
      </c>
      <c r="B1444" s="2" t="s">
        <v>1353</v>
      </c>
      <c r="C1444" s="2"/>
      <c r="D1444" s="2" t="s">
        <v>11</v>
      </c>
      <c r="E1444" s="2">
        <v>15.0</v>
      </c>
      <c r="F1444" s="2" t="s">
        <v>12</v>
      </c>
      <c r="G1444" s="2"/>
      <c r="H1444" s="2"/>
      <c r="I1444" s="2"/>
    </row>
    <row r="1445">
      <c r="A1445" s="1" t="s">
        <v>1450</v>
      </c>
      <c r="B1445" s="2" t="s">
        <v>1353</v>
      </c>
      <c r="C1445" s="2"/>
      <c r="D1445" s="2" t="s">
        <v>11</v>
      </c>
      <c r="E1445" s="2">
        <v>10.0</v>
      </c>
      <c r="F1445" s="2" t="s">
        <v>12</v>
      </c>
      <c r="G1445" s="2"/>
      <c r="H1445" s="2"/>
      <c r="I1445" s="2"/>
    </row>
    <row r="1446">
      <c r="A1446" s="1" t="s">
        <v>1450</v>
      </c>
      <c r="B1446" s="2" t="s">
        <v>1353</v>
      </c>
      <c r="C1446" s="2"/>
      <c r="D1446" s="2" t="s">
        <v>11</v>
      </c>
      <c r="E1446" s="2">
        <v>15.0</v>
      </c>
      <c r="F1446" s="2" t="s">
        <v>12</v>
      </c>
      <c r="G1446" s="2"/>
      <c r="H1446" s="2"/>
      <c r="I1446" s="2"/>
    </row>
    <row r="1447">
      <c r="A1447" s="1" t="s">
        <v>1451</v>
      </c>
      <c r="B1447" s="2" t="s">
        <v>1353</v>
      </c>
      <c r="C1447" s="2"/>
      <c r="D1447" s="2" t="s">
        <v>11</v>
      </c>
      <c r="E1447" s="2">
        <v>10.0</v>
      </c>
      <c r="F1447" s="2" t="s">
        <v>12</v>
      </c>
      <c r="G1447" s="2"/>
      <c r="H1447" s="2"/>
      <c r="I1447" s="2"/>
    </row>
    <row r="1448">
      <c r="A1448" s="1" t="s">
        <v>1451</v>
      </c>
      <c r="B1448" s="2" t="s">
        <v>1353</v>
      </c>
      <c r="C1448" s="2"/>
      <c r="D1448" s="2" t="s">
        <v>11</v>
      </c>
      <c r="E1448" s="2">
        <v>15.0</v>
      </c>
      <c r="F1448" s="2" t="s">
        <v>12</v>
      </c>
      <c r="G1448" s="2"/>
      <c r="H1448" s="2"/>
      <c r="I1448" s="2"/>
    </row>
    <row r="1449">
      <c r="A1449" s="1" t="s">
        <v>1452</v>
      </c>
      <c r="B1449" s="2" t="s">
        <v>1353</v>
      </c>
      <c r="C1449" s="2"/>
      <c r="D1449" s="2" t="s">
        <v>11</v>
      </c>
      <c r="E1449" s="2">
        <v>10.0</v>
      </c>
      <c r="F1449" s="2" t="s">
        <v>12</v>
      </c>
      <c r="G1449" s="2"/>
      <c r="H1449" s="2"/>
      <c r="I1449" s="2"/>
    </row>
    <row r="1450">
      <c r="A1450" s="1" t="s">
        <v>1453</v>
      </c>
      <c r="B1450" s="2" t="s">
        <v>1353</v>
      </c>
      <c r="C1450" s="2"/>
      <c r="D1450" s="2" t="s">
        <v>11</v>
      </c>
      <c r="E1450" s="2">
        <v>10.0</v>
      </c>
      <c r="F1450" s="2" t="s">
        <v>12</v>
      </c>
      <c r="G1450" s="2"/>
      <c r="H1450" s="2"/>
      <c r="I1450" s="2"/>
    </row>
    <row r="1451">
      <c r="A1451" s="1" t="s">
        <v>1454</v>
      </c>
      <c r="B1451" s="2" t="s">
        <v>1353</v>
      </c>
      <c r="C1451" s="2"/>
      <c r="D1451" s="2" t="s">
        <v>11</v>
      </c>
      <c r="E1451" s="2">
        <v>15.0</v>
      </c>
      <c r="F1451" s="2" t="s">
        <v>12</v>
      </c>
      <c r="G1451" s="2"/>
      <c r="H1451" s="2"/>
      <c r="I1451" s="2"/>
    </row>
    <row r="1452">
      <c r="A1452" s="1" t="s">
        <v>1455</v>
      </c>
      <c r="B1452" s="2" t="s">
        <v>1353</v>
      </c>
      <c r="C1452" s="2"/>
      <c r="D1452" s="2" t="s">
        <v>11</v>
      </c>
      <c r="E1452" s="2"/>
      <c r="F1452" s="2"/>
      <c r="G1452" s="2"/>
      <c r="H1452" s="2"/>
      <c r="I1452" s="2"/>
    </row>
    <row r="1453">
      <c r="A1453" s="1" t="s">
        <v>1456</v>
      </c>
      <c r="B1453" s="2" t="s">
        <v>1353</v>
      </c>
      <c r="C1453" s="2"/>
      <c r="D1453" s="2" t="s">
        <v>11</v>
      </c>
      <c r="E1453" s="2">
        <v>15.0</v>
      </c>
      <c r="F1453" s="2" t="s">
        <v>12</v>
      </c>
      <c r="G1453" s="2"/>
      <c r="H1453" s="2"/>
      <c r="I1453" s="2"/>
    </row>
    <row r="1454">
      <c r="A1454" s="2" t="s">
        <v>1457</v>
      </c>
      <c r="B1454" s="2" t="s">
        <v>1353</v>
      </c>
      <c r="C1454" s="2"/>
      <c r="D1454" s="2" t="s">
        <v>11</v>
      </c>
      <c r="E1454" s="2">
        <v>15.0</v>
      </c>
      <c r="F1454" s="2" t="s">
        <v>12</v>
      </c>
      <c r="G1454" s="2"/>
      <c r="H1454" s="2"/>
      <c r="I1454" s="2"/>
    </row>
    <row r="1455">
      <c r="A1455" s="2" t="s">
        <v>1457</v>
      </c>
      <c r="B1455" s="2" t="s">
        <v>1353</v>
      </c>
      <c r="C1455" s="2"/>
      <c r="D1455" s="2" t="s">
        <v>11</v>
      </c>
      <c r="E1455" s="2"/>
      <c r="F1455" s="2"/>
      <c r="G1455" s="2"/>
      <c r="H1455" s="2"/>
      <c r="I1455" s="2"/>
    </row>
    <row r="1456">
      <c r="A1456" s="2" t="s">
        <v>1458</v>
      </c>
      <c r="B1456" s="2" t="s">
        <v>1353</v>
      </c>
      <c r="C1456" s="2"/>
      <c r="D1456" s="2" t="s">
        <v>11</v>
      </c>
      <c r="E1456" s="2">
        <v>15.0</v>
      </c>
      <c r="F1456" s="2" t="s">
        <v>12</v>
      </c>
      <c r="G1456" s="2"/>
      <c r="H1456" s="2"/>
      <c r="I1456" s="2"/>
    </row>
    <row r="1457">
      <c r="A1457" s="1" t="s">
        <v>1459</v>
      </c>
      <c r="B1457" s="2" t="s">
        <v>1353</v>
      </c>
      <c r="C1457" s="2"/>
      <c r="D1457" s="2" t="s">
        <v>11</v>
      </c>
      <c r="E1457" s="2">
        <v>15.0</v>
      </c>
      <c r="F1457" s="2" t="s">
        <v>12</v>
      </c>
      <c r="G1457" s="2"/>
      <c r="H1457" s="2"/>
      <c r="I1457" s="2"/>
    </row>
    <row r="1458">
      <c r="A1458" s="1" t="s">
        <v>1460</v>
      </c>
      <c r="B1458" s="2" t="s">
        <v>1353</v>
      </c>
      <c r="C1458" s="2"/>
      <c r="D1458" s="2" t="s">
        <v>11</v>
      </c>
      <c r="E1458" s="2">
        <v>15.0</v>
      </c>
      <c r="F1458" s="2" t="s">
        <v>12</v>
      </c>
      <c r="G1458" s="2"/>
      <c r="H1458" s="2"/>
      <c r="I1458" s="2"/>
    </row>
    <row r="1459">
      <c r="A1459" s="1" t="s">
        <v>1461</v>
      </c>
      <c r="B1459" s="2" t="s">
        <v>1353</v>
      </c>
      <c r="C1459" s="2"/>
      <c r="D1459" s="2" t="s">
        <v>11</v>
      </c>
      <c r="E1459" s="2">
        <v>10.0</v>
      </c>
      <c r="F1459" s="2" t="s">
        <v>12</v>
      </c>
      <c r="G1459" s="2"/>
      <c r="H1459" s="2"/>
      <c r="I1459" s="2"/>
    </row>
    <row r="1460">
      <c r="A1460" s="1" t="s">
        <v>1462</v>
      </c>
      <c r="B1460" s="2" t="s">
        <v>1353</v>
      </c>
      <c r="C1460" s="2"/>
      <c r="D1460" s="2" t="s">
        <v>11</v>
      </c>
      <c r="E1460" s="2">
        <v>10.0</v>
      </c>
      <c r="F1460" s="2" t="s">
        <v>12</v>
      </c>
      <c r="G1460" s="2"/>
      <c r="H1460" s="2"/>
      <c r="I1460" s="2"/>
    </row>
    <row r="1461">
      <c r="A1461" s="1" t="s">
        <v>1463</v>
      </c>
      <c r="B1461" s="2" t="s">
        <v>1353</v>
      </c>
      <c r="C1461" s="2"/>
      <c r="D1461" s="2" t="s">
        <v>11</v>
      </c>
      <c r="E1461" s="2">
        <v>7.0</v>
      </c>
      <c r="F1461" s="2" t="s">
        <v>12</v>
      </c>
      <c r="G1461" s="2"/>
      <c r="H1461" s="2"/>
      <c r="I1461" s="2"/>
    </row>
    <row r="1462">
      <c r="A1462" s="1" t="s">
        <v>1464</v>
      </c>
      <c r="B1462" s="2" t="s">
        <v>1353</v>
      </c>
      <c r="C1462" s="2"/>
      <c r="D1462" s="2" t="s">
        <v>37</v>
      </c>
      <c r="E1462" s="2">
        <v>10.0</v>
      </c>
      <c r="F1462" s="2" t="s">
        <v>12</v>
      </c>
      <c r="G1462" s="2"/>
      <c r="H1462" s="2"/>
      <c r="I1462" s="2"/>
    </row>
    <row r="1463">
      <c r="A1463" s="2" t="s">
        <v>1465</v>
      </c>
      <c r="B1463" s="2" t="s">
        <v>1353</v>
      </c>
      <c r="C1463" s="2"/>
      <c r="D1463" s="2" t="s">
        <v>37</v>
      </c>
      <c r="E1463" s="2">
        <v>10.0</v>
      </c>
      <c r="F1463" s="2" t="s">
        <v>12</v>
      </c>
      <c r="G1463" s="2"/>
      <c r="H1463" s="2"/>
      <c r="I1463" s="2"/>
    </row>
    <row r="1464">
      <c r="A1464" s="1" t="s">
        <v>1466</v>
      </c>
      <c r="B1464" s="2" t="s">
        <v>1353</v>
      </c>
      <c r="C1464" s="2"/>
      <c r="D1464" s="2" t="s">
        <v>37</v>
      </c>
      <c r="E1464" s="2">
        <v>10.0</v>
      </c>
      <c r="F1464" s="2" t="s">
        <v>12</v>
      </c>
      <c r="G1464" s="2"/>
      <c r="H1464" s="2"/>
      <c r="I1464" s="2"/>
    </row>
    <row r="1465">
      <c r="A1465" s="1" t="s">
        <v>1467</v>
      </c>
      <c r="B1465" s="2" t="s">
        <v>1353</v>
      </c>
      <c r="C1465" s="2"/>
      <c r="D1465" s="2" t="s">
        <v>37</v>
      </c>
      <c r="E1465" s="2">
        <v>10.0</v>
      </c>
      <c r="F1465" s="2" t="s">
        <v>12</v>
      </c>
      <c r="G1465" s="2"/>
      <c r="H1465" s="2"/>
      <c r="I1465" s="2"/>
    </row>
    <row r="1466">
      <c r="A1466" s="1" t="s">
        <v>1468</v>
      </c>
      <c r="B1466" s="2" t="s">
        <v>1353</v>
      </c>
      <c r="C1466" s="2"/>
      <c r="D1466" s="2" t="s">
        <v>11</v>
      </c>
      <c r="E1466" s="2">
        <v>10.0</v>
      </c>
      <c r="F1466" s="2" t="s">
        <v>12</v>
      </c>
      <c r="G1466" s="2"/>
      <c r="H1466" s="2"/>
      <c r="I1466" s="2"/>
    </row>
    <row r="1467">
      <c r="A1467" s="1" t="s">
        <v>1469</v>
      </c>
      <c r="B1467" s="2" t="s">
        <v>1353</v>
      </c>
      <c r="C1467" s="2"/>
      <c r="D1467" s="2" t="s">
        <v>11</v>
      </c>
      <c r="E1467" s="2">
        <v>15.0</v>
      </c>
      <c r="F1467" s="2" t="s">
        <v>12</v>
      </c>
      <c r="G1467" s="2"/>
      <c r="H1467" s="2"/>
      <c r="I1467" s="2"/>
    </row>
    <row r="1468">
      <c r="A1468" s="1" t="s">
        <v>1470</v>
      </c>
      <c r="B1468" s="2" t="s">
        <v>1353</v>
      </c>
      <c r="C1468" s="2"/>
      <c r="D1468" s="2" t="s">
        <v>11</v>
      </c>
      <c r="E1468" s="2">
        <v>15.0</v>
      </c>
      <c r="F1468" s="2" t="s">
        <v>12</v>
      </c>
      <c r="G1468" s="2"/>
      <c r="H1468" s="2"/>
      <c r="I1468" s="2"/>
    </row>
    <row r="1469">
      <c r="A1469" s="1" t="s">
        <v>1471</v>
      </c>
      <c r="B1469" s="2" t="s">
        <v>1353</v>
      </c>
      <c r="C1469" s="2"/>
      <c r="D1469" s="2" t="s">
        <v>11</v>
      </c>
      <c r="E1469" s="2">
        <v>10.0</v>
      </c>
      <c r="F1469" s="2" t="s">
        <v>12</v>
      </c>
      <c r="G1469" s="2"/>
      <c r="H1469" s="2"/>
      <c r="I1469" s="2"/>
    </row>
    <row r="1470">
      <c r="A1470" s="1" t="s">
        <v>1472</v>
      </c>
      <c r="B1470" s="2" t="s">
        <v>1353</v>
      </c>
      <c r="C1470" s="2"/>
      <c r="D1470" s="2" t="s">
        <v>11</v>
      </c>
      <c r="E1470" s="2">
        <v>15.0</v>
      </c>
      <c r="F1470" s="2" t="s">
        <v>12</v>
      </c>
      <c r="G1470" s="2"/>
      <c r="H1470" s="2"/>
      <c r="I1470" s="2"/>
    </row>
    <row r="1471">
      <c r="A1471" s="1" t="s">
        <v>1473</v>
      </c>
      <c r="B1471" s="2" t="s">
        <v>1353</v>
      </c>
      <c r="C1471" s="2"/>
      <c r="D1471" s="2" t="s">
        <v>11</v>
      </c>
      <c r="E1471" s="2">
        <v>10.0</v>
      </c>
      <c r="F1471" s="2" t="s">
        <v>12</v>
      </c>
      <c r="G1471" s="2"/>
      <c r="H1471" s="2"/>
      <c r="I1471" s="2"/>
    </row>
    <row r="1472">
      <c r="A1472" s="1" t="s">
        <v>1474</v>
      </c>
      <c r="B1472" s="2" t="s">
        <v>1353</v>
      </c>
      <c r="C1472" s="2"/>
      <c r="D1472" s="2" t="s">
        <v>11</v>
      </c>
      <c r="E1472" s="2">
        <v>10.0</v>
      </c>
      <c r="F1472" s="2" t="s">
        <v>12</v>
      </c>
      <c r="G1472" s="2"/>
      <c r="H1472" s="2"/>
      <c r="I1472" s="2"/>
    </row>
    <row r="1473">
      <c r="A1473" s="2" t="s">
        <v>1475</v>
      </c>
      <c r="B1473" s="2" t="s">
        <v>1353</v>
      </c>
      <c r="C1473" s="1"/>
      <c r="D1473" s="2"/>
      <c r="E1473" s="2"/>
      <c r="F1473" s="2"/>
      <c r="G1473" s="2"/>
      <c r="H1473" s="2"/>
      <c r="I1473" s="2"/>
    </row>
    <row r="1474">
      <c r="A1474" s="1" t="s">
        <v>1476</v>
      </c>
      <c r="B1474" s="2" t="s">
        <v>1353</v>
      </c>
      <c r="C1474" s="2"/>
      <c r="D1474" s="2" t="s">
        <v>11</v>
      </c>
      <c r="E1474" s="2">
        <v>15.0</v>
      </c>
      <c r="F1474" s="2" t="s">
        <v>12</v>
      </c>
      <c r="G1474" s="2"/>
      <c r="H1474" s="2"/>
      <c r="I1474" s="2"/>
    </row>
    <row r="1475">
      <c r="A1475" s="1" t="s">
        <v>1477</v>
      </c>
      <c r="B1475" s="2" t="s">
        <v>1353</v>
      </c>
      <c r="C1475" s="2"/>
      <c r="D1475" s="2" t="s">
        <v>11</v>
      </c>
      <c r="E1475" s="2">
        <v>15.0</v>
      </c>
      <c r="F1475" s="2" t="s">
        <v>12</v>
      </c>
      <c r="G1475" s="2"/>
      <c r="H1475" s="2"/>
      <c r="I1475" s="2"/>
    </row>
    <row r="1476">
      <c r="A1476" s="1" t="s">
        <v>1478</v>
      </c>
      <c r="B1476" s="2" t="s">
        <v>1353</v>
      </c>
      <c r="C1476" s="2"/>
      <c r="D1476" s="2" t="s">
        <v>11</v>
      </c>
      <c r="E1476" s="2">
        <v>15.0</v>
      </c>
      <c r="F1476" s="2" t="s">
        <v>12</v>
      </c>
      <c r="G1476" s="2"/>
      <c r="H1476" s="2"/>
      <c r="I1476" s="2"/>
    </row>
    <row r="1477">
      <c r="A1477" s="2" t="s">
        <v>1479</v>
      </c>
      <c r="B1477" s="2" t="s">
        <v>1353</v>
      </c>
      <c r="C1477" s="2"/>
      <c r="D1477" s="2" t="s">
        <v>11</v>
      </c>
      <c r="E1477" s="2">
        <v>10.0</v>
      </c>
      <c r="F1477" s="2" t="s">
        <v>12</v>
      </c>
      <c r="G1477" s="2"/>
      <c r="H1477" s="2"/>
      <c r="I1477" s="2"/>
    </row>
    <row r="1478">
      <c r="A1478" s="2" t="s">
        <v>1479</v>
      </c>
      <c r="B1478" s="2" t="s">
        <v>1353</v>
      </c>
      <c r="C1478" s="2"/>
      <c r="D1478" s="2" t="s">
        <v>11</v>
      </c>
      <c r="E1478" s="2">
        <v>15.0</v>
      </c>
      <c r="F1478" s="2" t="s">
        <v>12</v>
      </c>
      <c r="G1478" s="2"/>
      <c r="H1478" s="2"/>
      <c r="I1478" s="2"/>
    </row>
    <row r="1479">
      <c r="A1479" s="1" t="s">
        <v>1480</v>
      </c>
      <c r="B1479" s="2" t="s">
        <v>1353</v>
      </c>
      <c r="C1479" s="2"/>
      <c r="D1479" s="2" t="s">
        <v>11</v>
      </c>
      <c r="E1479" s="2">
        <v>10.0</v>
      </c>
      <c r="F1479" s="2" t="s">
        <v>12</v>
      </c>
      <c r="G1479" s="2"/>
      <c r="H1479" s="2"/>
      <c r="I1479" s="2"/>
    </row>
    <row r="1480">
      <c r="A1480" s="1" t="s">
        <v>1481</v>
      </c>
      <c r="B1480" s="2" t="s">
        <v>1353</v>
      </c>
      <c r="C1480" s="2"/>
      <c r="D1480" s="2" t="s">
        <v>11</v>
      </c>
      <c r="E1480" s="2">
        <v>10.0</v>
      </c>
      <c r="F1480" s="2" t="s">
        <v>12</v>
      </c>
      <c r="G1480" s="2"/>
      <c r="H1480" s="2"/>
      <c r="I1480" s="2"/>
    </row>
    <row r="1481">
      <c r="A1481" s="1" t="s">
        <v>1482</v>
      </c>
      <c r="B1481" s="2" t="s">
        <v>1353</v>
      </c>
      <c r="C1481" s="2"/>
      <c r="D1481" s="2" t="s">
        <v>11</v>
      </c>
      <c r="E1481" s="2">
        <v>10.0</v>
      </c>
      <c r="F1481" s="2" t="s">
        <v>12</v>
      </c>
      <c r="G1481" s="2"/>
      <c r="H1481" s="2"/>
      <c r="I1481" s="2"/>
    </row>
    <row r="1482">
      <c r="A1482" s="1" t="s">
        <v>1483</v>
      </c>
      <c r="B1482" s="2" t="s">
        <v>1353</v>
      </c>
      <c r="C1482" s="2"/>
      <c r="D1482" s="2" t="s">
        <v>11</v>
      </c>
      <c r="E1482" s="2">
        <v>10.0</v>
      </c>
      <c r="F1482" s="2" t="s">
        <v>12</v>
      </c>
      <c r="G1482" s="2"/>
      <c r="H1482" s="2"/>
      <c r="I1482" s="2"/>
    </row>
    <row r="1483">
      <c r="A1483" s="1" t="s">
        <v>1484</v>
      </c>
      <c r="B1483" s="2" t="s">
        <v>1353</v>
      </c>
      <c r="C1483" s="2"/>
      <c r="D1483" s="2" t="s">
        <v>11</v>
      </c>
      <c r="E1483" s="2">
        <v>10.0</v>
      </c>
      <c r="F1483" s="2" t="s">
        <v>12</v>
      </c>
      <c r="G1483" s="2"/>
      <c r="H1483" s="2"/>
      <c r="I1483" s="2"/>
    </row>
    <row r="1484">
      <c r="A1484" s="1" t="s">
        <v>1485</v>
      </c>
      <c r="B1484" s="2" t="s">
        <v>1353</v>
      </c>
      <c r="C1484" s="2"/>
      <c r="D1484" s="2" t="s">
        <v>11</v>
      </c>
      <c r="E1484" s="2">
        <v>10.0</v>
      </c>
      <c r="F1484" s="2" t="s">
        <v>12</v>
      </c>
      <c r="G1484" s="2"/>
      <c r="H1484" s="2"/>
      <c r="I1484" s="2"/>
    </row>
    <row r="1485">
      <c r="A1485" s="2" t="s">
        <v>1486</v>
      </c>
      <c r="B1485" s="2" t="s">
        <v>1353</v>
      </c>
      <c r="C1485" s="2"/>
      <c r="D1485" s="2" t="s">
        <v>11</v>
      </c>
      <c r="E1485" s="2">
        <v>10.0</v>
      </c>
      <c r="F1485" s="2" t="s">
        <v>12</v>
      </c>
      <c r="G1485" s="2"/>
      <c r="H1485" s="2"/>
      <c r="I1485" s="2"/>
    </row>
    <row r="1486">
      <c r="A1486" s="2" t="s">
        <v>1487</v>
      </c>
      <c r="B1486" s="2" t="s">
        <v>1353</v>
      </c>
      <c r="C1486" s="2"/>
      <c r="D1486" s="2" t="s">
        <v>11</v>
      </c>
      <c r="E1486" s="2">
        <v>15.0</v>
      </c>
      <c r="F1486" s="2" t="s">
        <v>12</v>
      </c>
      <c r="G1486" s="2"/>
      <c r="H1486" s="2"/>
      <c r="I1486" s="2"/>
    </row>
    <row r="1487">
      <c r="A1487" s="1" t="s">
        <v>1488</v>
      </c>
      <c r="B1487" s="2" t="s">
        <v>1353</v>
      </c>
      <c r="C1487" s="1"/>
      <c r="D1487" s="2"/>
      <c r="E1487" s="2"/>
      <c r="F1487" s="2"/>
      <c r="G1487" s="2"/>
      <c r="H1487" s="2"/>
      <c r="I1487" s="2"/>
    </row>
    <row r="1488">
      <c r="A1488" s="1" t="s">
        <v>1489</v>
      </c>
      <c r="B1488" s="2" t="s">
        <v>1353</v>
      </c>
      <c r="C1488" s="1"/>
      <c r="D1488" s="2"/>
      <c r="E1488" s="2"/>
      <c r="F1488" s="2"/>
      <c r="G1488" s="2"/>
      <c r="H1488" s="2"/>
      <c r="I1488" s="2"/>
    </row>
    <row r="1489">
      <c r="A1489" s="1" t="s">
        <v>1490</v>
      </c>
      <c r="B1489" s="2" t="s">
        <v>1353</v>
      </c>
      <c r="C1489" s="2"/>
      <c r="D1489" s="2" t="s">
        <v>11</v>
      </c>
      <c r="E1489" s="2">
        <v>10.0</v>
      </c>
      <c r="F1489" s="2" t="s">
        <v>12</v>
      </c>
      <c r="G1489" s="2"/>
      <c r="H1489" s="2"/>
      <c r="I1489" s="2"/>
    </row>
    <row r="1490">
      <c r="A1490" s="1" t="s">
        <v>1491</v>
      </c>
      <c r="B1490" s="2" t="s">
        <v>1353</v>
      </c>
      <c r="C1490" s="2"/>
      <c r="D1490" s="2" t="s">
        <v>11</v>
      </c>
      <c r="E1490" s="2">
        <v>10.0</v>
      </c>
      <c r="F1490" s="2" t="s">
        <v>12</v>
      </c>
      <c r="G1490" s="2"/>
      <c r="H1490" s="2"/>
      <c r="I1490" s="2"/>
    </row>
    <row r="1491">
      <c r="A1491" s="1" t="s">
        <v>1492</v>
      </c>
      <c r="B1491" s="2" t="s">
        <v>1353</v>
      </c>
      <c r="C1491" s="2"/>
      <c r="D1491" s="2" t="s">
        <v>11</v>
      </c>
      <c r="E1491" s="2">
        <v>10.0</v>
      </c>
      <c r="F1491" s="2" t="s">
        <v>12</v>
      </c>
      <c r="G1491" s="2"/>
      <c r="H1491" s="2"/>
      <c r="I1491" s="2"/>
    </row>
    <row r="1492">
      <c r="A1492" s="1" t="s">
        <v>1493</v>
      </c>
      <c r="B1492" s="2" t="s">
        <v>1353</v>
      </c>
      <c r="C1492" s="2"/>
      <c r="D1492" s="2" t="s">
        <v>11</v>
      </c>
      <c r="E1492" s="2">
        <v>10.0</v>
      </c>
      <c r="F1492" s="2" t="s">
        <v>12</v>
      </c>
      <c r="G1492" s="2"/>
      <c r="H1492" s="2"/>
      <c r="I1492" s="2"/>
    </row>
    <row r="1493">
      <c r="A1493" s="2" t="s">
        <v>1494</v>
      </c>
      <c r="B1493" s="2" t="s">
        <v>1353</v>
      </c>
      <c r="C1493" s="1"/>
      <c r="D1493" s="2"/>
      <c r="E1493" s="2"/>
      <c r="F1493" s="2"/>
      <c r="G1493" s="2"/>
      <c r="H1493" s="2"/>
      <c r="I1493" s="2"/>
    </row>
    <row r="1494">
      <c r="A1494" s="1" t="s">
        <v>1495</v>
      </c>
      <c r="B1494" s="2" t="s">
        <v>1353</v>
      </c>
      <c r="C1494" s="2"/>
      <c r="D1494" s="2" t="s">
        <v>11</v>
      </c>
      <c r="E1494" s="2">
        <v>10.0</v>
      </c>
      <c r="F1494" s="2" t="s">
        <v>12</v>
      </c>
      <c r="G1494" s="2"/>
      <c r="H1494" s="2"/>
      <c r="I1494" s="2"/>
    </row>
    <row r="1495">
      <c r="A1495" s="1" t="s">
        <v>1495</v>
      </c>
      <c r="B1495" s="2" t="s">
        <v>1353</v>
      </c>
      <c r="C1495" s="2"/>
      <c r="D1495" s="2" t="s">
        <v>11</v>
      </c>
      <c r="E1495" s="2"/>
      <c r="F1495" s="2"/>
      <c r="G1495" s="2"/>
      <c r="H1495" s="2"/>
      <c r="I1495" s="2"/>
    </row>
    <row r="1496">
      <c r="A1496" s="1" t="s">
        <v>1496</v>
      </c>
      <c r="B1496" s="2" t="s">
        <v>1353</v>
      </c>
      <c r="C1496" s="2"/>
      <c r="D1496" s="2" t="s">
        <v>11</v>
      </c>
      <c r="E1496" s="2">
        <v>15.0</v>
      </c>
      <c r="F1496" s="2" t="s">
        <v>12</v>
      </c>
      <c r="G1496" s="2"/>
      <c r="H1496" s="2"/>
      <c r="I1496" s="2"/>
    </row>
    <row r="1497">
      <c r="A1497" s="1" t="s">
        <v>1496</v>
      </c>
      <c r="B1497" s="2" t="s">
        <v>1353</v>
      </c>
      <c r="C1497" s="2"/>
      <c r="D1497" s="2" t="s">
        <v>11</v>
      </c>
      <c r="E1497" s="2"/>
      <c r="F1497" s="2"/>
      <c r="G1497" s="2"/>
      <c r="H1497" s="2"/>
      <c r="I1497" s="2"/>
    </row>
    <row r="1498">
      <c r="A1498" s="1" t="s">
        <v>1497</v>
      </c>
      <c r="B1498" s="2" t="s">
        <v>1353</v>
      </c>
      <c r="C1498" s="2"/>
      <c r="D1498" s="2" t="s">
        <v>11</v>
      </c>
      <c r="E1498" s="2">
        <v>10.0</v>
      </c>
      <c r="F1498" s="2" t="s">
        <v>12</v>
      </c>
      <c r="G1498" s="2"/>
      <c r="H1498" s="2"/>
      <c r="I1498" s="2"/>
    </row>
    <row r="1499">
      <c r="A1499" s="1" t="s">
        <v>1497</v>
      </c>
      <c r="B1499" s="2" t="s">
        <v>1353</v>
      </c>
      <c r="C1499" s="2"/>
      <c r="D1499" s="2" t="s">
        <v>11</v>
      </c>
      <c r="E1499" s="2"/>
      <c r="F1499" s="2"/>
      <c r="G1499" s="2"/>
      <c r="H1499" s="2"/>
      <c r="I1499" s="2"/>
    </row>
    <row r="1500">
      <c r="A1500" s="1" t="s">
        <v>1498</v>
      </c>
      <c r="B1500" s="2" t="s">
        <v>1353</v>
      </c>
      <c r="C1500" s="2"/>
      <c r="D1500" s="2" t="s">
        <v>11</v>
      </c>
      <c r="E1500" s="2">
        <v>15.0</v>
      </c>
      <c r="F1500" s="2" t="s">
        <v>12</v>
      </c>
      <c r="G1500" s="2"/>
      <c r="H1500" s="2"/>
      <c r="I1500" s="2"/>
    </row>
    <row r="1501">
      <c r="A1501" s="1" t="s">
        <v>1498</v>
      </c>
      <c r="B1501" s="2" t="s">
        <v>1353</v>
      </c>
      <c r="C1501" s="2"/>
      <c r="D1501" s="2" t="s">
        <v>11</v>
      </c>
      <c r="E1501" s="2"/>
      <c r="F1501" s="2"/>
      <c r="G1501" s="2"/>
      <c r="H1501" s="2"/>
      <c r="I1501" s="2"/>
    </row>
    <row r="1502">
      <c r="A1502" s="2" t="s">
        <v>1499</v>
      </c>
      <c r="B1502" s="2" t="s">
        <v>1500</v>
      </c>
      <c r="C1502" s="1"/>
      <c r="D1502" s="2"/>
      <c r="E1502" s="2"/>
      <c r="F1502" s="2"/>
      <c r="G1502" s="2"/>
      <c r="H1502" s="2"/>
      <c r="I1502" s="2"/>
    </row>
    <row r="1503">
      <c r="A1503" s="2" t="s">
        <v>1501</v>
      </c>
      <c r="B1503" s="2" t="s">
        <v>1500</v>
      </c>
      <c r="C1503" s="1"/>
      <c r="D1503" s="2"/>
      <c r="E1503" s="2"/>
      <c r="F1503" s="2"/>
      <c r="G1503" s="2"/>
      <c r="H1503" s="2"/>
      <c r="I1503" s="2"/>
    </row>
    <row r="1504">
      <c r="A1504" s="2" t="s">
        <v>1502</v>
      </c>
      <c r="B1504" s="2" t="s">
        <v>1500</v>
      </c>
      <c r="C1504" s="1"/>
      <c r="D1504" s="2"/>
      <c r="E1504" s="2"/>
      <c r="F1504" s="2"/>
      <c r="G1504" s="2"/>
      <c r="H1504" s="2"/>
      <c r="I1504" s="2"/>
    </row>
    <row r="1505">
      <c r="A1505" s="2" t="s">
        <v>1503</v>
      </c>
      <c r="B1505" s="2" t="s">
        <v>1500</v>
      </c>
      <c r="C1505" s="1"/>
      <c r="D1505" s="2"/>
      <c r="E1505" s="2"/>
      <c r="F1505" s="2"/>
      <c r="G1505" s="2"/>
      <c r="H1505" s="2"/>
      <c r="I1505" s="2"/>
    </row>
    <row r="1506">
      <c r="A1506" s="2" t="s">
        <v>1504</v>
      </c>
      <c r="B1506" s="2" t="s">
        <v>1500</v>
      </c>
      <c r="C1506" s="2"/>
      <c r="D1506" s="2" t="s">
        <v>37</v>
      </c>
      <c r="E1506" s="2">
        <v>10.0</v>
      </c>
      <c r="F1506" s="2" t="s">
        <v>12</v>
      </c>
      <c r="G1506" s="2"/>
      <c r="H1506" s="2"/>
      <c r="I1506" s="2"/>
    </row>
    <row r="1507">
      <c r="A1507" s="2" t="s">
        <v>1505</v>
      </c>
      <c r="B1507" s="2" t="s">
        <v>1500</v>
      </c>
      <c r="C1507" s="2"/>
      <c r="D1507" s="2" t="s">
        <v>37</v>
      </c>
      <c r="E1507" s="2">
        <v>10.0</v>
      </c>
      <c r="F1507" s="2" t="s">
        <v>12</v>
      </c>
      <c r="G1507" s="2"/>
      <c r="H1507" s="2"/>
      <c r="I1507" s="2"/>
    </row>
    <row r="1508">
      <c r="A1508" s="2" t="s">
        <v>1506</v>
      </c>
      <c r="B1508" s="2" t="s">
        <v>1500</v>
      </c>
      <c r="C1508" s="1"/>
      <c r="D1508" s="2"/>
      <c r="E1508" s="2"/>
      <c r="F1508" s="2"/>
      <c r="G1508" s="2"/>
      <c r="H1508" s="2"/>
      <c r="I1508" s="2"/>
    </row>
    <row r="1509">
      <c r="A1509" s="1" t="s">
        <v>1507</v>
      </c>
      <c r="B1509" s="2" t="s">
        <v>1500</v>
      </c>
      <c r="C1509" s="2"/>
      <c r="D1509" s="2" t="s">
        <v>11</v>
      </c>
      <c r="E1509" s="2">
        <v>10.0</v>
      </c>
      <c r="F1509" s="2" t="s">
        <v>12</v>
      </c>
      <c r="G1509" s="2"/>
      <c r="H1509" s="2"/>
      <c r="I1509" s="2"/>
    </row>
    <row r="1510">
      <c r="A1510" s="1" t="s">
        <v>1508</v>
      </c>
      <c r="B1510" s="2" t="s">
        <v>1500</v>
      </c>
      <c r="C1510" s="2"/>
      <c r="D1510" s="2" t="s">
        <v>11</v>
      </c>
      <c r="E1510" s="2">
        <v>10.0</v>
      </c>
      <c r="F1510" s="2" t="s">
        <v>12</v>
      </c>
      <c r="G1510" s="2"/>
      <c r="H1510" s="2"/>
      <c r="I1510" s="2"/>
    </row>
    <row r="1511">
      <c r="A1511" s="2" t="s">
        <v>1509</v>
      </c>
      <c r="B1511" s="2" t="s">
        <v>1500</v>
      </c>
      <c r="C1511" s="2"/>
      <c r="D1511" s="2" t="s">
        <v>11</v>
      </c>
      <c r="E1511" s="2">
        <v>15.0</v>
      </c>
      <c r="F1511" s="2" t="s">
        <v>12</v>
      </c>
      <c r="G1511" s="2"/>
      <c r="H1511" s="2"/>
      <c r="I1511" s="2"/>
    </row>
    <row r="1512">
      <c r="A1512" s="2" t="s">
        <v>1510</v>
      </c>
      <c r="B1512" s="2" t="s">
        <v>1500</v>
      </c>
      <c r="C1512" s="1"/>
      <c r="D1512" s="2"/>
      <c r="E1512" s="2"/>
      <c r="F1512" s="2"/>
      <c r="G1512" s="2"/>
      <c r="H1512" s="2"/>
      <c r="I1512" s="2"/>
    </row>
    <row r="1513">
      <c r="A1513" s="2" t="s">
        <v>1511</v>
      </c>
      <c r="B1513" s="2" t="s">
        <v>1500</v>
      </c>
      <c r="C1513" s="1"/>
      <c r="D1513" s="2"/>
      <c r="E1513" s="2"/>
      <c r="F1513" s="2"/>
      <c r="G1513" s="2"/>
      <c r="H1513" s="2"/>
      <c r="I1513" s="2"/>
    </row>
    <row r="1514">
      <c r="A1514" s="2" t="s">
        <v>1512</v>
      </c>
      <c r="B1514" s="2" t="s">
        <v>1500</v>
      </c>
      <c r="C1514" s="1"/>
      <c r="D1514" s="2"/>
      <c r="E1514" s="2"/>
      <c r="F1514" s="2"/>
      <c r="G1514" s="2"/>
      <c r="H1514" s="2"/>
      <c r="I1514" s="2"/>
    </row>
    <row r="1515">
      <c r="A1515" s="2" t="s">
        <v>1513</v>
      </c>
      <c r="B1515" s="2" t="s">
        <v>1500</v>
      </c>
      <c r="C1515" s="1"/>
      <c r="D1515" s="2"/>
      <c r="E1515" s="2"/>
      <c r="F1515" s="2"/>
      <c r="G1515" s="2"/>
      <c r="H1515" s="2"/>
      <c r="I1515" s="2"/>
    </row>
    <row r="1516">
      <c r="A1516" s="2" t="s">
        <v>1514</v>
      </c>
      <c r="B1516" s="2" t="s">
        <v>1500</v>
      </c>
      <c r="C1516" s="1"/>
      <c r="D1516" s="2"/>
      <c r="E1516" s="2"/>
      <c r="F1516" s="2"/>
      <c r="G1516" s="2"/>
      <c r="H1516" s="2"/>
      <c r="I1516" s="2"/>
    </row>
    <row r="1517">
      <c r="A1517" s="2" t="s">
        <v>1515</v>
      </c>
      <c r="B1517" s="2" t="s">
        <v>1500</v>
      </c>
      <c r="C1517" s="1"/>
      <c r="D1517" s="2"/>
      <c r="E1517" s="2"/>
      <c r="F1517" s="2"/>
      <c r="G1517" s="2"/>
      <c r="H1517" s="2"/>
      <c r="I1517" s="2"/>
    </row>
    <row r="1518">
      <c r="A1518" s="2" t="s">
        <v>1516</v>
      </c>
      <c r="B1518" s="2" t="s">
        <v>1500</v>
      </c>
      <c r="C1518" s="1"/>
      <c r="D1518" s="2"/>
      <c r="E1518" s="2"/>
      <c r="F1518" s="2"/>
      <c r="G1518" s="2"/>
      <c r="H1518" s="2"/>
      <c r="I1518" s="2"/>
    </row>
    <row r="1519">
      <c r="A1519" s="2" t="s">
        <v>1517</v>
      </c>
      <c r="B1519" s="2" t="s">
        <v>1500</v>
      </c>
      <c r="C1519" s="1"/>
      <c r="D1519" s="2"/>
      <c r="E1519" s="2"/>
      <c r="F1519" s="2"/>
      <c r="G1519" s="2"/>
      <c r="H1519" s="2"/>
      <c r="I1519" s="2"/>
    </row>
    <row r="1520">
      <c r="A1520" s="2" t="s">
        <v>1518</v>
      </c>
      <c r="B1520" s="2" t="s">
        <v>1500</v>
      </c>
      <c r="C1520" s="1"/>
      <c r="D1520" s="2"/>
      <c r="E1520" s="2"/>
      <c r="F1520" s="2"/>
      <c r="G1520" s="2"/>
      <c r="H1520" s="2"/>
      <c r="I1520" s="2"/>
    </row>
    <row r="1521">
      <c r="A1521" s="2" t="s">
        <v>1519</v>
      </c>
      <c r="B1521" s="2" t="s">
        <v>1500</v>
      </c>
      <c r="C1521" s="1"/>
      <c r="D1521" s="2"/>
      <c r="E1521" s="2"/>
      <c r="F1521" s="2"/>
      <c r="G1521" s="2"/>
      <c r="H1521" s="2"/>
      <c r="I1521" s="2"/>
    </row>
    <row r="1522">
      <c r="A1522" s="2" t="s">
        <v>1520</v>
      </c>
      <c r="B1522" s="2" t="s">
        <v>1500</v>
      </c>
      <c r="C1522" s="1"/>
      <c r="D1522" s="2"/>
      <c r="E1522" s="2"/>
      <c r="F1522" s="2"/>
      <c r="G1522" s="2"/>
      <c r="H1522" s="2"/>
      <c r="I1522" s="2"/>
    </row>
    <row r="1523">
      <c r="A1523" s="2" t="s">
        <v>1521</v>
      </c>
      <c r="B1523" s="2" t="s">
        <v>1500</v>
      </c>
      <c r="C1523" s="1"/>
      <c r="D1523" s="2"/>
      <c r="E1523" s="2"/>
      <c r="F1523" s="2"/>
      <c r="G1523" s="2"/>
      <c r="H1523" s="2"/>
      <c r="I1523" s="2"/>
    </row>
    <row r="1524">
      <c r="A1524" s="2" t="s">
        <v>1522</v>
      </c>
      <c r="B1524" s="2" t="s">
        <v>1500</v>
      </c>
      <c r="C1524" s="1"/>
      <c r="D1524" s="2"/>
      <c r="E1524" s="2"/>
      <c r="F1524" s="2"/>
      <c r="G1524" s="2"/>
      <c r="H1524" s="2"/>
      <c r="I1524" s="2"/>
    </row>
    <row r="1525">
      <c r="A1525" s="2" t="s">
        <v>1523</v>
      </c>
      <c r="B1525" s="2" t="s">
        <v>1500</v>
      </c>
      <c r="C1525" s="1"/>
      <c r="D1525" s="2"/>
      <c r="E1525" s="2"/>
      <c r="F1525" s="2"/>
      <c r="G1525" s="2"/>
      <c r="H1525" s="2"/>
      <c r="I1525" s="2"/>
    </row>
    <row r="1526">
      <c r="A1526" s="2" t="s">
        <v>1524</v>
      </c>
      <c r="B1526" s="2" t="s">
        <v>1500</v>
      </c>
      <c r="C1526" s="1"/>
      <c r="D1526" s="2"/>
      <c r="E1526" s="2"/>
      <c r="F1526" s="2"/>
      <c r="G1526" s="2"/>
      <c r="H1526" s="2"/>
      <c r="I1526" s="2"/>
    </row>
    <row r="1527">
      <c r="A1527" s="2" t="s">
        <v>1525</v>
      </c>
      <c r="B1527" s="2" t="s">
        <v>1500</v>
      </c>
      <c r="C1527" s="1"/>
      <c r="D1527" s="2"/>
      <c r="E1527" s="2"/>
      <c r="F1527" s="2"/>
      <c r="G1527" s="2"/>
      <c r="H1527" s="2"/>
      <c r="I1527" s="2"/>
    </row>
    <row r="1528">
      <c r="A1528" s="2" t="s">
        <v>1526</v>
      </c>
      <c r="B1528" s="2" t="s">
        <v>1500</v>
      </c>
      <c r="C1528" s="1"/>
      <c r="D1528" s="2"/>
      <c r="E1528" s="2"/>
      <c r="F1528" s="2"/>
      <c r="G1528" s="2"/>
      <c r="H1528" s="2"/>
      <c r="I1528" s="2"/>
    </row>
    <row r="1529">
      <c r="A1529" s="2" t="s">
        <v>1527</v>
      </c>
      <c r="B1529" s="2" t="s">
        <v>1500</v>
      </c>
      <c r="C1529" s="1"/>
      <c r="D1529" s="2"/>
      <c r="E1529" s="2"/>
      <c r="F1529" s="2"/>
      <c r="G1529" s="2"/>
      <c r="H1529" s="2"/>
      <c r="I1529" s="2"/>
    </row>
    <row r="1530">
      <c r="A1530" s="2" t="s">
        <v>1528</v>
      </c>
      <c r="B1530" s="2" t="s">
        <v>1500</v>
      </c>
      <c r="C1530" s="1"/>
      <c r="D1530" s="2"/>
      <c r="E1530" s="2"/>
      <c r="F1530" s="2"/>
      <c r="G1530" s="2"/>
      <c r="H1530" s="2"/>
      <c r="I1530" s="2"/>
    </row>
    <row r="1531">
      <c r="A1531" s="2" t="s">
        <v>1529</v>
      </c>
      <c r="B1531" s="2" t="s">
        <v>1500</v>
      </c>
      <c r="C1531" s="1"/>
      <c r="D1531" s="2"/>
      <c r="E1531" s="2"/>
      <c r="F1531" s="2"/>
      <c r="G1531" s="2"/>
      <c r="H1531" s="2"/>
      <c r="I1531" s="2"/>
    </row>
    <row r="1532">
      <c r="A1532" s="2" t="s">
        <v>1530</v>
      </c>
      <c r="B1532" s="2" t="s">
        <v>1500</v>
      </c>
      <c r="C1532" s="1"/>
      <c r="D1532" s="2"/>
      <c r="E1532" s="2"/>
      <c r="F1532" s="2"/>
      <c r="G1532" s="2"/>
      <c r="H1532" s="2"/>
      <c r="I1532" s="2"/>
    </row>
    <row r="1533">
      <c r="A1533" s="2" t="s">
        <v>1531</v>
      </c>
      <c r="B1533" s="2" t="s">
        <v>1500</v>
      </c>
      <c r="C1533" s="1"/>
      <c r="D1533" s="2"/>
      <c r="E1533" s="2"/>
      <c r="F1533" s="2"/>
      <c r="G1533" s="2"/>
      <c r="H1533" s="2"/>
      <c r="I1533" s="2"/>
    </row>
    <row r="1534">
      <c r="A1534" s="2" t="s">
        <v>1532</v>
      </c>
      <c r="B1534" s="2" t="s">
        <v>743</v>
      </c>
      <c r="C1534" s="1"/>
      <c r="D1534" s="2"/>
      <c r="E1534" s="2"/>
      <c r="F1534" s="2"/>
      <c r="G1534" s="2"/>
      <c r="H1534" s="2"/>
      <c r="I1534" s="2"/>
    </row>
    <row r="1535">
      <c r="A1535" s="2" t="s">
        <v>1533</v>
      </c>
      <c r="B1535" s="2" t="s">
        <v>743</v>
      </c>
      <c r="C1535" s="1"/>
      <c r="D1535" s="2"/>
      <c r="E1535" s="2"/>
      <c r="F1535" s="2"/>
      <c r="G1535" s="2"/>
      <c r="H1535" s="2"/>
      <c r="I1535" s="2"/>
    </row>
    <row r="1536">
      <c r="A1536" s="2" t="s">
        <v>1534</v>
      </c>
      <c r="B1536" s="2" t="s">
        <v>743</v>
      </c>
      <c r="C1536" s="1"/>
      <c r="D1536" s="2"/>
      <c r="E1536" s="2"/>
      <c r="F1536" s="2"/>
      <c r="G1536" s="2"/>
      <c r="H1536" s="2"/>
      <c r="I1536" s="2"/>
    </row>
    <row r="1537">
      <c r="A1537" s="1" t="s">
        <v>1535</v>
      </c>
      <c r="B1537" s="2" t="s">
        <v>1536</v>
      </c>
      <c r="C1537" s="2"/>
      <c r="D1537" s="2" t="s">
        <v>11</v>
      </c>
      <c r="E1537" s="2">
        <v>10.0</v>
      </c>
      <c r="F1537" s="2" t="s">
        <v>12</v>
      </c>
      <c r="G1537" s="2"/>
      <c r="H1537" s="2"/>
      <c r="I1537" s="2"/>
    </row>
    <row r="1538">
      <c r="A1538" s="1" t="s">
        <v>1537</v>
      </c>
      <c r="B1538" s="2" t="s">
        <v>1536</v>
      </c>
      <c r="C1538" s="2"/>
      <c r="D1538" s="2" t="s">
        <v>11</v>
      </c>
      <c r="E1538" s="2">
        <v>10.0</v>
      </c>
      <c r="F1538" s="2" t="s">
        <v>12</v>
      </c>
      <c r="G1538" s="2"/>
      <c r="H1538" s="2"/>
      <c r="I1538" s="2"/>
    </row>
    <row r="1539">
      <c r="A1539" s="1" t="s">
        <v>1538</v>
      </c>
      <c r="B1539" s="2" t="s">
        <v>1536</v>
      </c>
      <c r="C1539" s="2"/>
      <c r="D1539" s="2" t="s">
        <v>11</v>
      </c>
      <c r="E1539" s="2">
        <v>10.0</v>
      </c>
      <c r="F1539" s="2" t="s">
        <v>12</v>
      </c>
      <c r="G1539" s="2"/>
      <c r="H1539" s="2"/>
      <c r="I1539" s="2"/>
    </row>
    <row r="1540">
      <c r="A1540" s="1" t="s">
        <v>1539</v>
      </c>
      <c r="B1540" s="2" t="s">
        <v>1536</v>
      </c>
      <c r="C1540" s="2"/>
      <c r="D1540" s="2" t="s">
        <v>11</v>
      </c>
      <c r="E1540" s="2">
        <v>10.0</v>
      </c>
      <c r="F1540" s="2" t="s">
        <v>12</v>
      </c>
      <c r="G1540" s="2"/>
      <c r="H1540" s="2"/>
      <c r="I1540" s="2"/>
    </row>
    <row r="1541">
      <c r="A1541" s="1" t="s">
        <v>1540</v>
      </c>
      <c r="B1541" s="2" t="s">
        <v>1536</v>
      </c>
      <c r="C1541" s="2"/>
      <c r="D1541" s="2" t="s">
        <v>11</v>
      </c>
      <c r="E1541" s="2">
        <v>10.0</v>
      </c>
      <c r="F1541" s="2" t="s">
        <v>12</v>
      </c>
      <c r="G1541" s="2"/>
      <c r="H1541" s="2"/>
      <c r="I1541" s="2"/>
    </row>
    <row r="1542">
      <c r="A1542" s="2" t="s">
        <v>1541</v>
      </c>
      <c r="B1542" s="2" t="s">
        <v>1536</v>
      </c>
      <c r="C1542" s="2"/>
      <c r="D1542" s="2" t="s">
        <v>11</v>
      </c>
      <c r="E1542" s="2">
        <v>10.0</v>
      </c>
      <c r="F1542" s="2" t="s">
        <v>12</v>
      </c>
      <c r="G1542" s="2"/>
      <c r="H1542" s="2"/>
      <c r="I1542" s="2"/>
    </row>
    <row r="1543">
      <c r="A1543" s="1" t="s">
        <v>1542</v>
      </c>
      <c r="B1543" s="2" t="s">
        <v>1536</v>
      </c>
      <c r="C1543" s="2"/>
      <c r="D1543" s="2" t="s">
        <v>11</v>
      </c>
      <c r="E1543" s="2">
        <v>10.0</v>
      </c>
      <c r="F1543" s="2" t="s">
        <v>12</v>
      </c>
      <c r="G1543" s="2"/>
      <c r="H1543" s="2"/>
      <c r="I1543" s="2"/>
    </row>
    <row r="1544">
      <c r="A1544" s="1" t="s">
        <v>1543</v>
      </c>
      <c r="B1544" s="2" t="s">
        <v>1536</v>
      </c>
      <c r="C1544" s="2"/>
      <c r="D1544" s="2" t="s">
        <v>11</v>
      </c>
      <c r="E1544" s="2">
        <v>10.0</v>
      </c>
      <c r="F1544" s="2" t="s">
        <v>12</v>
      </c>
      <c r="G1544" s="2"/>
      <c r="H1544" s="2"/>
      <c r="I1544" s="2"/>
    </row>
    <row r="1545">
      <c r="A1545" s="2" t="s">
        <v>1544</v>
      </c>
      <c r="B1545" s="2" t="s">
        <v>1536</v>
      </c>
      <c r="C1545" s="2"/>
      <c r="D1545" s="2" t="s">
        <v>37</v>
      </c>
      <c r="E1545" s="2">
        <v>10.0</v>
      </c>
      <c r="F1545" s="2" t="s">
        <v>12</v>
      </c>
      <c r="G1545" s="2"/>
      <c r="H1545" s="2"/>
      <c r="I1545" s="2"/>
    </row>
    <row r="1546">
      <c r="A1546" s="1" t="s">
        <v>1545</v>
      </c>
      <c r="B1546" s="2" t="s">
        <v>1536</v>
      </c>
      <c r="C1546" s="2"/>
      <c r="D1546" s="2" t="s">
        <v>11</v>
      </c>
      <c r="E1546" s="2">
        <v>10.0</v>
      </c>
      <c r="F1546" s="2" t="s">
        <v>12</v>
      </c>
      <c r="G1546" s="2"/>
      <c r="H1546" s="2"/>
      <c r="I1546" s="2"/>
    </row>
    <row r="1547">
      <c r="A1547" s="1" t="s">
        <v>1546</v>
      </c>
      <c r="B1547" s="2" t="s">
        <v>1536</v>
      </c>
      <c r="C1547" s="2"/>
      <c r="D1547" s="2" t="s">
        <v>11</v>
      </c>
      <c r="E1547" s="2">
        <v>10.0</v>
      </c>
      <c r="F1547" s="2" t="s">
        <v>12</v>
      </c>
      <c r="G1547" s="2"/>
      <c r="H1547" s="2"/>
      <c r="I1547" s="2"/>
    </row>
    <row r="1548">
      <c r="A1548" s="2" t="s">
        <v>1547</v>
      </c>
      <c r="B1548" s="2" t="s">
        <v>1536</v>
      </c>
      <c r="C1548" s="2"/>
      <c r="D1548" s="2" t="s">
        <v>11</v>
      </c>
      <c r="E1548" s="2">
        <v>10.0</v>
      </c>
      <c r="F1548" s="2" t="s">
        <v>12</v>
      </c>
      <c r="G1548" s="2"/>
      <c r="H1548" s="2"/>
      <c r="I1548" s="2"/>
    </row>
    <row r="1549">
      <c r="A1549" s="2" t="s">
        <v>1548</v>
      </c>
      <c r="B1549" s="2" t="s">
        <v>1536</v>
      </c>
      <c r="C1549" s="2"/>
      <c r="D1549" s="2" t="s">
        <v>11</v>
      </c>
      <c r="E1549" s="2">
        <v>10.0</v>
      </c>
      <c r="F1549" s="2" t="s">
        <v>12</v>
      </c>
      <c r="G1549" s="2"/>
      <c r="H1549" s="2"/>
      <c r="I1549" s="2"/>
    </row>
    <row r="1550">
      <c r="A1550" s="2" t="s">
        <v>1549</v>
      </c>
      <c r="B1550" s="2" t="s">
        <v>1536</v>
      </c>
      <c r="C1550" s="2"/>
      <c r="D1550" s="2" t="s">
        <v>11</v>
      </c>
      <c r="E1550" s="2">
        <v>10.0</v>
      </c>
      <c r="F1550" s="2" t="s">
        <v>12</v>
      </c>
      <c r="G1550" s="2"/>
      <c r="H1550" s="2"/>
      <c r="I1550" s="2"/>
    </row>
    <row r="1551">
      <c r="A1551" s="2" t="s">
        <v>1550</v>
      </c>
      <c r="B1551" s="2" t="s">
        <v>1536</v>
      </c>
      <c r="C1551" s="2"/>
      <c r="D1551" s="1" t="s">
        <v>11</v>
      </c>
      <c r="E1551" s="2">
        <v>4.0</v>
      </c>
      <c r="F1551" s="2" t="s">
        <v>12</v>
      </c>
      <c r="G1551" s="2"/>
      <c r="H1551" s="2"/>
      <c r="I1551" s="2"/>
    </row>
    <row r="1552">
      <c r="A1552" s="2" t="s">
        <v>1551</v>
      </c>
      <c r="B1552" s="2" t="s">
        <v>1536</v>
      </c>
      <c r="C1552" s="2"/>
      <c r="D1552" s="2" t="s">
        <v>11</v>
      </c>
      <c r="E1552" s="2">
        <v>10.0</v>
      </c>
      <c r="F1552" s="2" t="s">
        <v>12</v>
      </c>
      <c r="G1552" s="2"/>
      <c r="H1552" s="2"/>
      <c r="I1552" s="2"/>
    </row>
    <row r="1553">
      <c r="A1553" s="2" t="s">
        <v>1552</v>
      </c>
      <c r="B1553" s="2" t="s">
        <v>1553</v>
      </c>
      <c r="C1553" s="1"/>
      <c r="D1553" s="2"/>
      <c r="E1553" s="2"/>
      <c r="F1553" s="2"/>
      <c r="G1553" s="2"/>
      <c r="H1553" s="2"/>
      <c r="I1553" s="2"/>
    </row>
    <row r="1554">
      <c r="A1554" s="2" t="s">
        <v>1554</v>
      </c>
      <c r="B1554" s="2" t="s">
        <v>1553</v>
      </c>
      <c r="C1554" s="1"/>
      <c r="D1554" s="2"/>
      <c r="E1554" s="2"/>
      <c r="F1554" s="2"/>
      <c r="G1554" s="2"/>
      <c r="H1554" s="2"/>
      <c r="I1554" s="2"/>
    </row>
    <row r="1555">
      <c r="A1555" s="1" t="s">
        <v>1555</v>
      </c>
      <c r="B1555" s="2" t="s">
        <v>1553</v>
      </c>
      <c r="C1555" s="2"/>
      <c r="D1555" s="2" t="s">
        <v>11</v>
      </c>
      <c r="E1555" s="2">
        <v>10.0</v>
      </c>
      <c r="F1555" s="2" t="s">
        <v>12</v>
      </c>
      <c r="G1555" s="2"/>
      <c r="H1555" s="2"/>
      <c r="I1555" s="2"/>
    </row>
    <row r="1556">
      <c r="A1556" s="2" t="s">
        <v>1556</v>
      </c>
      <c r="B1556" s="2" t="s">
        <v>1553</v>
      </c>
      <c r="C1556" s="2"/>
      <c r="D1556" s="2" t="s">
        <v>37</v>
      </c>
      <c r="E1556" s="2">
        <v>10.0</v>
      </c>
      <c r="F1556" s="2" t="s">
        <v>12</v>
      </c>
      <c r="G1556" s="2"/>
      <c r="H1556" s="2"/>
      <c r="I1556" s="2"/>
    </row>
    <row r="1557">
      <c r="A1557" s="1" t="s">
        <v>1557</v>
      </c>
      <c r="B1557" s="2" t="s">
        <v>1553</v>
      </c>
      <c r="C1557" s="2"/>
      <c r="D1557" s="2" t="s">
        <v>11</v>
      </c>
      <c r="E1557" s="2">
        <v>10.0</v>
      </c>
      <c r="F1557" s="2" t="s">
        <v>12</v>
      </c>
      <c r="G1557" s="2"/>
      <c r="H1557" s="2"/>
      <c r="I1557" s="2"/>
    </row>
    <row r="1558">
      <c r="A1558" s="1" t="s">
        <v>1558</v>
      </c>
      <c r="B1558" s="2" t="s">
        <v>1553</v>
      </c>
      <c r="C1558" s="1"/>
      <c r="D1558" s="2"/>
      <c r="E1558" s="2"/>
      <c r="F1558" s="2"/>
      <c r="G1558" s="2"/>
      <c r="H1558" s="2"/>
      <c r="I1558" s="2"/>
    </row>
    <row r="1559">
      <c r="A1559" s="1" t="s">
        <v>1559</v>
      </c>
      <c r="B1559" s="2" t="s">
        <v>1553</v>
      </c>
      <c r="C1559" s="1"/>
      <c r="D1559" s="2"/>
      <c r="E1559" s="2"/>
      <c r="F1559" s="2"/>
      <c r="G1559" s="2"/>
      <c r="H1559" s="2"/>
      <c r="I1559" s="2"/>
    </row>
    <row r="1560">
      <c r="A1560" s="2" t="s">
        <v>1560</v>
      </c>
      <c r="B1560" s="2" t="s">
        <v>1553</v>
      </c>
      <c r="C1560" s="2"/>
      <c r="D1560" s="2" t="s">
        <v>11</v>
      </c>
      <c r="E1560" s="2">
        <v>10.0</v>
      </c>
      <c r="F1560" s="2" t="s">
        <v>12</v>
      </c>
      <c r="G1560" s="2"/>
      <c r="H1560" s="2"/>
      <c r="I1560" s="2"/>
    </row>
    <row r="1561">
      <c r="A1561" s="1" t="s">
        <v>1561</v>
      </c>
      <c r="B1561" s="2" t="s">
        <v>1553</v>
      </c>
      <c r="C1561" s="2"/>
      <c r="D1561" s="2" t="s">
        <v>11</v>
      </c>
      <c r="E1561" s="2">
        <v>10.0</v>
      </c>
      <c r="F1561" s="2" t="s">
        <v>12</v>
      </c>
      <c r="G1561" s="2"/>
      <c r="H1561" s="2"/>
      <c r="I1561" s="2"/>
    </row>
    <row r="1562">
      <c r="A1562" s="1" t="s">
        <v>1562</v>
      </c>
      <c r="B1562" s="2" t="s">
        <v>1553</v>
      </c>
      <c r="C1562" s="2"/>
      <c r="D1562" s="2" t="s">
        <v>11</v>
      </c>
      <c r="E1562" s="2">
        <v>10.0</v>
      </c>
      <c r="F1562" s="2" t="s">
        <v>12</v>
      </c>
      <c r="G1562" s="2"/>
      <c r="H1562" s="2"/>
      <c r="I1562" s="2"/>
    </row>
    <row r="1563">
      <c r="A1563" s="1" t="s">
        <v>1563</v>
      </c>
      <c r="B1563" s="2" t="s">
        <v>1553</v>
      </c>
      <c r="C1563" s="2"/>
      <c r="D1563" s="2" t="s">
        <v>11</v>
      </c>
      <c r="E1563" s="2">
        <v>10.0</v>
      </c>
      <c r="F1563" s="2" t="s">
        <v>12</v>
      </c>
      <c r="G1563" s="2"/>
      <c r="H1563" s="2"/>
      <c r="I1563" s="2"/>
    </row>
    <row r="1564">
      <c r="A1564" s="2" t="s">
        <v>1564</v>
      </c>
      <c r="B1564" s="2" t="s">
        <v>1565</v>
      </c>
      <c r="C1564" s="2"/>
      <c r="D1564" s="2" t="s">
        <v>11</v>
      </c>
      <c r="E1564" s="2">
        <v>10.0</v>
      </c>
      <c r="F1564" s="2" t="s">
        <v>12</v>
      </c>
      <c r="G1564" s="2"/>
      <c r="H1564" s="2"/>
      <c r="I1564" s="2"/>
    </row>
    <row r="1565">
      <c r="A1565" s="2" t="s">
        <v>1566</v>
      </c>
      <c r="B1565" s="2" t="s">
        <v>1565</v>
      </c>
      <c r="C1565" s="1"/>
      <c r="D1565" s="2"/>
      <c r="E1565" s="2"/>
      <c r="F1565" s="2"/>
      <c r="G1565" s="2"/>
      <c r="H1565" s="2"/>
      <c r="I1565" s="2"/>
    </row>
    <row r="1566">
      <c r="A1566" s="1" t="s">
        <v>1567</v>
      </c>
      <c r="B1566" s="2" t="s">
        <v>1565</v>
      </c>
      <c r="C1566" s="2"/>
      <c r="D1566" s="2" t="s">
        <v>11</v>
      </c>
      <c r="E1566" s="2">
        <v>10.0</v>
      </c>
      <c r="F1566" s="2" t="s">
        <v>12</v>
      </c>
      <c r="G1566" s="2"/>
      <c r="H1566" s="2"/>
      <c r="I1566" s="2"/>
    </row>
    <row r="1567">
      <c r="A1567" s="1" t="s">
        <v>1568</v>
      </c>
      <c r="B1567" s="2" t="s">
        <v>1565</v>
      </c>
      <c r="C1567" s="2"/>
      <c r="D1567" s="2" t="s">
        <v>11</v>
      </c>
      <c r="E1567" s="2">
        <v>10.0</v>
      </c>
      <c r="F1567" s="2" t="s">
        <v>12</v>
      </c>
      <c r="G1567" s="2"/>
      <c r="H1567" s="2"/>
      <c r="I1567" s="2"/>
    </row>
    <row r="1568">
      <c r="A1568" s="1" t="s">
        <v>1569</v>
      </c>
      <c r="B1568" s="2" t="s">
        <v>1565</v>
      </c>
      <c r="C1568" s="2"/>
      <c r="D1568" s="2" t="s">
        <v>11</v>
      </c>
      <c r="E1568" s="2">
        <v>10.0</v>
      </c>
      <c r="F1568" s="2" t="s">
        <v>12</v>
      </c>
      <c r="G1568" s="2"/>
      <c r="H1568" s="2"/>
      <c r="I1568" s="2"/>
    </row>
    <row r="1569">
      <c r="A1569" s="1" t="s">
        <v>1570</v>
      </c>
      <c r="B1569" s="2" t="s">
        <v>1565</v>
      </c>
      <c r="C1569" s="2"/>
      <c r="D1569" s="2" t="s">
        <v>11</v>
      </c>
      <c r="E1569" s="2">
        <v>7.0</v>
      </c>
      <c r="F1569" s="2" t="s">
        <v>12</v>
      </c>
      <c r="G1569" s="2"/>
      <c r="H1569" s="2"/>
      <c r="I1569" s="2"/>
    </row>
    <row r="1570">
      <c r="A1570" s="2" t="s">
        <v>1571</v>
      </c>
      <c r="B1570" s="2" t="s">
        <v>1565</v>
      </c>
      <c r="C1570" s="2"/>
      <c r="D1570" s="2" t="s">
        <v>11</v>
      </c>
      <c r="E1570" s="2">
        <v>7.0</v>
      </c>
      <c r="F1570" s="2" t="s">
        <v>12</v>
      </c>
      <c r="G1570" s="2"/>
      <c r="H1570" s="2"/>
      <c r="I1570" s="2"/>
    </row>
    <row r="1571">
      <c r="A1571" s="1" t="s">
        <v>1572</v>
      </c>
      <c r="B1571" s="2" t="s">
        <v>1573</v>
      </c>
      <c r="C1571" s="2"/>
      <c r="D1571" s="2" t="s">
        <v>11</v>
      </c>
      <c r="E1571" s="2">
        <v>10.0</v>
      </c>
      <c r="F1571" s="2" t="s">
        <v>12</v>
      </c>
      <c r="G1571" s="2"/>
      <c r="H1571" s="2"/>
      <c r="I1571" s="2"/>
    </row>
    <row r="1572">
      <c r="A1572" s="1" t="s">
        <v>1574</v>
      </c>
      <c r="B1572" s="2" t="s">
        <v>1573</v>
      </c>
      <c r="C1572" s="2"/>
      <c r="D1572" s="2" t="s">
        <v>11</v>
      </c>
      <c r="E1572" s="2">
        <v>10.0</v>
      </c>
      <c r="F1572" s="2" t="s">
        <v>12</v>
      </c>
      <c r="G1572" s="2"/>
      <c r="H1572" s="2"/>
      <c r="I1572" s="2"/>
    </row>
    <row r="1573">
      <c r="A1573" s="1" t="s">
        <v>1575</v>
      </c>
      <c r="B1573" s="2" t="s">
        <v>1573</v>
      </c>
      <c r="C1573" s="2"/>
      <c r="D1573" s="2" t="s">
        <v>11</v>
      </c>
      <c r="E1573" s="2">
        <v>10.0</v>
      </c>
      <c r="F1573" s="2" t="s">
        <v>12</v>
      </c>
      <c r="G1573" s="2"/>
      <c r="H1573" s="2"/>
      <c r="I1573" s="2"/>
    </row>
    <row r="1574">
      <c r="A1574" s="1" t="s">
        <v>1576</v>
      </c>
      <c r="B1574" s="2" t="s">
        <v>1573</v>
      </c>
      <c r="C1574" s="2"/>
      <c r="D1574" s="2" t="s">
        <v>11</v>
      </c>
      <c r="E1574" s="2">
        <v>10.0</v>
      </c>
      <c r="F1574" s="2" t="s">
        <v>12</v>
      </c>
      <c r="G1574" s="2"/>
      <c r="H1574" s="2"/>
      <c r="I1574" s="2"/>
    </row>
    <row r="1575">
      <c r="A1575" s="1" t="s">
        <v>1577</v>
      </c>
      <c r="B1575" s="2" t="s">
        <v>1573</v>
      </c>
      <c r="C1575" s="2"/>
      <c r="D1575" s="2" t="s">
        <v>11</v>
      </c>
      <c r="E1575" s="2">
        <v>10.0</v>
      </c>
      <c r="F1575" s="2" t="s">
        <v>12</v>
      </c>
      <c r="G1575" s="2"/>
      <c r="H1575" s="2"/>
      <c r="I1575" s="2"/>
    </row>
    <row r="1576">
      <c r="A1576" s="1" t="s">
        <v>1578</v>
      </c>
      <c r="B1576" s="2" t="s">
        <v>1573</v>
      </c>
      <c r="C1576" s="2"/>
      <c r="D1576" s="2" t="s">
        <v>11</v>
      </c>
      <c r="E1576" s="2">
        <v>10.0</v>
      </c>
      <c r="F1576" s="2" t="s">
        <v>12</v>
      </c>
      <c r="G1576" s="2"/>
      <c r="H1576" s="2"/>
      <c r="I1576" s="2"/>
    </row>
    <row r="1577">
      <c r="A1577" s="2" t="s">
        <v>1579</v>
      </c>
      <c r="B1577" s="2" t="s">
        <v>1580</v>
      </c>
      <c r="C1577" s="1"/>
      <c r="D1577" s="2"/>
      <c r="E1577" s="2"/>
      <c r="F1577" s="2"/>
      <c r="G1577" s="2"/>
      <c r="H1577" s="2"/>
      <c r="I1577" s="2"/>
    </row>
    <row r="1578">
      <c r="A1578" s="2" t="s">
        <v>1581</v>
      </c>
      <c r="B1578" s="2" t="s">
        <v>1580</v>
      </c>
      <c r="C1578" s="1"/>
      <c r="D1578" s="2"/>
      <c r="E1578" s="2"/>
      <c r="F1578" s="2"/>
      <c r="G1578" s="2"/>
      <c r="H1578" s="2"/>
      <c r="I1578" s="2"/>
    </row>
    <row r="1579">
      <c r="A1579" s="2" t="s">
        <v>1582</v>
      </c>
      <c r="B1579" s="2" t="s">
        <v>1580</v>
      </c>
      <c r="C1579" s="1"/>
      <c r="D1579" s="2"/>
      <c r="E1579" s="2"/>
      <c r="F1579" s="2"/>
      <c r="G1579" s="2"/>
      <c r="H1579" s="2"/>
      <c r="I1579" s="2"/>
    </row>
    <row r="1580">
      <c r="A1580" s="2" t="s">
        <v>1583</v>
      </c>
      <c r="B1580" s="2" t="s">
        <v>1580</v>
      </c>
      <c r="C1580" s="2"/>
      <c r="D1580" s="2" t="s">
        <v>11</v>
      </c>
      <c r="E1580" s="2">
        <v>10.0</v>
      </c>
      <c r="F1580" s="2" t="s">
        <v>12</v>
      </c>
      <c r="G1580" s="2"/>
      <c r="H1580" s="2"/>
      <c r="I1580" s="2"/>
    </row>
    <row r="1581">
      <c r="A1581" s="2" t="s">
        <v>1584</v>
      </c>
      <c r="B1581" s="2" t="s">
        <v>1580</v>
      </c>
      <c r="C1581" s="1"/>
      <c r="D1581" s="2"/>
      <c r="E1581" s="2"/>
      <c r="F1581" s="2"/>
      <c r="G1581" s="2"/>
      <c r="H1581" s="2"/>
      <c r="I1581" s="2"/>
    </row>
    <row r="1582">
      <c r="A1582" s="1" t="s">
        <v>1585</v>
      </c>
      <c r="B1582" s="2" t="s">
        <v>1580</v>
      </c>
      <c r="C1582" s="2"/>
      <c r="D1582" s="2" t="s">
        <v>11</v>
      </c>
      <c r="E1582" s="2">
        <v>10.0</v>
      </c>
      <c r="F1582" s="2" t="s">
        <v>12</v>
      </c>
      <c r="G1582" s="2"/>
      <c r="H1582" s="2"/>
      <c r="I1582" s="2"/>
    </row>
    <row r="1583">
      <c r="A1583" s="1" t="s">
        <v>1586</v>
      </c>
      <c r="B1583" s="2" t="s">
        <v>1580</v>
      </c>
      <c r="C1583" s="2"/>
      <c r="D1583" s="2" t="s">
        <v>11</v>
      </c>
      <c r="E1583" s="2">
        <v>10.0</v>
      </c>
      <c r="F1583" s="2" t="s">
        <v>12</v>
      </c>
      <c r="G1583" s="2"/>
      <c r="H1583" s="2"/>
      <c r="I1583" s="2"/>
    </row>
    <row r="1584">
      <c r="A1584" s="2" t="s">
        <v>1587</v>
      </c>
      <c r="B1584" s="2" t="s">
        <v>1580</v>
      </c>
      <c r="C1584" s="2"/>
      <c r="D1584" s="2" t="s">
        <v>11</v>
      </c>
      <c r="E1584" s="2">
        <v>10.0</v>
      </c>
      <c r="F1584" s="2" t="s">
        <v>12</v>
      </c>
      <c r="G1584" s="2"/>
      <c r="H1584" s="2"/>
      <c r="I1584" s="2"/>
    </row>
    <row r="1585">
      <c r="A1585" s="2" t="s">
        <v>1588</v>
      </c>
      <c r="B1585" s="2" t="s">
        <v>1580</v>
      </c>
      <c r="C1585" s="1"/>
      <c r="D1585" s="2"/>
      <c r="E1585" s="2"/>
      <c r="F1585" s="2"/>
      <c r="G1585" s="2"/>
      <c r="H1585" s="2"/>
      <c r="I1585" s="2"/>
    </row>
    <row r="1586">
      <c r="A1586" s="1" t="s">
        <v>1589</v>
      </c>
      <c r="B1586" s="2" t="s">
        <v>1580</v>
      </c>
      <c r="C1586" s="2"/>
      <c r="D1586" s="2" t="s">
        <v>11</v>
      </c>
      <c r="E1586" s="2">
        <v>10.0</v>
      </c>
      <c r="F1586" s="2" t="s">
        <v>12</v>
      </c>
      <c r="G1586" s="2"/>
      <c r="H1586" s="2"/>
      <c r="I1586" s="2"/>
    </row>
    <row r="1587">
      <c r="A1587" s="1" t="s">
        <v>1590</v>
      </c>
      <c r="B1587" s="2" t="s">
        <v>1580</v>
      </c>
      <c r="C1587" s="2"/>
      <c r="D1587" s="2" t="s">
        <v>11</v>
      </c>
      <c r="E1587" s="2">
        <v>10.0</v>
      </c>
      <c r="F1587" s="2" t="s">
        <v>12</v>
      </c>
      <c r="G1587" s="2"/>
      <c r="H1587" s="2"/>
      <c r="I1587" s="2"/>
    </row>
    <row r="1588">
      <c r="A1588" s="1" t="s">
        <v>1591</v>
      </c>
      <c r="B1588" s="2" t="s">
        <v>1592</v>
      </c>
      <c r="C1588" s="2"/>
      <c r="D1588" s="2" t="s">
        <v>11</v>
      </c>
      <c r="E1588" s="2">
        <v>10.0</v>
      </c>
      <c r="F1588" s="2" t="s">
        <v>12</v>
      </c>
      <c r="G1588" s="2"/>
      <c r="H1588" s="2"/>
      <c r="I1588" s="2"/>
    </row>
    <row r="1589">
      <c r="A1589" s="1" t="s">
        <v>1593</v>
      </c>
      <c r="B1589" s="2" t="s">
        <v>1592</v>
      </c>
      <c r="C1589" s="2"/>
      <c r="D1589" s="2" t="s">
        <v>11</v>
      </c>
      <c r="E1589" s="2">
        <v>10.0</v>
      </c>
      <c r="F1589" s="2" t="s">
        <v>12</v>
      </c>
      <c r="G1589" s="2"/>
      <c r="H1589" s="2"/>
      <c r="I1589" s="2"/>
    </row>
    <row r="1590">
      <c r="A1590" s="1" t="s">
        <v>1594</v>
      </c>
      <c r="B1590" s="2" t="s">
        <v>1592</v>
      </c>
      <c r="C1590" s="2"/>
      <c r="D1590" s="2" t="s">
        <v>11</v>
      </c>
      <c r="E1590" s="2">
        <v>10.0</v>
      </c>
      <c r="F1590" s="2" t="s">
        <v>12</v>
      </c>
      <c r="G1590" s="2"/>
      <c r="H1590" s="2"/>
      <c r="I1590" s="2"/>
    </row>
    <row r="1591">
      <c r="A1591" s="1" t="s">
        <v>1595</v>
      </c>
      <c r="B1591" s="2" t="s">
        <v>1592</v>
      </c>
      <c r="C1591" s="2"/>
      <c r="D1591" s="2" t="s">
        <v>11</v>
      </c>
      <c r="E1591" s="2">
        <v>10.0</v>
      </c>
      <c r="F1591" s="2" t="s">
        <v>12</v>
      </c>
      <c r="G1591" s="2"/>
      <c r="H1591" s="2"/>
      <c r="I1591" s="2"/>
    </row>
    <row r="1592">
      <c r="A1592" s="2" t="s">
        <v>1596</v>
      </c>
      <c r="B1592" s="2" t="s">
        <v>1592</v>
      </c>
      <c r="C1592" s="2"/>
      <c r="D1592" s="2" t="s">
        <v>37</v>
      </c>
      <c r="E1592" s="2">
        <v>10.0</v>
      </c>
      <c r="F1592" s="2" t="s">
        <v>12</v>
      </c>
      <c r="G1592" s="2"/>
      <c r="H1592" s="2"/>
      <c r="I1592" s="2"/>
    </row>
    <row r="1593">
      <c r="A1593" s="1" t="s">
        <v>1597</v>
      </c>
      <c r="B1593" s="2" t="s">
        <v>1592</v>
      </c>
      <c r="C1593" s="2"/>
      <c r="D1593" s="2" t="s">
        <v>11</v>
      </c>
      <c r="E1593" s="2">
        <v>10.0</v>
      </c>
      <c r="F1593" s="2" t="s">
        <v>12</v>
      </c>
      <c r="G1593" s="2"/>
      <c r="H1593" s="2"/>
      <c r="I1593" s="2"/>
    </row>
    <row r="1594">
      <c r="A1594" s="2" t="s">
        <v>1598</v>
      </c>
      <c r="B1594" s="2" t="s">
        <v>1592</v>
      </c>
      <c r="C1594" s="2"/>
      <c r="D1594" s="2" t="s">
        <v>11</v>
      </c>
      <c r="E1594" s="2">
        <v>10.0</v>
      </c>
      <c r="F1594" s="2" t="s">
        <v>12</v>
      </c>
      <c r="G1594" s="2"/>
      <c r="H1594" s="2"/>
      <c r="I1594" s="2"/>
    </row>
    <row r="1595">
      <c r="A1595" s="1" t="s">
        <v>1599</v>
      </c>
      <c r="B1595" s="2" t="s">
        <v>1592</v>
      </c>
      <c r="C1595" s="2"/>
      <c r="D1595" s="2" t="s">
        <v>37</v>
      </c>
      <c r="E1595" s="2">
        <v>10.0</v>
      </c>
      <c r="F1595" s="2" t="s">
        <v>12</v>
      </c>
      <c r="G1595" s="2"/>
      <c r="H1595" s="2"/>
      <c r="I1595" s="2"/>
    </row>
    <row r="1596">
      <c r="A1596" s="1" t="s">
        <v>1600</v>
      </c>
      <c r="B1596" s="2" t="s">
        <v>1592</v>
      </c>
      <c r="C1596" s="2"/>
      <c r="D1596" s="2" t="s">
        <v>37</v>
      </c>
      <c r="E1596" s="2">
        <v>10.0</v>
      </c>
      <c r="F1596" s="2" t="s">
        <v>12</v>
      </c>
      <c r="G1596" s="2"/>
      <c r="H1596" s="2"/>
      <c r="I1596" s="2"/>
    </row>
    <row r="1597">
      <c r="A1597" s="1" t="s">
        <v>1601</v>
      </c>
      <c r="B1597" s="2" t="s">
        <v>1592</v>
      </c>
      <c r="C1597" s="2"/>
      <c r="D1597" s="2" t="s">
        <v>11</v>
      </c>
      <c r="E1597" s="2">
        <v>25.0</v>
      </c>
      <c r="F1597" s="2" t="s">
        <v>12</v>
      </c>
      <c r="G1597" s="2"/>
      <c r="H1597" s="2"/>
      <c r="I1597" s="2"/>
    </row>
    <row r="1598">
      <c r="A1598" s="1" t="s">
        <v>1602</v>
      </c>
      <c r="B1598" s="2" t="s">
        <v>1592</v>
      </c>
      <c r="C1598" s="2"/>
      <c r="D1598" s="2" t="s">
        <v>11</v>
      </c>
      <c r="E1598" s="2">
        <v>25.0</v>
      </c>
      <c r="F1598" s="2" t="s">
        <v>12</v>
      </c>
      <c r="G1598" s="2"/>
      <c r="H1598" s="2"/>
      <c r="I1598" s="2"/>
    </row>
    <row r="1599">
      <c r="A1599" s="2" t="s">
        <v>1603</v>
      </c>
      <c r="B1599" s="2" t="s">
        <v>1592</v>
      </c>
      <c r="C1599" s="2"/>
      <c r="D1599" s="2" t="s">
        <v>11</v>
      </c>
      <c r="E1599" s="2">
        <v>10.0</v>
      </c>
      <c r="F1599" s="2" t="s">
        <v>12</v>
      </c>
      <c r="G1599" s="2"/>
      <c r="H1599" s="2"/>
      <c r="I1599" s="2"/>
    </row>
    <row r="1600">
      <c r="A1600" s="1" t="s">
        <v>1604</v>
      </c>
      <c r="B1600" s="2" t="s">
        <v>1592</v>
      </c>
      <c r="C1600" s="2"/>
      <c r="D1600" s="2" t="s">
        <v>11</v>
      </c>
      <c r="E1600" s="2">
        <v>15.0</v>
      </c>
      <c r="F1600" s="2" t="s">
        <v>12</v>
      </c>
      <c r="G1600" s="2"/>
      <c r="H1600" s="2"/>
      <c r="I1600" s="2"/>
    </row>
    <row r="1601">
      <c r="A1601" s="1" t="s">
        <v>1605</v>
      </c>
      <c r="B1601" s="2" t="s">
        <v>1592</v>
      </c>
      <c r="C1601" s="2"/>
      <c r="D1601" s="2" t="s">
        <v>11</v>
      </c>
      <c r="E1601" s="2">
        <v>10.0</v>
      </c>
      <c r="F1601" s="2" t="s">
        <v>12</v>
      </c>
      <c r="G1601" s="2"/>
      <c r="H1601" s="2"/>
      <c r="I1601" s="2"/>
    </row>
    <row r="1602">
      <c r="A1602" s="1" t="s">
        <v>1606</v>
      </c>
      <c r="B1602" s="2" t="s">
        <v>1592</v>
      </c>
      <c r="C1602" s="2"/>
      <c r="D1602" s="2" t="s">
        <v>11</v>
      </c>
      <c r="E1602" s="2">
        <v>10.0</v>
      </c>
      <c r="F1602" s="2" t="s">
        <v>12</v>
      </c>
      <c r="G1602" s="2"/>
      <c r="H1602" s="2"/>
      <c r="I1602" s="2"/>
    </row>
    <row r="1603">
      <c r="A1603" s="1" t="s">
        <v>1607</v>
      </c>
      <c r="B1603" s="2" t="s">
        <v>1592</v>
      </c>
      <c r="C1603" s="2"/>
      <c r="D1603" s="2" t="s">
        <v>11</v>
      </c>
      <c r="E1603" s="2">
        <v>15.0</v>
      </c>
      <c r="F1603" s="2" t="s">
        <v>12</v>
      </c>
      <c r="G1603" s="2"/>
      <c r="H1603" s="2"/>
      <c r="I1603" s="2"/>
    </row>
    <row r="1604">
      <c r="A1604" s="2" t="s">
        <v>1608</v>
      </c>
      <c r="B1604" s="2" t="s">
        <v>1592</v>
      </c>
      <c r="C1604" s="2"/>
      <c r="D1604" s="2" t="s">
        <v>11</v>
      </c>
      <c r="E1604" s="2">
        <v>10.0</v>
      </c>
      <c r="F1604" s="2" t="s">
        <v>12</v>
      </c>
      <c r="G1604" s="2"/>
      <c r="H1604" s="2"/>
      <c r="I1604" s="2"/>
    </row>
    <row r="1605">
      <c r="A1605" s="2" t="s">
        <v>1609</v>
      </c>
      <c r="B1605" s="2" t="s">
        <v>1592</v>
      </c>
      <c r="C1605" s="2"/>
      <c r="D1605" s="2" t="s">
        <v>11</v>
      </c>
      <c r="E1605" s="2">
        <v>10.0</v>
      </c>
      <c r="F1605" s="2" t="s">
        <v>12</v>
      </c>
      <c r="G1605" s="2"/>
      <c r="H1605" s="2"/>
      <c r="I1605" s="2"/>
    </row>
    <row r="1606">
      <c r="A1606" s="2" t="s">
        <v>1610</v>
      </c>
      <c r="B1606" s="2" t="s">
        <v>1592</v>
      </c>
      <c r="C1606" s="1"/>
      <c r="D1606" s="2"/>
      <c r="E1606" s="2"/>
      <c r="F1606" s="2"/>
      <c r="G1606" s="2"/>
      <c r="H1606" s="2"/>
      <c r="I1606" s="2"/>
    </row>
    <row r="1607">
      <c r="A1607" s="2" t="s">
        <v>1611</v>
      </c>
      <c r="B1607" s="2" t="s">
        <v>1592</v>
      </c>
      <c r="C1607" s="1"/>
      <c r="D1607" s="2"/>
      <c r="E1607" s="2"/>
      <c r="F1607" s="2"/>
      <c r="G1607" s="2"/>
      <c r="H1607" s="2"/>
      <c r="I1607" s="2"/>
    </row>
    <row r="1608">
      <c r="A1608" s="2" t="s">
        <v>1612</v>
      </c>
      <c r="B1608" s="2" t="s">
        <v>1592</v>
      </c>
      <c r="C1608" s="2"/>
      <c r="D1608" s="2" t="s">
        <v>11</v>
      </c>
      <c r="E1608" s="2">
        <v>10.0</v>
      </c>
      <c r="F1608" s="2" t="s">
        <v>12</v>
      </c>
      <c r="G1608" s="2"/>
      <c r="H1608" s="2"/>
      <c r="I1608" s="2"/>
    </row>
    <row r="1609">
      <c r="A1609" s="2" t="s">
        <v>1613</v>
      </c>
      <c r="B1609" s="2" t="s">
        <v>1592</v>
      </c>
      <c r="C1609" s="2"/>
      <c r="D1609" s="2" t="s">
        <v>37</v>
      </c>
      <c r="E1609" s="2">
        <v>10.0</v>
      </c>
      <c r="F1609" s="2" t="s">
        <v>12</v>
      </c>
      <c r="G1609" s="2"/>
      <c r="H1609" s="2"/>
      <c r="I1609" s="2"/>
    </row>
    <row r="1610">
      <c r="A1610" s="2" t="s">
        <v>1614</v>
      </c>
      <c r="B1610" s="2" t="s">
        <v>1592</v>
      </c>
      <c r="C1610" s="2"/>
      <c r="D1610" s="2" t="s">
        <v>11</v>
      </c>
      <c r="E1610" s="2">
        <v>10.0</v>
      </c>
      <c r="F1610" s="2" t="s">
        <v>12</v>
      </c>
      <c r="G1610" s="2"/>
      <c r="H1610" s="2"/>
      <c r="I1610" s="2"/>
    </row>
    <row r="1611">
      <c r="A1611" s="2" t="s">
        <v>1615</v>
      </c>
      <c r="B1611" s="2" t="s">
        <v>1592</v>
      </c>
      <c r="C1611" s="2"/>
      <c r="D1611" s="2" t="s">
        <v>37</v>
      </c>
      <c r="E1611" s="2">
        <v>10.0</v>
      </c>
      <c r="F1611" s="2" t="s">
        <v>12</v>
      </c>
      <c r="G1611" s="2"/>
      <c r="H1611" s="2"/>
      <c r="I1611" s="2"/>
    </row>
    <row r="1612">
      <c r="A1612" s="2" t="s">
        <v>1616</v>
      </c>
      <c r="B1612" s="2" t="s">
        <v>1592</v>
      </c>
      <c r="C1612" s="2"/>
      <c r="D1612" s="2" t="s">
        <v>11</v>
      </c>
      <c r="E1612" s="2">
        <v>15.0</v>
      </c>
      <c r="F1612" s="2" t="s">
        <v>12</v>
      </c>
      <c r="G1612" s="2"/>
      <c r="H1612" s="2"/>
      <c r="I1612" s="2"/>
    </row>
    <row r="1613">
      <c r="A1613" s="1" t="s">
        <v>1617</v>
      </c>
      <c r="B1613" s="2" t="s">
        <v>1592</v>
      </c>
      <c r="C1613" s="2"/>
      <c r="D1613" s="2" t="s">
        <v>11</v>
      </c>
      <c r="E1613" s="2">
        <v>10.0</v>
      </c>
      <c r="F1613" s="2" t="s">
        <v>12</v>
      </c>
      <c r="G1613" s="2"/>
      <c r="H1613" s="2"/>
      <c r="I1613" s="2"/>
    </row>
    <row r="1614">
      <c r="A1614" s="1" t="s">
        <v>1617</v>
      </c>
      <c r="B1614" s="2" t="s">
        <v>1592</v>
      </c>
      <c r="C1614" s="2"/>
      <c r="D1614" s="2" t="s">
        <v>11</v>
      </c>
      <c r="E1614" s="2">
        <v>15.0</v>
      </c>
      <c r="F1614" s="2" t="s">
        <v>12</v>
      </c>
      <c r="G1614" s="2"/>
      <c r="H1614" s="2"/>
      <c r="I1614" s="2"/>
    </row>
    <row r="1615">
      <c r="A1615" s="2" t="s">
        <v>1618</v>
      </c>
      <c r="B1615" s="2" t="s">
        <v>1592</v>
      </c>
      <c r="C1615" s="2"/>
      <c r="D1615" s="2" t="s">
        <v>11</v>
      </c>
      <c r="E1615" s="2">
        <v>10.0</v>
      </c>
      <c r="F1615" s="2" t="s">
        <v>12</v>
      </c>
      <c r="G1615" s="2"/>
      <c r="H1615" s="2"/>
      <c r="I1615" s="2"/>
    </row>
    <row r="1616">
      <c r="A1616" s="2" t="s">
        <v>1618</v>
      </c>
      <c r="B1616" s="2" t="s">
        <v>1592</v>
      </c>
      <c r="C1616" s="2"/>
      <c r="D1616" s="2" t="s">
        <v>11</v>
      </c>
      <c r="E1616" s="2">
        <v>15.0</v>
      </c>
      <c r="F1616" s="2" t="s">
        <v>12</v>
      </c>
      <c r="G1616" s="2"/>
      <c r="H1616" s="2"/>
      <c r="I1616" s="2"/>
    </row>
    <row r="1617">
      <c r="A1617" s="1" t="s">
        <v>1619</v>
      </c>
      <c r="B1617" s="2" t="s">
        <v>1592</v>
      </c>
      <c r="C1617" s="2"/>
      <c r="D1617" s="2" t="s">
        <v>11</v>
      </c>
      <c r="E1617" s="2">
        <v>10.0</v>
      </c>
      <c r="F1617" s="2" t="s">
        <v>12</v>
      </c>
      <c r="G1617" s="2"/>
      <c r="H1617" s="2"/>
      <c r="I1617" s="2"/>
    </row>
    <row r="1618">
      <c r="A1618" s="2" t="s">
        <v>1620</v>
      </c>
      <c r="B1618" s="2" t="s">
        <v>1592</v>
      </c>
      <c r="C1618" s="2"/>
      <c r="D1618" s="2" t="s">
        <v>11</v>
      </c>
      <c r="E1618" s="2">
        <v>10.0</v>
      </c>
      <c r="F1618" s="2" t="s">
        <v>12</v>
      </c>
      <c r="G1618" s="2"/>
      <c r="H1618" s="2"/>
      <c r="I1618" s="2"/>
    </row>
    <row r="1619">
      <c r="A1619" s="1" t="s">
        <v>1621</v>
      </c>
      <c r="B1619" s="2" t="s">
        <v>1592</v>
      </c>
      <c r="C1619" s="2"/>
      <c r="D1619" s="2" t="s">
        <v>11</v>
      </c>
      <c r="E1619" s="2">
        <v>10.0</v>
      </c>
      <c r="F1619" s="2" t="s">
        <v>12</v>
      </c>
      <c r="G1619" s="2"/>
      <c r="H1619" s="2"/>
      <c r="I1619" s="2"/>
    </row>
    <row r="1620">
      <c r="A1620" s="1" t="s">
        <v>1621</v>
      </c>
      <c r="B1620" s="2" t="s">
        <v>1592</v>
      </c>
      <c r="C1620" s="2"/>
      <c r="D1620" s="2" t="s">
        <v>11</v>
      </c>
      <c r="E1620" s="2">
        <v>15.0</v>
      </c>
      <c r="F1620" s="2" t="s">
        <v>12</v>
      </c>
      <c r="G1620" s="2"/>
      <c r="H1620" s="2"/>
      <c r="I1620" s="2"/>
    </row>
    <row r="1621">
      <c r="A1621" s="2" t="s">
        <v>1622</v>
      </c>
      <c r="B1621" s="2" t="s">
        <v>1592</v>
      </c>
      <c r="C1621" s="2"/>
      <c r="D1621" s="2" t="s">
        <v>11</v>
      </c>
      <c r="E1621" s="2">
        <v>10.0</v>
      </c>
      <c r="F1621" s="2" t="s">
        <v>12</v>
      </c>
      <c r="G1621" s="2"/>
      <c r="H1621" s="2"/>
      <c r="I1621" s="2"/>
    </row>
    <row r="1622">
      <c r="A1622" s="2" t="s">
        <v>1622</v>
      </c>
      <c r="B1622" s="2" t="s">
        <v>1592</v>
      </c>
      <c r="C1622" s="2"/>
      <c r="D1622" s="2" t="s">
        <v>11</v>
      </c>
      <c r="E1622" s="2">
        <v>15.0</v>
      </c>
      <c r="F1622" s="2" t="s">
        <v>12</v>
      </c>
      <c r="G1622" s="2"/>
      <c r="H1622" s="2"/>
      <c r="I1622" s="2"/>
    </row>
    <row r="1623">
      <c r="A1623" s="1" t="s">
        <v>1623</v>
      </c>
      <c r="B1623" s="2" t="s">
        <v>1592</v>
      </c>
      <c r="C1623" s="2"/>
      <c r="D1623" s="2" t="s">
        <v>11</v>
      </c>
      <c r="E1623" s="2">
        <v>10.0</v>
      </c>
      <c r="F1623" s="2" t="s">
        <v>12</v>
      </c>
      <c r="G1623" s="2"/>
      <c r="H1623" s="2"/>
      <c r="I1623" s="2"/>
    </row>
    <row r="1624">
      <c r="A1624" s="1" t="s">
        <v>1624</v>
      </c>
      <c r="B1624" s="2" t="s">
        <v>1592</v>
      </c>
      <c r="C1624" s="2"/>
      <c r="D1624" s="2" t="s">
        <v>11</v>
      </c>
      <c r="E1624" s="2">
        <v>10.0</v>
      </c>
      <c r="F1624" s="2" t="s">
        <v>12</v>
      </c>
      <c r="G1624" s="2"/>
      <c r="H1624" s="2"/>
      <c r="I1624" s="2"/>
    </row>
    <row r="1625">
      <c r="A1625" s="2" t="s">
        <v>1625</v>
      </c>
      <c r="B1625" s="2" t="s">
        <v>1592</v>
      </c>
      <c r="C1625" s="2"/>
      <c r="D1625" s="2" t="s">
        <v>11</v>
      </c>
      <c r="E1625" s="2">
        <v>10.0</v>
      </c>
      <c r="F1625" s="2" t="s">
        <v>12</v>
      </c>
      <c r="G1625" s="2"/>
      <c r="H1625" s="2"/>
      <c r="I1625" s="2"/>
    </row>
    <row r="1626">
      <c r="A1626" s="2" t="s">
        <v>1626</v>
      </c>
      <c r="B1626" s="2" t="s">
        <v>1592</v>
      </c>
      <c r="C1626" s="2"/>
      <c r="D1626" s="2" t="s">
        <v>11</v>
      </c>
      <c r="E1626" s="2">
        <v>10.0</v>
      </c>
      <c r="F1626" s="2" t="s">
        <v>12</v>
      </c>
      <c r="G1626" s="2"/>
      <c r="H1626" s="2"/>
      <c r="I1626" s="2"/>
    </row>
    <row r="1627">
      <c r="A1627" s="2" t="s">
        <v>1627</v>
      </c>
      <c r="B1627" s="2" t="s">
        <v>1592</v>
      </c>
      <c r="C1627" s="2"/>
      <c r="D1627" s="2" t="s">
        <v>11</v>
      </c>
      <c r="E1627" s="2">
        <v>10.0</v>
      </c>
      <c r="F1627" s="2" t="s">
        <v>12</v>
      </c>
      <c r="G1627" s="2"/>
      <c r="H1627" s="2"/>
      <c r="I1627" s="2"/>
    </row>
    <row r="1628">
      <c r="A1628" s="1" t="s">
        <v>1628</v>
      </c>
      <c r="B1628" s="2" t="s">
        <v>1592</v>
      </c>
      <c r="C1628" s="2"/>
      <c r="D1628" s="2" t="s">
        <v>11</v>
      </c>
      <c r="E1628" s="2">
        <v>10.0</v>
      </c>
      <c r="F1628" s="2" t="s">
        <v>12</v>
      </c>
      <c r="G1628" s="2"/>
      <c r="H1628" s="2"/>
      <c r="I1628" s="2"/>
    </row>
    <row r="1629">
      <c r="A1629" s="1" t="s">
        <v>1629</v>
      </c>
      <c r="B1629" s="2" t="s">
        <v>1592</v>
      </c>
      <c r="C1629" s="2"/>
      <c r="D1629" s="2" t="s">
        <v>11</v>
      </c>
      <c r="E1629" s="2">
        <v>10.0</v>
      </c>
      <c r="F1629" s="2" t="s">
        <v>12</v>
      </c>
      <c r="G1629" s="2"/>
      <c r="H1629" s="2"/>
      <c r="I1629" s="2"/>
    </row>
    <row r="1630">
      <c r="A1630" s="2" t="s">
        <v>1630</v>
      </c>
      <c r="B1630" s="2" t="s">
        <v>1592</v>
      </c>
      <c r="C1630" s="2"/>
      <c r="D1630" s="2" t="s">
        <v>11</v>
      </c>
      <c r="E1630" s="2">
        <v>10.0</v>
      </c>
      <c r="F1630" s="2" t="s">
        <v>12</v>
      </c>
      <c r="G1630" s="2"/>
      <c r="H1630" s="2"/>
      <c r="I1630" s="2"/>
    </row>
    <row r="1631">
      <c r="A1631" s="1" t="s">
        <v>1631</v>
      </c>
      <c r="B1631" s="2" t="s">
        <v>1592</v>
      </c>
      <c r="C1631" s="2"/>
      <c r="D1631" s="2" t="s">
        <v>11</v>
      </c>
      <c r="E1631" s="2">
        <v>10.0</v>
      </c>
      <c r="F1631" s="2" t="s">
        <v>12</v>
      </c>
      <c r="G1631" s="2"/>
      <c r="H1631" s="2"/>
      <c r="I1631" s="2"/>
    </row>
    <row r="1632">
      <c r="A1632" s="2" t="s">
        <v>1632</v>
      </c>
      <c r="B1632" s="2" t="s">
        <v>1592</v>
      </c>
      <c r="C1632" s="2"/>
      <c r="D1632" s="2" t="s">
        <v>11</v>
      </c>
      <c r="E1632" s="2">
        <v>10.0</v>
      </c>
      <c r="F1632" s="2" t="s">
        <v>12</v>
      </c>
      <c r="G1632" s="2"/>
      <c r="H1632" s="2"/>
      <c r="I1632" s="2"/>
    </row>
    <row r="1633">
      <c r="A1633" s="1" t="s">
        <v>1633</v>
      </c>
      <c r="B1633" s="2" t="s">
        <v>1592</v>
      </c>
      <c r="C1633" s="2"/>
      <c r="D1633" s="2" t="s">
        <v>11</v>
      </c>
      <c r="E1633" s="2">
        <v>10.0</v>
      </c>
      <c r="F1633" s="2" t="s">
        <v>12</v>
      </c>
      <c r="G1633" s="2"/>
      <c r="H1633" s="2"/>
      <c r="I1633" s="2"/>
    </row>
    <row r="1634">
      <c r="A1634" s="2" t="s">
        <v>1634</v>
      </c>
      <c r="B1634" s="2" t="s">
        <v>1592</v>
      </c>
      <c r="C1634" s="2"/>
      <c r="D1634" s="2" t="s">
        <v>11</v>
      </c>
      <c r="E1634" s="2">
        <v>10.0</v>
      </c>
      <c r="F1634" s="2" t="s">
        <v>12</v>
      </c>
      <c r="G1634" s="2"/>
      <c r="H1634" s="2"/>
      <c r="I1634" s="2"/>
    </row>
    <row r="1635">
      <c r="A1635" s="1" t="s">
        <v>1635</v>
      </c>
      <c r="B1635" s="2" t="s">
        <v>1592</v>
      </c>
      <c r="C1635" s="2"/>
      <c r="D1635" s="2" t="s">
        <v>11</v>
      </c>
      <c r="E1635" s="2">
        <v>15.0</v>
      </c>
      <c r="F1635" s="2" t="s">
        <v>12</v>
      </c>
      <c r="G1635" s="2"/>
      <c r="H1635" s="2"/>
      <c r="I1635" s="2"/>
    </row>
    <row r="1636">
      <c r="A1636" s="1" t="s">
        <v>1636</v>
      </c>
      <c r="B1636" s="2" t="s">
        <v>1592</v>
      </c>
      <c r="C1636" s="2"/>
      <c r="D1636" s="2" t="s">
        <v>11</v>
      </c>
      <c r="E1636" s="2">
        <v>15.0</v>
      </c>
      <c r="F1636" s="2" t="s">
        <v>12</v>
      </c>
      <c r="G1636" s="2"/>
      <c r="H1636" s="2"/>
      <c r="I1636" s="2"/>
    </row>
    <row r="1637">
      <c r="A1637" s="1" t="s">
        <v>1637</v>
      </c>
      <c r="B1637" s="2" t="s">
        <v>1592</v>
      </c>
      <c r="C1637" s="2"/>
      <c r="D1637" s="2" t="s">
        <v>11</v>
      </c>
      <c r="E1637" s="2">
        <v>10.0</v>
      </c>
      <c r="F1637" s="2" t="s">
        <v>12</v>
      </c>
      <c r="G1637" s="2"/>
      <c r="H1637" s="2"/>
      <c r="I1637" s="2"/>
    </row>
    <row r="1638">
      <c r="A1638" s="1" t="s">
        <v>1638</v>
      </c>
      <c r="B1638" s="2" t="s">
        <v>1592</v>
      </c>
      <c r="C1638" s="2"/>
      <c r="D1638" s="2" t="s">
        <v>11</v>
      </c>
      <c r="E1638" s="2">
        <v>10.0</v>
      </c>
      <c r="F1638" s="2" t="s">
        <v>12</v>
      </c>
      <c r="G1638" s="2"/>
      <c r="H1638" s="2"/>
      <c r="I1638" s="2"/>
    </row>
    <row r="1639">
      <c r="A1639" s="1" t="s">
        <v>1639</v>
      </c>
      <c r="B1639" s="2" t="s">
        <v>1592</v>
      </c>
      <c r="C1639" s="2"/>
      <c r="D1639" s="2" t="s">
        <v>11</v>
      </c>
      <c r="E1639" s="2">
        <v>10.0</v>
      </c>
      <c r="F1639" s="2" t="s">
        <v>12</v>
      </c>
      <c r="G1639" s="2"/>
      <c r="H1639" s="2"/>
      <c r="I1639" s="2"/>
    </row>
    <row r="1640">
      <c r="A1640" s="1" t="s">
        <v>1640</v>
      </c>
      <c r="B1640" s="2" t="s">
        <v>1592</v>
      </c>
      <c r="C1640" s="2"/>
      <c r="D1640" s="2" t="s">
        <v>11</v>
      </c>
      <c r="E1640" s="2">
        <v>10.0</v>
      </c>
      <c r="F1640" s="2" t="s">
        <v>12</v>
      </c>
      <c r="G1640" s="2"/>
      <c r="H1640" s="2"/>
      <c r="I1640" s="2"/>
    </row>
    <row r="1641">
      <c r="A1641" s="2" t="s">
        <v>1641</v>
      </c>
      <c r="B1641" s="2" t="s">
        <v>1592</v>
      </c>
      <c r="C1641" s="2"/>
      <c r="D1641" s="2" t="s">
        <v>11</v>
      </c>
      <c r="E1641" s="2">
        <v>15.0</v>
      </c>
      <c r="F1641" s="2" t="s">
        <v>12</v>
      </c>
      <c r="G1641" s="2"/>
      <c r="H1641" s="2"/>
      <c r="I1641" s="2"/>
    </row>
    <row r="1642">
      <c r="A1642" s="1" t="s">
        <v>1642</v>
      </c>
      <c r="B1642" s="2" t="s">
        <v>1592</v>
      </c>
      <c r="C1642" s="2"/>
      <c r="D1642" s="2" t="s">
        <v>11</v>
      </c>
      <c r="E1642" s="2">
        <v>10.0</v>
      </c>
      <c r="F1642" s="2" t="s">
        <v>12</v>
      </c>
      <c r="G1642" s="2"/>
      <c r="H1642" s="2"/>
      <c r="I1642" s="2"/>
    </row>
    <row r="1643">
      <c r="A1643" s="1" t="s">
        <v>1643</v>
      </c>
      <c r="B1643" s="2" t="s">
        <v>1592</v>
      </c>
      <c r="C1643" s="2"/>
      <c r="D1643" s="2" t="s">
        <v>11</v>
      </c>
      <c r="E1643" s="2">
        <v>10.0</v>
      </c>
      <c r="F1643" s="2" t="s">
        <v>12</v>
      </c>
      <c r="G1643" s="2"/>
      <c r="H1643" s="2"/>
      <c r="I1643" s="2"/>
    </row>
    <row r="1644">
      <c r="A1644" s="1" t="s">
        <v>1644</v>
      </c>
      <c r="B1644" s="2" t="s">
        <v>1592</v>
      </c>
      <c r="C1644" s="2"/>
      <c r="D1644" s="2" t="s">
        <v>11</v>
      </c>
      <c r="E1644" s="2">
        <v>10.0</v>
      </c>
      <c r="F1644" s="2" t="s">
        <v>12</v>
      </c>
      <c r="G1644" s="2"/>
      <c r="H1644" s="2"/>
      <c r="I1644" s="2"/>
    </row>
    <row r="1645">
      <c r="A1645" s="1" t="s">
        <v>1645</v>
      </c>
      <c r="B1645" s="2" t="s">
        <v>1592</v>
      </c>
      <c r="C1645" s="2"/>
      <c r="D1645" s="2" t="s">
        <v>11</v>
      </c>
      <c r="E1645" s="2">
        <v>10.0</v>
      </c>
      <c r="F1645" s="2" t="s">
        <v>12</v>
      </c>
      <c r="G1645" s="2"/>
      <c r="H1645" s="2"/>
      <c r="I1645" s="2"/>
    </row>
    <row r="1646">
      <c r="A1646" s="1" t="s">
        <v>1646</v>
      </c>
      <c r="B1646" s="2" t="s">
        <v>1592</v>
      </c>
      <c r="C1646" s="2"/>
      <c r="D1646" s="2" t="s">
        <v>11</v>
      </c>
      <c r="E1646" s="2">
        <v>10.0</v>
      </c>
      <c r="F1646" s="2" t="s">
        <v>12</v>
      </c>
      <c r="G1646" s="2"/>
      <c r="H1646" s="2"/>
      <c r="I1646" s="2"/>
    </row>
    <row r="1647">
      <c r="A1647" s="1" t="s">
        <v>1647</v>
      </c>
      <c r="B1647" s="2" t="s">
        <v>1592</v>
      </c>
      <c r="C1647" s="2"/>
      <c r="D1647" s="2" t="s">
        <v>11</v>
      </c>
      <c r="E1647" s="2">
        <v>10.0</v>
      </c>
      <c r="F1647" s="2" t="s">
        <v>12</v>
      </c>
      <c r="G1647" s="2"/>
      <c r="H1647" s="2"/>
      <c r="I1647" s="2"/>
    </row>
    <row r="1648">
      <c r="A1648" s="1" t="s">
        <v>1648</v>
      </c>
      <c r="B1648" s="2" t="s">
        <v>1592</v>
      </c>
      <c r="C1648" s="2"/>
      <c r="D1648" s="2" t="s">
        <v>11</v>
      </c>
      <c r="E1648" s="2">
        <v>10.0</v>
      </c>
      <c r="F1648" s="2" t="s">
        <v>12</v>
      </c>
      <c r="G1648" s="2"/>
      <c r="H1648" s="2"/>
      <c r="I1648" s="2"/>
    </row>
    <row r="1649">
      <c r="A1649" s="1" t="s">
        <v>1649</v>
      </c>
      <c r="B1649" s="2" t="s">
        <v>1592</v>
      </c>
      <c r="C1649" s="2"/>
      <c r="D1649" s="2" t="s">
        <v>11</v>
      </c>
      <c r="E1649" s="2">
        <v>10.0</v>
      </c>
      <c r="F1649" s="2" t="s">
        <v>12</v>
      </c>
      <c r="G1649" s="2"/>
      <c r="H1649" s="2"/>
      <c r="I1649" s="2"/>
    </row>
    <row r="1650">
      <c r="A1650" s="1" t="s">
        <v>1650</v>
      </c>
      <c r="B1650" s="2" t="s">
        <v>1592</v>
      </c>
      <c r="C1650" s="2"/>
      <c r="D1650" s="2" t="s">
        <v>11</v>
      </c>
      <c r="E1650" s="2">
        <v>10.0</v>
      </c>
      <c r="F1650" s="2" t="s">
        <v>12</v>
      </c>
      <c r="G1650" s="2"/>
      <c r="H1650" s="2"/>
      <c r="I1650" s="2"/>
    </row>
    <row r="1651">
      <c r="A1651" s="1" t="s">
        <v>1651</v>
      </c>
      <c r="B1651" s="2" t="s">
        <v>1592</v>
      </c>
      <c r="C1651" s="2"/>
      <c r="D1651" s="2" t="s">
        <v>11</v>
      </c>
      <c r="E1651" s="2">
        <v>10.0</v>
      </c>
      <c r="F1651" s="2" t="s">
        <v>12</v>
      </c>
      <c r="G1651" s="2"/>
      <c r="H1651" s="2"/>
      <c r="I1651" s="2"/>
    </row>
    <row r="1652">
      <c r="A1652" s="1" t="s">
        <v>1652</v>
      </c>
      <c r="B1652" s="2" t="s">
        <v>1592</v>
      </c>
      <c r="C1652" s="2"/>
      <c r="D1652" s="2" t="s">
        <v>11</v>
      </c>
      <c r="E1652" s="2">
        <v>10.0</v>
      </c>
      <c r="F1652" s="2" t="s">
        <v>12</v>
      </c>
      <c r="G1652" s="2"/>
      <c r="H1652" s="2"/>
      <c r="I1652" s="2"/>
    </row>
    <row r="1653">
      <c r="A1653" s="1" t="s">
        <v>1653</v>
      </c>
      <c r="B1653" s="2" t="s">
        <v>1592</v>
      </c>
      <c r="C1653" s="2"/>
      <c r="D1653" s="2" t="s">
        <v>11</v>
      </c>
      <c r="E1653" s="2">
        <v>10.0</v>
      </c>
      <c r="F1653" s="2" t="s">
        <v>12</v>
      </c>
      <c r="G1653" s="2"/>
      <c r="H1653" s="2"/>
      <c r="I1653" s="2"/>
    </row>
    <row r="1654">
      <c r="A1654" s="1" t="s">
        <v>1654</v>
      </c>
      <c r="B1654" s="2" t="s">
        <v>1592</v>
      </c>
      <c r="C1654" s="2"/>
      <c r="D1654" s="2" t="s">
        <v>11</v>
      </c>
      <c r="E1654" s="2">
        <v>15.0</v>
      </c>
      <c r="F1654" s="2" t="s">
        <v>12</v>
      </c>
      <c r="G1654" s="2"/>
      <c r="H1654" s="2"/>
      <c r="I1654" s="2"/>
    </row>
    <row r="1655">
      <c r="A1655" s="2" t="s">
        <v>1655</v>
      </c>
      <c r="B1655" s="2" t="s">
        <v>1592</v>
      </c>
      <c r="C1655" s="2"/>
      <c r="D1655" s="2" t="s">
        <v>11</v>
      </c>
      <c r="E1655" s="2">
        <v>15.0</v>
      </c>
      <c r="F1655" s="2" t="s">
        <v>12</v>
      </c>
      <c r="G1655" s="2"/>
      <c r="H1655" s="2"/>
      <c r="I1655" s="2"/>
    </row>
    <row r="1656">
      <c r="A1656" s="1" t="s">
        <v>1656</v>
      </c>
      <c r="B1656" s="2" t="s">
        <v>1592</v>
      </c>
      <c r="C1656" s="2"/>
      <c r="D1656" s="2" t="s">
        <v>11</v>
      </c>
      <c r="E1656" s="2">
        <v>10.0</v>
      </c>
      <c r="F1656" s="2" t="s">
        <v>12</v>
      </c>
      <c r="G1656" s="2"/>
      <c r="H1656" s="2"/>
      <c r="I1656" s="2"/>
    </row>
    <row r="1657">
      <c r="A1657" s="1" t="s">
        <v>1657</v>
      </c>
      <c r="B1657" s="2" t="s">
        <v>1592</v>
      </c>
      <c r="C1657" s="2"/>
      <c r="D1657" s="2" t="s">
        <v>11</v>
      </c>
      <c r="E1657" s="2">
        <v>10.0</v>
      </c>
      <c r="F1657" s="2" t="s">
        <v>12</v>
      </c>
      <c r="G1657" s="2"/>
      <c r="H1657" s="2"/>
      <c r="I1657" s="2"/>
    </row>
    <row r="1658">
      <c r="A1658" s="1" t="s">
        <v>1658</v>
      </c>
      <c r="B1658" s="2" t="s">
        <v>1659</v>
      </c>
      <c r="C1658" s="2"/>
      <c r="D1658" s="2" t="s">
        <v>11</v>
      </c>
      <c r="E1658" s="2">
        <v>10.0</v>
      </c>
      <c r="F1658" s="2" t="s">
        <v>12</v>
      </c>
      <c r="G1658" s="2"/>
      <c r="H1658" s="2"/>
      <c r="I1658" s="2"/>
    </row>
    <row r="1659">
      <c r="A1659" s="1" t="s">
        <v>1660</v>
      </c>
      <c r="B1659" s="2" t="s">
        <v>1659</v>
      </c>
      <c r="C1659" s="2"/>
      <c r="D1659" s="2" t="s">
        <v>11</v>
      </c>
      <c r="E1659" s="2">
        <v>10.0</v>
      </c>
      <c r="F1659" s="2" t="s">
        <v>12</v>
      </c>
      <c r="G1659" s="2"/>
      <c r="H1659" s="2"/>
      <c r="I1659" s="2"/>
    </row>
    <row r="1660">
      <c r="A1660" s="2" t="s">
        <v>1661</v>
      </c>
      <c r="B1660" s="2" t="s">
        <v>1659</v>
      </c>
      <c r="C1660" s="2"/>
      <c r="D1660" s="2" t="s">
        <v>37</v>
      </c>
      <c r="E1660" s="2">
        <v>10.0</v>
      </c>
      <c r="F1660" s="2" t="s">
        <v>12</v>
      </c>
      <c r="G1660" s="2"/>
      <c r="H1660" s="2"/>
      <c r="I1660" s="2"/>
    </row>
    <row r="1661">
      <c r="A1661" s="2" t="s">
        <v>1662</v>
      </c>
      <c r="B1661" s="2" t="s">
        <v>1659</v>
      </c>
      <c r="C1661" s="2"/>
      <c r="D1661" s="2" t="s">
        <v>37</v>
      </c>
      <c r="E1661" s="2">
        <v>10.0</v>
      </c>
      <c r="F1661" s="2" t="s">
        <v>12</v>
      </c>
      <c r="G1661" s="2"/>
      <c r="H1661" s="2"/>
      <c r="I1661" s="2"/>
    </row>
    <row r="1662">
      <c r="A1662" s="2" t="s">
        <v>1663</v>
      </c>
      <c r="B1662" s="2" t="s">
        <v>1659</v>
      </c>
      <c r="C1662" s="2"/>
      <c r="D1662" s="2" t="s">
        <v>37</v>
      </c>
      <c r="E1662" s="2">
        <v>10.0</v>
      </c>
      <c r="F1662" s="2" t="s">
        <v>12</v>
      </c>
      <c r="G1662" s="2"/>
      <c r="H1662" s="2"/>
      <c r="I1662" s="2"/>
    </row>
    <row r="1663">
      <c r="A1663" s="2" t="s">
        <v>1664</v>
      </c>
      <c r="B1663" s="2" t="s">
        <v>1659</v>
      </c>
      <c r="C1663" s="2"/>
      <c r="D1663" s="2" t="s">
        <v>11</v>
      </c>
      <c r="E1663" s="2">
        <v>10.0</v>
      </c>
      <c r="F1663" s="2" t="s">
        <v>12</v>
      </c>
      <c r="G1663" s="2"/>
      <c r="H1663" s="2"/>
      <c r="I1663" s="2"/>
    </row>
    <row r="1664">
      <c r="A1664" s="2" t="s">
        <v>1665</v>
      </c>
      <c r="B1664" s="2" t="s">
        <v>1659</v>
      </c>
      <c r="C1664" s="2"/>
      <c r="D1664" s="2" t="s">
        <v>11</v>
      </c>
      <c r="E1664" s="2">
        <v>10.0</v>
      </c>
      <c r="F1664" s="2" t="s">
        <v>12</v>
      </c>
      <c r="G1664" s="2"/>
      <c r="H1664" s="2"/>
      <c r="I1664" s="2"/>
    </row>
    <row r="1665">
      <c r="A1665" s="1" t="s">
        <v>1666</v>
      </c>
      <c r="B1665" s="2" t="s">
        <v>1659</v>
      </c>
      <c r="C1665" s="2"/>
      <c r="D1665" s="2" t="s">
        <v>37</v>
      </c>
      <c r="E1665" s="2">
        <v>10.0</v>
      </c>
      <c r="F1665" s="2" t="s">
        <v>12</v>
      </c>
      <c r="G1665" s="2"/>
      <c r="H1665" s="2"/>
      <c r="I1665" s="2"/>
    </row>
    <row r="1666">
      <c r="A1666" s="1" t="s">
        <v>1667</v>
      </c>
      <c r="B1666" s="2" t="s">
        <v>1659</v>
      </c>
      <c r="C1666" s="2"/>
      <c r="D1666" s="2" t="s">
        <v>37</v>
      </c>
      <c r="E1666" s="2">
        <v>10.0</v>
      </c>
      <c r="F1666" s="2" t="s">
        <v>12</v>
      </c>
      <c r="G1666" s="2"/>
      <c r="H1666" s="2"/>
      <c r="I1666" s="2"/>
    </row>
    <row r="1667">
      <c r="A1667" s="1" t="s">
        <v>1668</v>
      </c>
      <c r="B1667" s="2" t="s">
        <v>1659</v>
      </c>
      <c r="C1667" s="2"/>
      <c r="D1667" s="2" t="s">
        <v>11</v>
      </c>
      <c r="E1667" s="2">
        <v>10.0</v>
      </c>
      <c r="F1667" s="2" t="s">
        <v>12</v>
      </c>
      <c r="G1667" s="2"/>
      <c r="H1667" s="2"/>
      <c r="I1667" s="2"/>
    </row>
    <row r="1668">
      <c r="A1668" s="2" t="s">
        <v>1669</v>
      </c>
      <c r="B1668" s="2" t="s">
        <v>1659</v>
      </c>
      <c r="C1668" s="1"/>
      <c r="D1668" s="2"/>
      <c r="E1668" s="2"/>
      <c r="F1668" s="2"/>
      <c r="G1668" s="2"/>
      <c r="H1668" s="2"/>
      <c r="I1668" s="2"/>
    </row>
    <row r="1669">
      <c r="A1669" s="1" t="s">
        <v>1670</v>
      </c>
      <c r="B1669" s="2" t="s">
        <v>1659</v>
      </c>
      <c r="C1669" s="2"/>
      <c r="D1669" s="2" t="s">
        <v>11</v>
      </c>
      <c r="E1669" s="2">
        <v>10.0</v>
      </c>
      <c r="F1669" s="2" t="s">
        <v>12</v>
      </c>
      <c r="G1669" s="2"/>
      <c r="H1669" s="2"/>
      <c r="I1669" s="2"/>
    </row>
    <row r="1670">
      <c r="A1670" s="1" t="s">
        <v>1671</v>
      </c>
      <c r="B1670" s="2" t="s">
        <v>1659</v>
      </c>
      <c r="C1670" s="2"/>
      <c r="D1670" s="2" t="s">
        <v>11</v>
      </c>
      <c r="E1670" s="2">
        <v>10.0</v>
      </c>
      <c r="F1670" s="2" t="s">
        <v>12</v>
      </c>
      <c r="G1670" s="2"/>
      <c r="H1670" s="2"/>
      <c r="I1670" s="2"/>
    </row>
    <row r="1671">
      <c r="A1671" s="1" t="s">
        <v>1672</v>
      </c>
      <c r="B1671" s="2" t="s">
        <v>1659</v>
      </c>
      <c r="C1671" s="2"/>
      <c r="D1671" s="2" t="s">
        <v>11</v>
      </c>
      <c r="E1671" s="2">
        <v>10.0</v>
      </c>
      <c r="F1671" s="2" t="s">
        <v>12</v>
      </c>
      <c r="G1671" s="2"/>
      <c r="H1671" s="2"/>
      <c r="I1671" s="2"/>
    </row>
    <row r="1672">
      <c r="A1672" s="1" t="s">
        <v>1673</v>
      </c>
      <c r="B1672" s="2" t="s">
        <v>1659</v>
      </c>
      <c r="C1672" s="2"/>
      <c r="D1672" s="2" t="s">
        <v>11</v>
      </c>
      <c r="E1672" s="2">
        <v>10.0</v>
      </c>
      <c r="F1672" s="2" t="s">
        <v>12</v>
      </c>
      <c r="G1672" s="2"/>
      <c r="H1672" s="2"/>
      <c r="I1672" s="2"/>
    </row>
    <row r="1673">
      <c r="A1673" s="2" t="s">
        <v>1674</v>
      </c>
      <c r="B1673" s="2" t="s">
        <v>1659</v>
      </c>
      <c r="C1673" s="2"/>
      <c r="D1673" s="2" t="s">
        <v>11</v>
      </c>
      <c r="E1673" s="2">
        <v>10.0</v>
      </c>
      <c r="F1673" s="2" t="s">
        <v>12</v>
      </c>
      <c r="G1673" s="2"/>
      <c r="H1673" s="2"/>
      <c r="I1673" s="2"/>
    </row>
    <row r="1674">
      <c r="A1674" s="1" t="s">
        <v>1675</v>
      </c>
      <c r="B1674" s="2" t="s">
        <v>1659</v>
      </c>
      <c r="C1674" s="2"/>
      <c r="D1674" s="2" t="s">
        <v>11</v>
      </c>
      <c r="E1674" s="2">
        <v>10.0</v>
      </c>
      <c r="F1674" s="2" t="s">
        <v>12</v>
      </c>
      <c r="G1674" s="2"/>
      <c r="H1674" s="2"/>
      <c r="I1674" s="2"/>
    </row>
    <row r="1675">
      <c r="A1675" s="1" t="s">
        <v>1676</v>
      </c>
      <c r="B1675" s="2" t="s">
        <v>1659</v>
      </c>
      <c r="C1675" s="2"/>
      <c r="D1675" s="2" t="s">
        <v>11</v>
      </c>
      <c r="E1675" s="2">
        <v>10.0</v>
      </c>
      <c r="F1675" s="2" t="s">
        <v>12</v>
      </c>
      <c r="G1675" s="2"/>
      <c r="H1675" s="2"/>
      <c r="I1675" s="2"/>
    </row>
    <row r="1676">
      <c r="A1676" s="1" t="s">
        <v>1677</v>
      </c>
      <c r="B1676" s="2" t="s">
        <v>1659</v>
      </c>
      <c r="C1676" s="2"/>
      <c r="D1676" s="2" t="s">
        <v>11</v>
      </c>
      <c r="E1676" s="2">
        <v>10.0</v>
      </c>
      <c r="F1676" s="2" t="s">
        <v>12</v>
      </c>
      <c r="G1676" s="2"/>
      <c r="H1676" s="2"/>
      <c r="I1676" s="2"/>
    </row>
    <row r="1677">
      <c r="A1677" s="1" t="s">
        <v>1678</v>
      </c>
      <c r="B1677" s="2" t="s">
        <v>1659</v>
      </c>
      <c r="C1677" s="2"/>
      <c r="D1677" s="2" t="s">
        <v>11</v>
      </c>
      <c r="E1677" s="2">
        <v>10.0</v>
      </c>
      <c r="F1677" s="2" t="s">
        <v>12</v>
      </c>
      <c r="G1677" s="2"/>
      <c r="H1677" s="2"/>
      <c r="I1677" s="2"/>
    </row>
    <row r="1678">
      <c r="A1678" s="1" t="s">
        <v>1679</v>
      </c>
      <c r="B1678" s="2" t="s">
        <v>1659</v>
      </c>
      <c r="C1678" s="2"/>
      <c r="D1678" s="2" t="s">
        <v>11</v>
      </c>
      <c r="E1678" s="2">
        <v>10.0</v>
      </c>
      <c r="F1678" s="2" t="s">
        <v>12</v>
      </c>
      <c r="G1678" s="2"/>
      <c r="H1678" s="2"/>
      <c r="I1678" s="2"/>
    </row>
    <row r="1679">
      <c r="A1679" s="1" t="s">
        <v>1680</v>
      </c>
      <c r="B1679" s="2" t="s">
        <v>1659</v>
      </c>
      <c r="C1679" s="2"/>
      <c r="D1679" s="2" t="s">
        <v>11</v>
      </c>
      <c r="E1679" s="2">
        <v>10.0</v>
      </c>
      <c r="F1679" s="2" t="s">
        <v>12</v>
      </c>
      <c r="G1679" s="2"/>
      <c r="H1679" s="2"/>
      <c r="I1679" s="2"/>
    </row>
    <row r="1680">
      <c r="A1680" s="2" t="s">
        <v>1681</v>
      </c>
      <c r="B1680" s="2" t="s">
        <v>1659</v>
      </c>
      <c r="C1680" s="2"/>
      <c r="D1680" s="2" t="s">
        <v>11</v>
      </c>
      <c r="E1680" s="2">
        <v>10.0</v>
      </c>
      <c r="F1680" s="2" t="s">
        <v>12</v>
      </c>
      <c r="G1680" s="2"/>
      <c r="H1680" s="2"/>
      <c r="I1680" s="2"/>
    </row>
    <row r="1681">
      <c r="A1681" s="1" t="s">
        <v>1682</v>
      </c>
      <c r="B1681" s="2" t="s">
        <v>1659</v>
      </c>
      <c r="C1681" s="2"/>
      <c r="D1681" s="2" t="s">
        <v>11</v>
      </c>
      <c r="E1681" s="2"/>
      <c r="F1681" s="2"/>
      <c r="G1681" s="2"/>
      <c r="H1681" s="2"/>
      <c r="I1681" s="2"/>
    </row>
    <row r="1682">
      <c r="A1682" s="2" t="s">
        <v>1683</v>
      </c>
      <c r="B1682" s="2" t="s">
        <v>1659</v>
      </c>
      <c r="C1682" s="2"/>
      <c r="D1682" s="2" t="s">
        <v>11</v>
      </c>
      <c r="E1682" s="2">
        <v>20.0</v>
      </c>
      <c r="F1682" s="2" t="s">
        <v>12</v>
      </c>
      <c r="G1682" s="2"/>
      <c r="H1682" s="2"/>
      <c r="I1682" s="2"/>
    </row>
    <row r="1683">
      <c r="A1683" s="1" t="s">
        <v>1684</v>
      </c>
      <c r="B1683" s="2" t="s">
        <v>1659</v>
      </c>
      <c r="C1683" s="2"/>
      <c r="D1683" s="2" t="s">
        <v>11</v>
      </c>
      <c r="E1683" s="2">
        <v>10.0</v>
      </c>
      <c r="F1683" s="2" t="s">
        <v>12</v>
      </c>
      <c r="G1683" s="2"/>
      <c r="H1683" s="2"/>
      <c r="I1683" s="2"/>
    </row>
    <row r="1684">
      <c r="A1684" s="1" t="s">
        <v>1684</v>
      </c>
      <c r="B1684" s="2" t="s">
        <v>1659</v>
      </c>
      <c r="C1684" s="2"/>
      <c r="D1684" s="2" t="s">
        <v>11</v>
      </c>
      <c r="E1684" s="2">
        <v>15.0</v>
      </c>
      <c r="F1684" s="2" t="s">
        <v>12</v>
      </c>
      <c r="G1684" s="2"/>
      <c r="H1684" s="2"/>
      <c r="I1684" s="2"/>
    </row>
    <row r="1685">
      <c r="A1685" s="1" t="s">
        <v>1685</v>
      </c>
      <c r="B1685" s="2" t="s">
        <v>1659</v>
      </c>
      <c r="C1685" s="2"/>
      <c r="D1685" s="2" t="s">
        <v>11</v>
      </c>
      <c r="E1685" s="2">
        <v>10.0</v>
      </c>
      <c r="F1685" s="2" t="s">
        <v>12</v>
      </c>
      <c r="G1685" s="2"/>
      <c r="H1685" s="2"/>
      <c r="I1685" s="2"/>
    </row>
    <row r="1686">
      <c r="A1686" s="1" t="s">
        <v>1685</v>
      </c>
      <c r="B1686" s="2" t="s">
        <v>1659</v>
      </c>
      <c r="C1686" s="2"/>
      <c r="D1686" s="2" t="s">
        <v>11</v>
      </c>
      <c r="E1686" s="2">
        <v>15.0</v>
      </c>
      <c r="F1686" s="2" t="s">
        <v>12</v>
      </c>
      <c r="G1686" s="2"/>
      <c r="H1686" s="2"/>
      <c r="I1686" s="2"/>
    </row>
    <row r="1687">
      <c r="A1687" s="1" t="s">
        <v>1686</v>
      </c>
      <c r="B1687" s="2" t="s">
        <v>1659</v>
      </c>
      <c r="C1687" s="2"/>
      <c r="D1687" s="2" t="s">
        <v>11</v>
      </c>
      <c r="E1687" s="2">
        <v>10.0</v>
      </c>
      <c r="F1687" s="2" t="s">
        <v>12</v>
      </c>
      <c r="G1687" s="2"/>
      <c r="H1687" s="2"/>
      <c r="I1687" s="2"/>
    </row>
    <row r="1688">
      <c r="A1688" s="1" t="s">
        <v>1686</v>
      </c>
      <c r="B1688" s="2" t="s">
        <v>1659</v>
      </c>
      <c r="C1688" s="2"/>
      <c r="D1688" s="2" t="s">
        <v>11</v>
      </c>
      <c r="E1688" s="2">
        <v>15.0</v>
      </c>
      <c r="F1688" s="2" t="s">
        <v>12</v>
      </c>
      <c r="G1688" s="2"/>
      <c r="H1688" s="2"/>
      <c r="I1688" s="2"/>
    </row>
    <row r="1689">
      <c r="A1689" s="1" t="s">
        <v>1687</v>
      </c>
      <c r="B1689" s="2" t="s">
        <v>1659</v>
      </c>
      <c r="C1689" s="2"/>
      <c r="D1689" s="2" t="s">
        <v>11</v>
      </c>
      <c r="E1689" s="2">
        <v>10.0</v>
      </c>
      <c r="F1689" s="2" t="s">
        <v>12</v>
      </c>
      <c r="G1689" s="2"/>
      <c r="H1689" s="2"/>
      <c r="I1689" s="2"/>
    </row>
    <row r="1690">
      <c r="A1690" s="1" t="s">
        <v>1687</v>
      </c>
      <c r="B1690" s="2" t="s">
        <v>1659</v>
      </c>
      <c r="C1690" s="2"/>
      <c r="D1690" s="2" t="s">
        <v>11</v>
      </c>
      <c r="E1690" s="2">
        <v>15.0</v>
      </c>
      <c r="F1690" s="2" t="s">
        <v>12</v>
      </c>
      <c r="G1690" s="2"/>
      <c r="H1690" s="2"/>
      <c r="I1690" s="2"/>
    </row>
    <row r="1691">
      <c r="A1691" s="2" t="s">
        <v>1688</v>
      </c>
      <c r="B1691" s="2" t="s">
        <v>1659</v>
      </c>
      <c r="C1691" s="2"/>
      <c r="D1691" s="2" t="s">
        <v>11</v>
      </c>
      <c r="E1691" s="2">
        <v>10.0</v>
      </c>
      <c r="F1691" s="2" t="s">
        <v>12</v>
      </c>
      <c r="G1691" s="2"/>
      <c r="H1691" s="2"/>
      <c r="I1691" s="2"/>
    </row>
    <row r="1692">
      <c r="A1692" s="2" t="s">
        <v>1688</v>
      </c>
      <c r="B1692" s="2" t="s">
        <v>1659</v>
      </c>
      <c r="C1692" s="2"/>
      <c r="D1692" s="2" t="s">
        <v>11</v>
      </c>
      <c r="E1692" s="2">
        <v>15.0</v>
      </c>
      <c r="F1692" s="2" t="s">
        <v>12</v>
      </c>
      <c r="G1692" s="2"/>
      <c r="H1692" s="2"/>
      <c r="I1692" s="2"/>
    </row>
    <row r="1693">
      <c r="A1693" s="1" t="s">
        <v>1689</v>
      </c>
      <c r="B1693" s="2" t="s">
        <v>1659</v>
      </c>
      <c r="C1693" s="2"/>
      <c r="D1693" s="2" t="s">
        <v>11</v>
      </c>
      <c r="E1693" s="2">
        <v>10.0</v>
      </c>
      <c r="F1693" s="2" t="s">
        <v>12</v>
      </c>
      <c r="G1693" s="2"/>
      <c r="H1693" s="2"/>
      <c r="I1693" s="2"/>
    </row>
    <row r="1694">
      <c r="A1694" s="2" t="s">
        <v>1690</v>
      </c>
      <c r="B1694" s="2" t="s">
        <v>1659</v>
      </c>
      <c r="C1694" s="2"/>
      <c r="D1694" s="2" t="s">
        <v>11</v>
      </c>
      <c r="E1694" s="2">
        <v>10.0</v>
      </c>
      <c r="F1694" s="2" t="s">
        <v>12</v>
      </c>
      <c r="G1694" s="2"/>
      <c r="H1694" s="2"/>
      <c r="I1694" s="2"/>
    </row>
    <row r="1695">
      <c r="A1695" s="1" t="s">
        <v>1691</v>
      </c>
      <c r="B1695" s="2" t="s">
        <v>1659</v>
      </c>
      <c r="C1695" s="2"/>
      <c r="D1695" s="2" t="s">
        <v>11</v>
      </c>
      <c r="E1695" s="2">
        <v>10.0</v>
      </c>
      <c r="F1695" s="2" t="s">
        <v>12</v>
      </c>
      <c r="G1695" s="2"/>
      <c r="H1695" s="2"/>
      <c r="I1695" s="2"/>
    </row>
    <row r="1696">
      <c r="A1696" s="1" t="s">
        <v>1691</v>
      </c>
      <c r="B1696" s="2" t="s">
        <v>1659</v>
      </c>
      <c r="C1696" s="2"/>
      <c r="D1696" s="2" t="s">
        <v>11</v>
      </c>
      <c r="E1696" s="2">
        <v>15.0</v>
      </c>
      <c r="F1696" s="2" t="s">
        <v>12</v>
      </c>
      <c r="G1696" s="2"/>
      <c r="H1696" s="2"/>
      <c r="I1696" s="2"/>
    </row>
    <row r="1697">
      <c r="A1697" s="2" t="s">
        <v>1692</v>
      </c>
      <c r="B1697" s="2" t="s">
        <v>1659</v>
      </c>
      <c r="C1697" s="2"/>
      <c r="D1697" s="2" t="s">
        <v>11</v>
      </c>
      <c r="E1697" s="2">
        <v>10.0</v>
      </c>
      <c r="F1697" s="2" t="s">
        <v>12</v>
      </c>
      <c r="G1697" s="2"/>
      <c r="H1697" s="2"/>
      <c r="I1697" s="2"/>
    </row>
    <row r="1698">
      <c r="A1698" s="2" t="s">
        <v>1692</v>
      </c>
      <c r="B1698" s="2" t="s">
        <v>1659</v>
      </c>
      <c r="C1698" s="2"/>
      <c r="D1698" s="2" t="s">
        <v>11</v>
      </c>
      <c r="E1698" s="2">
        <v>15.0</v>
      </c>
      <c r="F1698" s="2" t="s">
        <v>12</v>
      </c>
      <c r="G1698" s="2"/>
      <c r="H1698" s="2"/>
      <c r="I1698" s="2"/>
    </row>
    <row r="1699">
      <c r="A1699" s="1" t="s">
        <v>1693</v>
      </c>
      <c r="B1699" s="2" t="s">
        <v>1694</v>
      </c>
      <c r="C1699" s="2"/>
      <c r="D1699" s="2" t="s">
        <v>11</v>
      </c>
      <c r="E1699" s="2">
        <v>15.0</v>
      </c>
      <c r="F1699" s="2" t="s">
        <v>12</v>
      </c>
      <c r="G1699" s="2"/>
      <c r="H1699" s="2"/>
      <c r="I1699" s="2"/>
    </row>
    <row r="1700">
      <c r="A1700" s="1" t="s">
        <v>1695</v>
      </c>
      <c r="B1700" s="2" t="s">
        <v>1694</v>
      </c>
      <c r="C1700" s="2"/>
      <c r="D1700" s="2" t="s">
        <v>11</v>
      </c>
      <c r="E1700" s="2">
        <v>15.0</v>
      </c>
      <c r="F1700" s="2" t="s">
        <v>12</v>
      </c>
      <c r="G1700" s="2"/>
      <c r="H1700" s="2"/>
      <c r="I1700" s="2"/>
    </row>
    <row r="1701">
      <c r="A1701" s="1" t="s">
        <v>1696</v>
      </c>
      <c r="B1701" s="2" t="s">
        <v>1694</v>
      </c>
      <c r="C1701" s="2"/>
      <c r="D1701" s="2" t="s">
        <v>11</v>
      </c>
      <c r="E1701" s="2">
        <v>15.0</v>
      </c>
      <c r="F1701" s="2" t="s">
        <v>12</v>
      </c>
      <c r="G1701" s="2"/>
      <c r="H1701" s="2"/>
      <c r="I1701" s="2"/>
    </row>
    <row r="1702">
      <c r="A1702" s="1" t="s">
        <v>1697</v>
      </c>
      <c r="B1702" s="2" t="s">
        <v>1694</v>
      </c>
      <c r="C1702" s="2"/>
      <c r="D1702" s="2" t="s">
        <v>11</v>
      </c>
      <c r="E1702" s="2">
        <v>15.0</v>
      </c>
      <c r="F1702" s="2" t="s">
        <v>12</v>
      </c>
      <c r="G1702" s="2"/>
      <c r="H1702" s="2"/>
      <c r="I1702" s="2"/>
    </row>
    <row r="1703">
      <c r="A1703" s="1" t="s">
        <v>1698</v>
      </c>
      <c r="B1703" s="2" t="s">
        <v>1694</v>
      </c>
      <c r="C1703" s="2"/>
      <c r="D1703" s="2" t="s">
        <v>11</v>
      </c>
      <c r="E1703" s="2">
        <v>10.0</v>
      </c>
      <c r="F1703" s="2" t="s">
        <v>12</v>
      </c>
      <c r="G1703" s="2"/>
      <c r="H1703" s="2"/>
      <c r="I1703" s="2"/>
    </row>
    <row r="1704">
      <c r="A1704" s="1" t="s">
        <v>1699</v>
      </c>
      <c r="B1704" s="2" t="s">
        <v>1694</v>
      </c>
      <c r="C1704" s="2"/>
      <c r="D1704" s="2" t="s">
        <v>11</v>
      </c>
      <c r="E1704" s="2">
        <v>15.0</v>
      </c>
      <c r="F1704" s="2" t="s">
        <v>12</v>
      </c>
      <c r="G1704" s="2"/>
      <c r="H1704" s="2"/>
      <c r="I1704" s="2"/>
    </row>
    <row r="1705">
      <c r="A1705" s="2" t="s">
        <v>1700</v>
      </c>
      <c r="B1705" s="2" t="s">
        <v>1694</v>
      </c>
      <c r="C1705" s="2"/>
      <c r="D1705" s="2" t="s">
        <v>11</v>
      </c>
      <c r="E1705" s="2">
        <v>15.0</v>
      </c>
      <c r="F1705" s="2" t="s">
        <v>12</v>
      </c>
      <c r="G1705" s="2"/>
      <c r="H1705" s="2"/>
      <c r="I1705" s="2"/>
    </row>
    <row r="1706">
      <c r="A1706" s="1" t="s">
        <v>1701</v>
      </c>
      <c r="B1706" s="2" t="s">
        <v>1694</v>
      </c>
      <c r="C1706" s="2"/>
      <c r="D1706" s="2" t="s">
        <v>11</v>
      </c>
      <c r="E1706" s="2">
        <v>15.0</v>
      </c>
      <c r="F1706" s="2" t="s">
        <v>12</v>
      </c>
      <c r="G1706" s="2"/>
      <c r="H1706" s="2"/>
      <c r="I1706" s="2"/>
    </row>
    <row r="1707">
      <c r="A1707" s="2" t="s">
        <v>1702</v>
      </c>
      <c r="B1707" s="2" t="s">
        <v>1694</v>
      </c>
      <c r="C1707" s="2"/>
      <c r="D1707" s="2" t="s">
        <v>11</v>
      </c>
      <c r="E1707" s="2">
        <v>10.0</v>
      </c>
      <c r="F1707" s="2" t="s">
        <v>12</v>
      </c>
      <c r="G1707" s="2"/>
      <c r="H1707" s="2"/>
      <c r="I1707" s="2"/>
    </row>
    <row r="1708">
      <c r="A1708" s="2" t="s">
        <v>1703</v>
      </c>
      <c r="B1708" s="2" t="s">
        <v>1694</v>
      </c>
      <c r="C1708" s="2"/>
      <c r="D1708" s="2" t="s">
        <v>11</v>
      </c>
      <c r="E1708" s="2">
        <v>15.0</v>
      </c>
      <c r="F1708" s="2" t="s">
        <v>12</v>
      </c>
      <c r="G1708" s="2"/>
      <c r="H1708" s="2"/>
      <c r="I1708" s="2"/>
    </row>
    <row r="1709">
      <c r="A1709" s="2" t="s">
        <v>1704</v>
      </c>
      <c r="B1709" s="2" t="s">
        <v>1694</v>
      </c>
      <c r="C1709" s="2"/>
      <c r="D1709" s="2" t="s">
        <v>11</v>
      </c>
      <c r="E1709" s="2">
        <v>15.0</v>
      </c>
      <c r="F1709" s="2" t="s">
        <v>12</v>
      </c>
      <c r="G1709" s="2"/>
      <c r="H1709" s="2"/>
      <c r="I1709" s="2"/>
    </row>
    <row r="1710">
      <c r="A1710" s="2" t="s">
        <v>1705</v>
      </c>
      <c r="B1710" s="2" t="s">
        <v>1694</v>
      </c>
      <c r="C1710" s="2"/>
      <c r="D1710" s="2" t="s">
        <v>11</v>
      </c>
      <c r="E1710" s="2">
        <v>15.0</v>
      </c>
      <c r="F1710" s="2" t="s">
        <v>12</v>
      </c>
      <c r="G1710" s="2"/>
      <c r="H1710" s="2"/>
      <c r="I1710" s="2"/>
    </row>
    <row r="1711">
      <c r="A1711" s="2" t="s">
        <v>1706</v>
      </c>
      <c r="B1711" s="2" t="s">
        <v>1694</v>
      </c>
      <c r="C1711" s="2"/>
      <c r="D1711" s="2" t="s">
        <v>11</v>
      </c>
      <c r="E1711" s="2"/>
      <c r="F1711" s="2"/>
      <c r="G1711" s="2"/>
      <c r="H1711" s="2"/>
      <c r="I1711" s="2"/>
    </row>
    <row r="1712">
      <c r="A1712" s="2" t="s">
        <v>1707</v>
      </c>
      <c r="B1712" s="2" t="s">
        <v>1694</v>
      </c>
      <c r="C1712" s="1"/>
      <c r="D1712" s="2"/>
      <c r="E1712" s="2"/>
      <c r="F1712" s="2"/>
      <c r="G1712" s="2"/>
      <c r="H1712" s="2"/>
      <c r="I1712" s="2"/>
    </row>
    <row r="1713">
      <c r="A1713" s="2" t="s">
        <v>1708</v>
      </c>
      <c r="B1713" s="2" t="s">
        <v>1694</v>
      </c>
      <c r="C1713" s="2"/>
      <c r="D1713" s="2" t="s">
        <v>11</v>
      </c>
      <c r="E1713" s="2">
        <v>10.0</v>
      </c>
      <c r="F1713" s="2" t="s">
        <v>12</v>
      </c>
      <c r="G1713" s="2"/>
      <c r="H1713" s="2"/>
      <c r="I1713" s="2"/>
    </row>
    <row r="1714">
      <c r="A1714" s="2" t="s">
        <v>1709</v>
      </c>
      <c r="B1714" s="2" t="s">
        <v>1694</v>
      </c>
      <c r="C1714" s="2"/>
      <c r="D1714" s="2" t="s">
        <v>37</v>
      </c>
      <c r="E1714" s="2">
        <v>5.0</v>
      </c>
      <c r="F1714" s="2"/>
      <c r="G1714" s="2"/>
      <c r="H1714" s="2"/>
      <c r="I1714" s="2"/>
    </row>
    <row r="1715">
      <c r="A1715" s="2" t="s">
        <v>1710</v>
      </c>
      <c r="B1715" s="2" t="s">
        <v>1694</v>
      </c>
      <c r="C1715" s="1"/>
      <c r="D1715" s="2"/>
      <c r="E1715" s="2"/>
      <c r="F1715" s="2"/>
      <c r="G1715" s="2"/>
      <c r="H1715" s="2"/>
      <c r="I1715" s="2"/>
    </row>
    <row r="1716">
      <c r="A1716" s="2" t="s">
        <v>1711</v>
      </c>
      <c r="B1716" s="2" t="s">
        <v>1694</v>
      </c>
      <c r="C1716" s="2"/>
      <c r="D1716" s="2" t="s">
        <v>37</v>
      </c>
      <c r="E1716" s="2">
        <v>10.0</v>
      </c>
      <c r="F1716" s="2" t="s">
        <v>12</v>
      </c>
      <c r="G1716" s="2"/>
      <c r="H1716" s="2"/>
      <c r="I1716" s="2"/>
    </row>
    <row r="1717">
      <c r="A1717" s="2" t="s">
        <v>1712</v>
      </c>
      <c r="B1717" s="2" t="s">
        <v>1694</v>
      </c>
      <c r="C1717" s="2"/>
      <c r="D1717" s="2" t="s">
        <v>37</v>
      </c>
      <c r="E1717" s="2">
        <v>10.0</v>
      </c>
      <c r="F1717" s="2" t="s">
        <v>12</v>
      </c>
      <c r="G1717" s="2"/>
      <c r="H1717" s="2"/>
      <c r="I1717" s="2"/>
    </row>
    <row r="1718">
      <c r="A1718" s="2" t="s">
        <v>1713</v>
      </c>
      <c r="B1718" s="2" t="s">
        <v>1694</v>
      </c>
      <c r="C1718" s="1"/>
      <c r="D1718" s="2"/>
      <c r="E1718" s="2"/>
      <c r="F1718" s="2"/>
      <c r="G1718" s="2"/>
      <c r="H1718" s="2"/>
      <c r="I1718" s="2"/>
    </row>
    <row r="1719">
      <c r="A1719" s="1" t="s">
        <v>1714</v>
      </c>
      <c r="B1719" s="2" t="s">
        <v>1694</v>
      </c>
      <c r="C1719" s="1"/>
      <c r="D1719" s="2"/>
      <c r="E1719" s="2"/>
      <c r="F1719" s="2"/>
      <c r="G1719" s="2"/>
      <c r="H1719" s="2"/>
      <c r="I1719" s="2"/>
    </row>
    <row r="1720">
      <c r="A1720" s="1" t="s">
        <v>1715</v>
      </c>
      <c r="B1720" s="2" t="s">
        <v>1694</v>
      </c>
      <c r="C1720" s="1"/>
      <c r="D1720" s="2"/>
      <c r="E1720" s="2"/>
      <c r="F1720" s="2"/>
      <c r="G1720" s="2"/>
      <c r="H1720" s="2"/>
      <c r="I1720" s="2"/>
    </row>
    <row r="1721">
      <c r="A1721" s="1" t="s">
        <v>1716</v>
      </c>
      <c r="B1721" s="2" t="s">
        <v>1694</v>
      </c>
      <c r="C1721" s="1"/>
      <c r="D1721" s="2"/>
      <c r="E1721" s="2"/>
      <c r="F1721" s="2"/>
      <c r="G1721" s="2"/>
      <c r="H1721" s="2"/>
      <c r="I1721" s="2"/>
    </row>
    <row r="1722">
      <c r="A1722" s="2" t="s">
        <v>1717</v>
      </c>
      <c r="B1722" s="2" t="s">
        <v>1694</v>
      </c>
      <c r="C1722" s="1"/>
      <c r="D1722" s="2"/>
      <c r="E1722" s="2"/>
      <c r="F1722" s="2"/>
      <c r="G1722" s="2"/>
      <c r="H1722" s="2"/>
      <c r="I1722" s="2"/>
    </row>
    <row r="1723">
      <c r="A1723" s="2" t="s">
        <v>1718</v>
      </c>
      <c r="B1723" s="2" t="s">
        <v>1694</v>
      </c>
      <c r="C1723" s="2"/>
      <c r="D1723" s="2" t="s">
        <v>11</v>
      </c>
      <c r="E1723" s="1">
        <v>30.0</v>
      </c>
      <c r="F1723" s="2" t="s">
        <v>22</v>
      </c>
      <c r="G1723" s="2"/>
      <c r="H1723" s="2"/>
      <c r="I1723" s="2"/>
    </row>
    <row r="1724">
      <c r="A1724" s="2" t="s">
        <v>1719</v>
      </c>
      <c r="B1724" s="2" t="s">
        <v>1694</v>
      </c>
      <c r="C1724" s="1"/>
      <c r="D1724" s="2"/>
      <c r="E1724" s="2"/>
      <c r="F1724" s="2"/>
      <c r="G1724" s="2"/>
      <c r="H1724" s="2"/>
      <c r="I1724" s="2"/>
    </row>
    <row r="1725">
      <c r="A1725" s="2" t="s">
        <v>1720</v>
      </c>
      <c r="B1725" s="2" t="s">
        <v>1694</v>
      </c>
      <c r="C1725" s="1"/>
      <c r="D1725" s="2"/>
      <c r="E1725" s="2"/>
      <c r="F1725" s="2"/>
      <c r="G1725" s="2"/>
      <c r="H1725" s="2"/>
      <c r="I1725" s="2"/>
    </row>
    <row r="1726">
      <c r="A1726" s="2" t="s">
        <v>1721</v>
      </c>
      <c r="B1726" s="2" t="s">
        <v>1694</v>
      </c>
      <c r="C1726" s="1"/>
      <c r="D1726" s="2"/>
      <c r="E1726" s="2"/>
      <c r="F1726" s="2"/>
      <c r="G1726" s="2"/>
      <c r="H1726" s="2"/>
      <c r="I1726" s="2"/>
    </row>
    <row r="1727">
      <c r="A1727" s="2" t="s">
        <v>1722</v>
      </c>
      <c r="B1727" s="2" t="s">
        <v>1694</v>
      </c>
      <c r="C1727" s="2"/>
      <c r="D1727" s="2" t="s">
        <v>11</v>
      </c>
      <c r="E1727" s="2">
        <v>10.0</v>
      </c>
      <c r="F1727" s="2" t="s">
        <v>12</v>
      </c>
      <c r="G1727" s="2"/>
      <c r="H1727" s="2"/>
      <c r="I1727" s="2"/>
    </row>
    <row r="1728">
      <c r="A1728" s="2" t="s">
        <v>1723</v>
      </c>
      <c r="B1728" s="2" t="s">
        <v>1694</v>
      </c>
      <c r="C1728" s="2"/>
      <c r="D1728" s="2" t="s">
        <v>11</v>
      </c>
      <c r="E1728" s="2">
        <v>10.0</v>
      </c>
      <c r="F1728" s="2" t="s">
        <v>12</v>
      </c>
      <c r="G1728" s="2"/>
      <c r="H1728" s="2"/>
      <c r="I1728" s="2"/>
    </row>
    <row r="1729">
      <c r="A1729" s="1" t="s">
        <v>1724</v>
      </c>
      <c r="B1729" s="2" t="s">
        <v>1694</v>
      </c>
      <c r="C1729" s="2"/>
      <c r="D1729" s="2" t="s">
        <v>11</v>
      </c>
      <c r="E1729" s="2">
        <v>10.0</v>
      </c>
      <c r="F1729" s="2" t="s">
        <v>12</v>
      </c>
      <c r="G1729" s="2"/>
      <c r="H1729" s="2"/>
      <c r="I1729" s="2"/>
    </row>
    <row r="1730">
      <c r="A1730" s="2" t="s">
        <v>1725</v>
      </c>
      <c r="B1730" s="2" t="s">
        <v>1694</v>
      </c>
      <c r="C1730" s="2"/>
      <c r="D1730" s="2" t="s">
        <v>11</v>
      </c>
      <c r="E1730" s="2">
        <v>10.0</v>
      </c>
      <c r="F1730" s="2" t="s">
        <v>12</v>
      </c>
      <c r="G1730" s="2"/>
      <c r="H1730" s="2"/>
      <c r="I1730" s="2"/>
    </row>
    <row r="1731">
      <c r="A1731" s="2" t="s">
        <v>1726</v>
      </c>
      <c r="B1731" s="2" t="s">
        <v>1694</v>
      </c>
      <c r="C1731" s="2"/>
      <c r="D1731" s="2" t="s">
        <v>11</v>
      </c>
      <c r="E1731" s="2">
        <v>10.0</v>
      </c>
      <c r="F1731" s="2" t="s">
        <v>12</v>
      </c>
      <c r="G1731" s="2"/>
      <c r="H1731" s="2"/>
      <c r="I1731" s="2"/>
    </row>
    <row r="1732">
      <c r="A1732" s="2" t="s">
        <v>1727</v>
      </c>
      <c r="B1732" s="2" t="s">
        <v>1694</v>
      </c>
      <c r="C1732" s="2"/>
      <c r="D1732" s="2" t="s">
        <v>11</v>
      </c>
      <c r="E1732" s="2">
        <v>10.0</v>
      </c>
      <c r="F1732" s="2" t="s">
        <v>12</v>
      </c>
      <c r="G1732" s="2"/>
      <c r="H1732" s="2"/>
      <c r="I1732" s="2"/>
    </row>
    <row r="1733">
      <c r="A1733" s="1" t="s">
        <v>1728</v>
      </c>
      <c r="B1733" s="2" t="s">
        <v>1694</v>
      </c>
      <c r="C1733" s="2"/>
      <c r="D1733" s="2" t="s">
        <v>11</v>
      </c>
      <c r="E1733" s="2">
        <v>10.0</v>
      </c>
      <c r="F1733" s="2" t="s">
        <v>12</v>
      </c>
      <c r="G1733" s="2"/>
      <c r="H1733" s="2"/>
      <c r="I1733" s="2"/>
    </row>
    <row r="1734">
      <c r="A1734" s="1" t="s">
        <v>1729</v>
      </c>
      <c r="B1734" s="2" t="s">
        <v>1694</v>
      </c>
      <c r="C1734" s="2"/>
      <c r="D1734" s="2" t="s">
        <v>11</v>
      </c>
      <c r="E1734" s="2">
        <v>10.0</v>
      </c>
      <c r="F1734" s="2" t="s">
        <v>12</v>
      </c>
      <c r="G1734" s="2"/>
      <c r="H1734" s="2"/>
      <c r="I1734" s="2"/>
    </row>
    <row r="1735">
      <c r="A1735" s="2" t="s">
        <v>1730</v>
      </c>
      <c r="B1735" s="2" t="s">
        <v>1694</v>
      </c>
      <c r="C1735" s="1"/>
      <c r="D1735" s="2"/>
      <c r="E1735" s="2"/>
      <c r="F1735" s="2"/>
      <c r="G1735" s="2"/>
      <c r="H1735" s="2"/>
      <c r="I1735" s="2"/>
    </row>
    <row r="1736">
      <c r="A1736" s="2" t="s">
        <v>1731</v>
      </c>
      <c r="B1736" s="2" t="s">
        <v>1694</v>
      </c>
      <c r="C1736" s="2"/>
      <c r="D1736" s="2" t="s">
        <v>11</v>
      </c>
      <c r="E1736" s="2">
        <v>10.0</v>
      </c>
      <c r="F1736" s="2" t="s">
        <v>12</v>
      </c>
      <c r="G1736" s="2"/>
      <c r="H1736" s="2"/>
      <c r="I1736" s="2"/>
    </row>
    <row r="1737">
      <c r="A1737" s="2" t="s">
        <v>1732</v>
      </c>
      <c r="B1737" s="2" t="s">
        <v>1580</v>
      </c>
      <c r="C1737" s="2"/>
      <c r="D1737" s="2" t="s">
        <v>37</v>
      </c>
      <c r="E1737" s="2">
        <v>15.0</v>
      </c>
      <c r="F1737" s="2" t="s">
        <v>12</v>
      </c>
      <c r="G1737" s="2"/>
      <c r="H1737" s="2"/>
      <c r="I1737" s="2"/>
    </row>
    <row r="1738">
      <c r="A1738" s="2" t="s">
        <v>1733</v>
      </c>
      <c r="B1738" s="2" t="s">
        <v>1580</v>
      </c>
      <c r="C1738" s="2"/>
      <c r="D1738" s="2" t="s">
        <v>37</v>
      </c>
      <c r="E1738" s="2">
        <v>10.0</v>
      </c>
      <c r="F1738" s="2" t="s">
        <v>12</v>
      </c>
      <c r="G1738" s="2"/>
      <c r="H1738" s="2"/>
      <c r="I1738" s="2"/>
    </row>
    <row r="1739">
      <c r="A1739" s="2" t="s">
        <v>1734</v>
      </c>
      <c r="B1739" s="2" t="s">
        <v>1580</v>
      </c>
      <c r="C1739" s="2"/>
      <c r="D1739" s="2" t="s">
        <v>11</v>
      </c>
      <c r="E1739" s="2">
        <v>10.0</v>
      </c>
      <c r="F1739" s="2" t="s">
        <v>12</v>
      </c>
      <c r="G1739" s="2"/>
      <c r="H1739" s="2"/>
      <c r="I1739" s="2"/>
    </row>
    <row r="1740">
      <c r="A1740" s="2" t="s">
        <v>1735</v>
      </c>
      <c r="B1740" s="2" t="s">
        <v>1580</v>
      </c>
      <c r="C1740" s="2"/>
      <c r="D1740" s="2" t="s">
        <v>11</v>
      </c>
      <c r="E1740" s="2">
        <v>10.0</v>
      </c>
      <c r="F1740" s="2" t="s">
        <v>12</v>
      </c>
      <c r="G1740" s="2"/>
      <c r="H1740" s="2"/>
      <c r="I1740" s="2"/>
    </row>
    <row r="1741">
      <c r="A1741" s="2" t="s">
        <v>1736</v>
      </c>
      <c r="B1741" s="2" t="s">
        <v>1580</v>
      </c>
      <c r="C1741" s="2"/>
      <c r="D1741" s="2" t="s">
        <v>37</v>
      </c>
      <c r="E1741" s="2">
        <v>15.0</v>
      </c>
      <c r="F1741" s="2" t="s">
        <v>12</v>
      </c>
      <c r="G1741" s="2"/>
      <c r="H1741" s="2"/>
      <c r="I1741" s="2"/>
    </row>
    <row r="1742">
      <c r="A1742" s="2" t="s">
        <v>1737</v>
      </c>
      <c r="B1742" s="2" t="s">
        <v>1580</v>
      </c>
      <c r="C1742" s="2"/>
      <c r="D1742" s="2" t="s">
        <v>11</v>
      </c>
      <c r="E1742" s="2">
        <v>10.0</v>
      </c>
      <c r="F1742" s="2" t="s">
        <v>12</v>
      </c>
      <c r="G1742" s="2"/>
      <c r="H1742" s="2"/>
      <c r="I1742" s="2"/>
    </row>
    <row r="1743">
      <c r="A1743" s="2" t="s">
        <v>1738</v>
      </c>
      <c r="B1743" s="2" t="s">
        <v>1580</v>
      </c>
      <c r="C1743" s="2"/>
      <c r="D1743" s="2" t="s">
        <v>11</v>
      </c>
      <c r="E1743" s="2">
        <v>10.0</v>
      </c>
      <c r="F1743" s="2" t="s">
        <v>12</v>
      </c>
      <c r="G1743" s="2"/>
      <c r="H1743" s="2"/>
      <c r="I1743" s="2"/>
    </row>
    <row r="1744">
      <c r="A1744" s="2" t="s">
        <v>1739</v>
      </c>
      <c r="B1744" s="2" t="s">
        <v>1580</v>
      </c>
      <c r="C1744" s="2"/>
      <c r="D1744" s="2" t="s">
        <v>11</v>
      </c>
      <c r="E1744" s="2">
        <v>10.0</v>
      </c>
      <c r="F1744" s="2" t="s">
        <v>12</v>
      </c>
      <c r="G1744" s="2"/>
      <c r="H1744" s="2"/>
      <c r="I1744" s="2"/>
    </row>
    <row r="1745">
      <c r="A1745" s="2" t="s">
        <v>1740</v>
      </c>
      <c r="B1745" s="2" t="s">
        <v>1580</v>
      </c>
      <c r="C1745" s="1"/>
      <c r="D1745" s="2"/>
      <c r="E1745" s="2"/>
      <c r="F1745" s="2"/>
      <c r="G1745" s="2"/>
      <c r="H1745" s="2"/>
      <c r="I1745" s="2"/>
    </row>
    <row r="1746">
      <c r="A1746" s="1" t="s">
        <v>1741</v>
      </c>
      <c r="B1746" s="2" t="s">
        <v>1580</v>
      </c>
      <c r="C1746" s="2"/>
      <c r="D1746" s="2" t="s">
        <v>11</v>
      </c>
      <c r="E1746" s="2">
        <v>10.0</v>
      </c>
      <c r="F1746" s="2" t="s">
        <v>12</v>
      </c>
      <c r="G1746" s="2"/>
      <c r="H1746" s="2"/>
      <c r="I1746" s="2"/>
    </row>
    <row r="1747">
      <c r="A1747" s="1" t="s">
        <v>1742</v>
      </c>
      <c r="B1747" s="2" t="s">
        <v>1580</v>
      </c>
      <c r="C1747" s="2"/>
      <c r="D1747" s="2" t="s">
        <v>11</v>
      </c>
      <c r="E1747" s="2">
        <v>10.0</v>
      </c>
      <c r="F1747" s="2" t="s">
        <v>12</v>
      </c>
      <c r="G1747" s="2"/>
      <c r="H1747" s="2"/>
      <c r="I1747" s="2"/>
    </row>
    <row r="1748">
      <c r="A1748" s="1" t="s">
        <v>1743</v>
      </c>
      <c r="B1748" s="2" t="s">
        <v>1580</v>
      </c>
      <c r="C1748" s="2"/>
      <c r="D1748" s="2" t="s">
        <v>11</v>
      </c>
      <c r="E1748" s="2">
        <v>10.0</v>
      </c>
      <c r="F1748" s="2" t="s">
        <v>12</v>
      </c>
      <c r="G1748" s="2"/>
      <c r="H1748" s="2"/>
      <c r="I1748" s="2"/>
    </row>
    <row r="1749">
      <c r="A1749" s="2" t="s">
        <v>1744</v>
      </c>
      <c r="B1749" s="2" t="s">
        <v>1580</v>
      </c>
      <c r="C1749" s="2"/>
      <c r="D1749" s="2" t="s">
        <v>11</v>
      </c>
      <c r="E1749" s="2">
        <v>10.0</v>
      </c>
      <c r="F1749" s="2" t="s">
        <v>12</v>
      </c>
      <c r="G1749" s="2"/>
      <c r="H1749" s="2"/>
      <c r="I1749" s="2"/>
    </row>
    <row r="1750">
      <c r="A1750" s="2" t="s">
        <v>1745</v>
      </c>
      <c r="B1750" s="2" t="s">
        <v>1580</v>
      </c>
      <c r="C1750" s="2"/>
      <c r="D1750" s="2" t="s">
        <v>11</v>
      </c>
      <c r="E1750" s="2">
        <v>10.0</v>
      </c>
      <c r="F1750" s="2" t="s">
        <v>12</v>
      </c>
      <c r="G1750" s="2"/>
      <c r="H1750" s="2"/>
      <c r="I1750" s="2"/>
    </row>
    <row r="1751">
      <c r="A1751" s="2" t="s">
        <v>1746</v>
      </c>
      <c r="B1751" s="2" t="s">
        <v>1580</v>
      </c>
      <c r="C1751" s="2"/>
      <c r="D1751" s="2" t="s">
        <v>37</v>
      </c>
      <c r="E1751" s="2">
        <v>10.0</v>
      </c>
      <c r="F1751" s="2" t="s">
        <v>12</v>
      </c>
      <c r="G1751" s="2"/>
      <c r="H1751" s="2"/>
      <c r="I1751" s="2"/>
    </row>
    <row r="1752">
      <c r="A1752" s="2" t="s">
        <v>1747</v>
      </c>
      <c r="B1752" s="2" t="s">
        <v>1580</v>
      </c>
      <c r="C1752" s="2"/>
      <c r="D1752" s="2" t="s">
        <v>11</v>
      </c>
      <c r="E1752" s="2">
        <v>10.0</v>
      </c>
      <c r="F1752" s="2" t="s">
        <v>12</v>
      </c>
      <c r="G1752" s="2"/>
      <c r="H1752" s="2"/>
      <c r="I1752" s="2"/>
    </row>
    <row r="1753">
      <c r="A1753" s="1" t="s">
        <v>1748</v>
      </c>
      <c r="B1753" s="2" t="s">
        <v>1580</v>
      </c>
      <c r="C1753" s="2"/>
      <c r="D1753" s="2" t="s">
        <v>11</v>
      </c>
      <c r="E1753" s="2">
        <v>10.0</v>
      </c>
      <c r="F1753" s="2" t="s">
        <v>12</v>
      </c>
      <c r="G1753" s="2"/>
      <c r="H1753" s="2"/>
      <c r="I1753" s="2"/>
    </row>
    <row r="1754">
      <c r="A1754" s="1" t="s">
        <v>1749</v>
      </c>
      <c r="B1754" s="2" t="s">
        <v>1580</v>
      </c>
      <c r="C1754" s="2"/>
      <c r="D1754" s="2" t="s">
        <v>11</v>
      </c>
      <c r="E1754" s="2">
        <v>10.0</v>
      </c>
      <c r="F1754" s="2" t="s">
        <v>12</v>
      </c>
      <c r="G1754" s="2"/>
      <c r="H1754" s="2"/>
      <c r="I1754" s="2"/>
    </row>
    <row r="1755">
      <c r="A1755" s="2" t="s">
        <v>1750</v>
      </c>
      <c r="B1755" s="2" t="s">
        <v>1751</v>
      </c>
      <c r="C1755" s="1"/>
      <c r="D1755" s="2"/>
      <c r="E1755" s="2"/>
      <c r="F1755" s="2"/>
      <c r="G1755" s="2"/>
      <c r="H1755" s="2"/>
      <c r="I1755" s="2"/>
    </row>
    <row r="1756">
      <c r="A1756" s="1" t="s">
        <v>1752</v>
      </c>
      <c r="B1756" s="2" t="s">
        <v>1753</v>
      </c>
      <c r="C1756" s="2"/>
      <c r="D1756" s="2" t="s">
        <v>11</v>
      </c>
      <c r="E1756" s="2">
        <v>15.0</v>
      </c>
      <c r="F1756" s="2" t="s">
        <v>12</v>
      </c>
      <c r="G1756" s="2"/>
      <c r="H1756" s="2"/>
      <c r="I1756" s="2"/>
    </row>
    <row r="1757">
      <c r="A1757" s="2" t="s">
        <v>1754</v>
      </c>
      <c r="B1757" s="2" t="s">
        <v>1753</v>
      </c>
      <c r="C1757" s="1"/>
      <c r="D1757" s="2"/>
      <c r="E1757" s="2"/>
      <c r="F1757" s="2"/>
      <c r="G1757" s="2"/>
      <c r="H1757" s="2"/>
      <c r="I1757" s="2"/>
    </row>
    <row r="1758">
      <c r="A1758" s="2" t="s">
        <v>1755</v>
      </c>
      <c r="B1758" s="2" t="s">
        <v>1753</v>
      </c>
      <c r="C1758" s="1"/>
      <c r="D1758" s="2"/>
      <c r="E1758" s="2"/>
      <c r="F1758" s="2"/>
      <c r="G1758" s="2"/>
      <c r="H1758" s="2"/>
      <c r="I1758" s="2"/>
    </row>
    <row r="1759">
      <c r="A1759" s="2" t="s">
        <v>1756</v>
      </c>
      <c r="B1759" s="2" t="s">
        <v>1753</v>
      </c>
      <c r="C1759" s="1"/>
      <c r="D1759" s="2"/>
      <c r="E1759" s="2"/>
      <c r="F1759" s="2"/>
      <c r="G1759" s="2"/>
      <c r="H1759" s="2"/>
      <c r="I1759" s="2"/>
    </row>
    <row r="1760">
      <c r="A1760" s="2" t="s">
        <v>1757</v>
      </c>
      <c r="B1760" s="2" t="s">
        <v>1753</v>
      </c>
      <c r="C1760" s="1"/>
      <c r="D1760" s="2"/>
      <c r="E1760" s="2"/>
      <c r="F1760" s="2"/>
      <c r="G1760" s="2"/>
      <c r="H1760" s="2"/>
      <c r="I1760" s="2"/>
    </row>
    <row r="1761">
      <c r="A1761" s="2" t="s">
        <v>1758</v>
      </c>
      <c r="B1761" s="2" t="s">
        <v>1753</v>
      </c>
      <c r="C1761" s="1"/>
      <c r="D1761" s="2"/>
      <c r="E1761" s="2"/>
      <c r="F1761" s="2"/>
      <c r="G1761" s="2"/>
      <c r="H1761" s="2"/>
      <c r="I1761" s="2"/>
    </row>
    <row r="1762">
      <c r="A1762" s="2" t="s">
        <v>1759</v>
      </c>
      <c r="B1762" s="2" t="s">
        <v>1753</v>
      </c>
      <c r="C1762" s="2"/>
      <c r="D1762" s="2" t="s">
        <v>11</v>
      </c>
      <c r="E1762" s="2">
        <v>10.0</v>
      </c>
      <c r="F1762" s="2" t="s">
        <v>12</v>
      </c>
      <c r="G1762" s="2"/>
      <c r="H1762" s="2"/>
      <c r="I1762" s="2"/>
    </row>
    <row r="1763">
      <c r="A1763" s="2" t="s">
        <v>1760</v>
      </c>
      <c r="B1763" s="2" t="s">
        <v>1753</v>
      </c>
      <c r="C1763" s="1"/>
      <c r="D1763" s="2"/>
      <c r="E1763" s="2"/>
      <c r="F1763" s="2"/>
      <c r="G1763" s="2"/>
      <c r="H1763" s="2"/>
      <c r="I1763" s="2"/>
    </row>
    <row r="1764">
      <c r="A1764" s="2" t="s">
        <v>1761</v>
      </c>
      <c r="B1764" s="2" t="s">
        <v>1753</v>
      </c>
      <c r="C1764" s="1"/>
      <c r="D1764" s="2"/>
      <c r="E1764" s="2"/>
      <c r="F1764" s="2"/>
      <c r="G1764" s="2"/>
      <c r="H1764" s="2"/>
      <c r="I1764" s="2"/>
    </row>
    <row r="1765">
      <c r="A1765" s="2" t="s">
        <v>1762</v>
      </c>
      <c r="B1765" s="2" t="s">
        <v>1753</v>
      </c>
      <c r="C1765" s="1"/>
      <c r="D1765" s="2"/>
      <c r="E1765" s="2"/>
      <c r="F1765" s="2"/>
      <c r="G1765" s="2"/>
      <c r="H1765" s="2"/>
      <c r="I1765" s="2"/>
    </row>
    <row r="1766">
      <c r="A1766" s="2" t="s">
        <v>1763</v>
      </c>
      <c r="B1766" s="2" t="s">
        <v>1753</v>
      </c>
      <c r="C1766" s="1"/>
      <c r="D1766" s="2"/>
      <c r="E1766" s="2"/>
      <c r="F1766" s="2"/>
      <c r="G1766" s="2"/>
      <c r="H1766" s="2"/>
      <c r="I1766" s="2"/>
    </row>
    <row r="1767">
      <c r="A1767" s="2" t="s">
        <v>1764</v>
      </c>
      <c r="B1767" s="2" t="s">
        <v>1753</v>
      </c>
      <c r="C1767" s="1"/>
      <c r="D1767" s="2"/>
      <c r="E1767" s="2"/>
      <c r="F1767" s="2"/>
      <c r="G1767" s="2"/>
      <c r="H1767" s="2"/>
      <c r="I1767" s="2"/>
    </row>
    <row r="1768">
      <c r="A1768" s="2" t="s">
        <v>1765</v>
      </c>
      <c r="B1768" s="2" t="s">
        <v>1753</v>
      </c>
      <c r="C1768" s="1"/>
      <c r="D1768" s="2"/>
      <c r="E1768" s="2"/>
      <c r="F1768" s="2"/>
      <c r="G1768" s="2"/>
      <c r="H1768" s="2"/>
      <c r="I1768" s="2"/>
    </row>
    <row r="1769">
      <c r="A1769" s="2" t="s">
        <v>1766</v>
      </c>
      <c r="B1769" s="2" t="s">
        <v>1753</v>
      </c>
      <c r="C1769" s="1"/>
      <c r="D1769" s="2"/>
      <c r="E1769" s="2"/>
      <c r="F1769" s="2"/>
      <c r="G1769" s="2"/>
      <c r="H1769" s="2"/>
      <c r="I1769" s="2"/>
    </row>
    <row r="1770">
      <c r="A1770" s="2" t="s">
        <v>1767</v>
      </c>
      <c r="B1770" s="2" t="s">
        <v>1753</v>
      </c>
      <c r="C1770" s="2"/>
      <c r="D1770" s="1" t="s">
        <v>11</v>
      </c>
      <c r="E1770" s="2">
        <v>4.0</v>
      </c>
      <c r="F1770" s="2" t="s">
        <v>12</v>
      </c>
      <c r="G1770" s="2"/>
      <c r="H1770" s="2"/>
      <c r="I1770" s="2"/>
    </row>
    <row r="1771">
      <c r="A1771" s="2" t="s">
        <v>1768</v>
      </c>
      <c r="B1771" s="2" t="s">
        <v>1753</v>
      </c>
      <c r="C1771" s="1"/>
      <c r="D1771" s="2"/>
      <c r="E1771" s="2"/>
      <c r="F1771" s="2"/>
      <c r="G1771" s="2"/>
      <c r="H1771" s="2"/>
      <c r="I1771" s="2"/>
    </row>
    <row r="1772">
      <c r="A1772" s="2" t="s">
        <v>1769</v>
      </c>
      <c r="B1772" s="2" t="s">
        <v>1753</v>
      </c>
      <c r="C1772" s="1"/>
      <c r="D1772" s="2"/>
      <c r="E1772" s="2"/>
      <c r="F1772" s="2"/>
      <c r="G1772" s="2"/>
      <c r="H1772" s="2"/>
      <c r="I1772" s="2"/>
    </row>
    <row r="1773">
      <c r="A1773" s="2" t="s">
        <v>1770</v>
      </c>
      <c r="B1773" s="2" t="s">
        <v>1753</v>
      </c>
      <c r="C1773" s="2"/>
      <c r="D1773" s="2" t="s">
        <v>11</v>
      </c>
      <c r="E1773" s="2">
        <v>10.0</v>
      </c>
      <c r="F1773" s="2" t="s">
        <v>12</v>
      </c>
      <c r="G1773" s="2"/>
      <c r="H1773" s="2"/>
      <c r="I1773" s="2"/>
    </row>
    <row r="1774">
      <c r="A1774" s="2" t="s">
        <v>1771</v>
      </c>
      <c r="B1774" s="2" t="s">
        <v>1753</v>
      </c>
      <c r="C1774" s="1"/>
      <c r="D1774" s="2"/>
      <c r="E1774" s="2"/>
      <c r="F1774" s="2"/>
      <c r="G1774" s="2"/>
      <c r="H1774" s="2"/>
      <c r="I1774" s="2"/>
    </row>
    <row r="1775">
      <c r="A1775" s="2" t="s">
        <v>1772</v>
      </c>
      <c r="B1775" s="2" t="s">
        <v>1753</v>
      </c>
      <c r="C1775" s="1"/>
      <c r="D1775" s="2"/>
      <c r="E1775" s="2"/>
      <c r="F1775" s="2"/>
      <c r="G1775" s="2"/>
      <c r="H1775" s="2"/>
      <c r="I1775" s="2"/>
    </row>
    <row r="1776">
      <c r="A1776" s="2" t="s">
        <v>1773</v>
      </c>
      <c r="B1776" s="2" t="s">
        <v>1753</v>
      </c>
      <c r="C1776" s="2"/>
      <c r="D1776" s="2" t="s">
        <v>11</v>
      </c>
      <c r="E1776" s="2">
        <v>10.0</v>
      </c>
      <c r="F1776" s="2" t="s">
        <v>12</v>
      </c>
      <c r="G1776" s="2"/>
      <c r="H1776" s="2"/>
      <c r="I1776" s="2"/>
    </row>
    <row r="1777">
      <c r="A1777" s="2" t="s">
        <v>1774</v>
      </c>
      <c r="B1777" s="2" t="s">
        <v>1753</v>
      </c>
      <c r="C1777" s="1"/>
      <c r="D1777" s="2"/>
      <c r="E1777" s="2"/>
      <c r="F1777" s="2"/>
      <c r="G1777" s="2"/>
      <c r="H1777" s="2"/>
      <c r="I1777" s="2"/>
    </row>
    <row r="1778">
      <c r="A1778" s="2" t="s">
        <v>1775</v>
      </c>
      <c r="B1778" s="2" t="s">
        <v>1753</v>
      </c>
      <c r="C1778" s="1"/>
      <c r="D1778" s="2"/>
      <c r="E1778" s="2"/>
      <c r="F1778" s="2"/>
      <c r="G1778" s="2"/>
      <c r="H1778" s="2"/>
      <c r="I1778" s="2"/>
    </row>
    <row r="1779">
      <c r="A1779" s="2" t="s">
        <v>1776</v>
      </c>
      <c r="B1779" s="2" t="s">
        <v>1753</v>
      </c>
      <c r="C1779" s="1"/>
      <c r="D1779" s="2"/>
      <c r="E1779" s="2"/>
      <c r="F1779" s="2"/>
      <c r="G1779" s="2"/>
      <c r="H1779" s="2"/>
      <c r="I1779" s="2"/>
    </row>
    <row r="1780">
      <c r="A1780" s="2" t="s">
        <v>1777</v>
      </c>
      <c r="B1780" s="2" t="s">
        <v>1753</v>
      </c>
      <c r="C1780" s="1"/>
      <c r="D1780" s="2"/>
      <c r="E1780" s="2"/>
      <c r="F1780" s="2"/>
      <c r="G1780" s="2"/>
      <c r="H1780" s="2"/>
      <c r="I1780" s="2"/>
    </row>
    <row r="1781">
      <c r="A1781" s="2" t="s">
        <v>1778</v>
      </c>
      <c r="B1781" s="2" t="s">
        <v>1753</v>
      </c>
      <c r="C1781" s="1"/>
      <c r="D1781" s="2"/>
      <c r="E1781" s="2"/>
      <c r="F1781" s="2"/>
      <c r="G1781" s="2"/>
      <c r="H1781" s="2"/>
      <c r="I1781" s="2"/>
    </row>
    <row r="1782">
      <c r="A1782" s="2" t="s">
        <v>1779</v>
      </c>
      <c r="B1782" s="2" t="s">
        <v>1753</v>
      </c>
      <c r="C1782" s="1"/>
      <c r="D1782" s="2"/>
      <c r="E1782" s="2"/>
      <c r="F1782" s="2"/>
      <c r="G1782" s="2"/>
      <c r="H1782" s="2"/>
      <c r="I1782" s="2"/>
    </row>
    <row r="1783">
      <c r="A1783" s="1" t="s">
        <v>1780</v>
      </c>
      <c r="B1783" s="2" t="s">
        <v>1753</v>
      </c>
      <c r="C1783" s="2"/>
      <c r="D1783" s="2" t="s">
        <v>37</v>
      </c>
      <c r="E1783" s="2">
        <v>10.0</v>
      </c>
      <c r="F1783" s="2" t="s">
        <v>12</v>
      </c>
      <c r="G1783" s="2"/>
      <c r="H1783" s="2"/>
      <c r="I1783" s="2"/>
    </row>
    <row r="1784">
      <c r="A1784" s="1" t="s">
        <v>1781</v>
      </c>
      <c r="B1784" s="2" t="s">
        <v>1753</v>
      </c>
      <c r="C1784" s="2"/>
      <c r="D1784" s="2" t="s">
        <v>37</v>
      </c>
      <c r="E1784" s="2">
        <v>10.0</v>
      </c>
      <c r="F1784" s="2" t="s">
        <v>12</v>
      </c>
      <c r="G1784" s="2"/>
      <c r="H1784" s="2"/>
      <c r="I1784" s="2"/>
    </row>
    <row r="1785">
      <c r="A1785" s="2" t="s">
        <v>1782</v>
      </c>
      <c r="B1785" s="2" t="s">
        <v>1753</v>
      </c>
      <c r="C1785" s="1"/>
      <c r="D1785" s="2"/>
      <c r="E1785" s="2"/>
      <c r="F1785" s="2"/>
      <c r="G1785" s="2"/>
      <c r="H1785" s="2"/>
      <c r="I1785" s="2"/>
    </row>
    <row r="1786">
      <c r="A1786" s="2" t="s">
        <v>1783</v>
      </c>
      <c r="B1786" s="2" t="s">
        <v>1753</v>
      </c>
      <c r="C1786" s="1"/>
      <c r="D1786" s="2"/>
      <c r="E1786" s="2"/>
      <c r="F1786" s="2"/>
      <c r="G1786" s="2"/>
      <c r="H1786" s="2"/>
      <c r="I1786" s="2"/>
    </row>
    <row r="1787">
      <c r="A1787" s="2" t="s">
        <v>1784</v>
      </c>
      <c r="B1787" s="2" t="s">
        <v>1753</v>
      </c>
      <c r="C1787" s="1"/>
      <c r="D1787" s="2"/>
      <c r="E1787" s="2"/>
      <c r="F1787" s="2"/>
      <c r="G1787" s="2"/>
      <c r="H1787" s="2"/>
      <c r="I1787" s="2"/>
    </row>
    <row r="1788">
      <c r="A1788" s="2" t="s">
        <v>1785</v>
      </c>
      <c r="B1788" s="2" t="s">
        <v>1753</v>
      </c>
      <c r="C1788" s="1"/>
      <c r="D1788" s="2"/>
      <c r="E1788" s="2"/>
      <c r="F1788" s="2"/>
      <c r="G1788" s="2"/>
      <c r="H1788" s="2"/>
      <c r="I1788" s="2"/>
    </row>
    <row r="1789">
      <c r="A1789" s="2" t="s">
        <v>1786</v>
      </c>
      <c r="B1789" s="2" t="s">
        <v>1753</v>
      </c>
      <c r="C1789" s="1"/>
      <c r="D1789" s="2"/>
      <c r="E1789" s="2"/>
      <c r="F1789" s="2"/>
      <c r="G1789" s="2"/>
      <c r="H1789" s="2"/>
      <c r="I1789" s="2"/>
    </row>
    <row r="1790">
      <c r="A1790" s="2" t="s">
        <v>1787</v>
      </c>
      <c r="B1790" s="2" t="s">
        <v>1753</v>
      </c>
      <c r="C1790" s="1"/>
      <c r="D1790" s="2"/>
      <c r="E1790" s="2"/>
      <c r="F1790" s="2"/>
      <c r="G1790" s="2"/>
      <c r="H1790" s="2"/>
      <c r="I1790" s="2"/>
    </row>
    <row r="1791">
      <c r="A1791" s="2" t="s">
        <v>1788</v>
      </c>
      <c r="B1791" s="2" t="s">
        <v>1753</v>
      </c>
      <c r="C1791" s="2"/>
      <c r="D1791" s="2" t="s">
        <v>11</v>
      </c>
      <c r="E1791" s="2">
        <v>10.0</v>
      </c>
      <c r="F1791" s="2" t="s">
        <v>12</v>
      </c>
      <c r="G1791" s="2"/>
      <c r="H1791" s="2"/>
      <c r="I1791" s="2"/>
    </row>
    <row r="1792">
      <c r="A1792" s="2" t="s">
        <v>1789</v>
      </c>
      <c r="B1792" s="2" t="s">
        <v>1753</v>
      </c>
      <c r="C1792" s="1"/>
      <c r="D1792" s="2"/>
      <c r="E1792" s="2"/>
      <c r="F1792" s="2"/>
      <c r="G1792" s="2"/>
      <c r="H1792" s="2"/>
      <c r="I1792" s="2"/>
    </row>
    <row r="1793">
      <c r="A1793" s="2" t="s">
        <v>1790</v>
      </c>
      <c r="B1793" s="2" t="s">
        <v>1753</v>
      </c>
      <c r="C1793" s="2"/>
      <c r="D1793" s="2" t="s">
        <v>37</v>
      </c>
      <c r="E1793" s="2">
        <v>10.0</v>
      </c>
      <c r="F1793" s="2" t="s">
        <v>12</v>
      </c>
      <c r="G1793" s="2"/>
      <c r="H1793" s="2"/>
      <c r="I1793" s="2"/>
    </row>
    <row r="1794">
      <c r="A1794" s="2" t="s">
        <v>1791</v>
      </c>
      <c r="B1794" s="2" t="s">
        <v>1753</v>
      </c>
      <c r="C1794" s="1"/>
      <c r="D1794" s="2"/>
      <c r="E1794" s="2"/>
      <c r="F1794" s="2"/>
      <c r="G1794" s="2"/>
      <c r="H1794" s="2"/>
      <c r="I1794" s="2"/>
    </row>
    <row r="1795">
      <c r="A1795" s="2" t="s">
        <v>1792</v>
      </c>
      <c r="B1795" s="2" t="s">
        <v>1753</v>
      </c>
      <c r="C1795" s="1"/>
      <c r="D1795" s="2"/>
      <c r="E1795" s="2"/>
      <c r="F1795" s="2"/>
      <c r="G1795" s="2"/>
      <c r="H1795" s="2"/>
      <c r="I1795" s="2"/>
    </row>
    <row r="1796">
      <c r="A1796" s="2" t="s">
        <v>1793</v>
      </c>
      <c r="B1796" s="2" t="s">
        <v>1753</v>
      </c>
      <c r="C1796" s="1"/>
      <c r="D1796" s="2"/>
      <c r="E1796" s="2"/>
      <c r="F1796" s="2"/>
      <c r="G1796" s="2"/>
      <c r="H1796" s="2"/>
      <c r="I1796" s="2"/>
    </row>
    <row r="1797">
      <c r="A1797" s="2" t="s">
        <v>1794</v>
      </c>
      <c r="B1797" s="2" t="s">
        <v>1753</v>
      </c>
      <c r="C1797" s="1"/>
      <c r="D1797" s="2"/>
      <c r="E1797" s="2"/>
      <c r="F1797" s="2"/>
      <c r="G1797" s="2"/>
      <c r="H1797" s="2"/>
      <c r="I1797" s="2"/>
    </row>
    <row r="1798">
      <c r="A1798" s="2" t="s">
        <v>1795</v>
      </c>
      <c r="B1798" s="2" t="s">
        <v>1753</v>
      </c>
      <c r="C1798" s="2"/>
      <c r="D1798" s="2" t="s">
        <v>11</v>
      </c>
      <c r="E1798" s="2">
        <v>3.0</v>
      </c>
      <c r="F1798" s="2" t="s">
        <v>12</v>
      </c>
      <c r="G1798" s="2"/>
      <c r="H1798" s="2"/>
      <c r="I1798" s="2"/>
    </row>
    <row r="1799">
      <c r="A1799" s="1" t="s">
        <v>1796</v>
      </c>
      <c r="B1799" s="2" t="s">
        <v>1753</v>
      </c>
      <c r="C1799" s="2"/>
      <c r="D1799" s="2" t="s">
        <v>11</v>
      </c>
      <c r="E1799" s="2">
        <v>7.0</v>
      </c>
      <c r="F1799" s="2" t="s">
        <v>12</v>
      </c>
      <c r="G1799" s="2"/>
      <c r="H1799" s="2"/>
      <c r="I1799" s="2"/>
    </row>
    <row r="1800">
      <c r="A1800" s="2" t="s">
        <v>1797</v>
      </c>
      <c r="B1800" s="2" t="s">
        <v>1753</v>
      </c>
      <c r="C1800" s="1"/>
      <c r="D1800" s="2"/>
      <c r="E1800" s="2"/>
      <c r="F1800" s="2"/>
      <c r="G1800" s="2"/>
      <c r="H1800" s="2"/>
      <c r="I1800" s="2"/>
    </row>
    <row r="1801">
      <c r="A1801" s="2" t="s">
        <v>1798</v>
      </c>
      <c r="B1801" s="2" t="s">
        <v>1799</v>
      </c>
      <c r="C1801" s="2"/>
      <c r="D1801" s="2" t="s">
        <v>37</v>
      </c>
      <c r="E1801" s="2">
        <v>10.0</v>
      </c>
      <c r="F1801" s="2" t="s">
        <v>12</v>
      </c>
      <c r="G1801" s="2"/>
      <c r="H1801" s="2"/>
      <c r="I1801" s="2"/>
    </row>
    <row r="1802">
      <c r="A1802" s="1" t="s">
        <v>1800</v>
      </c>
      <c r="B1802" s="2" t="s">
        <v>1799</v>
      </c>
      <c r="C1802" s="2"/>
      <c r="D1802" s="2" t="s">
        <v>11</v>
      </c>
      <c r="E1802" s="2">
        <v>3.0</v>
      </c>
      <c r="F1802" s="2" t="s">
        <v>12</v>
      </c>
      <c r="G1802" s="2"/>
      <c r="H1802" s="2"/>
      <c r="I1802" s="2"/>
    </row>
    <row r="1803">
      <c r="A1803" s="2" t="s">
        <v>1801</v>
      </c>
      <c r="B1803" s="2" t="s">
        <v>1799</v>
      </c>
      <c r="C1803" s="1"/>
      <c r="D1803" s="2"/>
      <c r="E1803" s="2"/>
      <c r="F1803" s="2"/>
      <c r="G1803" s="2"/>
      <c r="H1803" s="2"/>
      <c r="I1803" s="2"/>
    </row>
    <row r="1804">
      <c r="A1804" s="2" t="s">
        <v>1802</v>
      </c>
      <c r="B1804" s="2" t="s">
        <v>1799</v>
      </c>
      <c r="C1804" s="1"/>
      <c r="D1804" s="2"/>
      <c r="E1804" s="2"/>
      <c r="F1804" s="2"/>
      <c r="G1804" s="2"/>
      <c r="H1804" s="2"/>
      <c r="I1804" s="2"/>
    </row>
    <row r="1805">
      <c r="A1805" s="2" t="s">
        <v>1803</v>
      </c>
      <c r="B1805" s="2" t="s">
        <v>1799</v>
      </c>
      <c r="C1805" s="1"/>
      <c r="D1805" s="2"/>
      <c r="E1805" s="2"/>
      <c r="F1805" s="2"/>
      <c r="G1805" s="2"/>
      <c r="H1805" s="2"/>
      <c r="I1805" s="2"/>
    </row>
    <row r="1806">
      <c r="A1806" s="1" t="s">
        <v>1804</v>
      </c>
      <c r="B1806" s="2" t="s">
        <v>1799</v>
      </c>
      <c r="C1806" s="2"/>
      <c r="D1806" s="2" t="s">
        <v>11</v>
      </c>
      <c r="E1806" s="2">
        <v>10.0</v>
      </c>
      <c r="F1806" s="2" t="s">
        <v>12</v>
      </c>
      <c r="G1806" s="2"/>
      <c r="H1806" s="2"/>
      <c r="I1806" s="2"/>
    </row>
    <row r="1807">
      <c r="A1807" s="2" t="s">
        <v>1805</v>
      </c>
      <c r="B1807" s="2" t="s">
        <v>1799</v>
      </c>
      <c r="C1807" s="1"/>
      <c r="D1807" s="2"/>
      <c r="E1807" s="2"/>
      <c r="F1807" s="2"/>
      <c r="G1807" s="2"/>
      <c r="H1807" s="2"/>
      <c r="I1807" s="2"/>
    </row>
    <row r="1808">
      <c r="A1808" s="1" t="s">
        <v>1806</v>
      </c>
      <c r="B1808" s="2" t="s">
        <v>1799</v>
      </c>
      <c r="C1808" s="2"/>
      <c r="D1808" s="2" t="s">
        <v>11</v>
      </c>
      <c r="E1808" s="2">
        <v>10.0</v>
      </c>
      <c r="F1808" s="2" t="s">
        <v>12</v>
      </c>
      <c r="G1808" s="2"/>
      <c r="H1808" s="2"/>
      <c r="I1808" s="2"/>
    </row>
    <row r="1809">
      <c r="A1809" s="2" t="s">
        <v>1807</v>
      </c>
      <c r="B1809" s="2" t="s">
        <v>1799</v>
      </c>
      <c r="C1809" s="2"/>
      <c r="D1809" s="2" t="s">
        <v>11</v>
      </c>
      <c r="E1809" s="2">
        <v>10.0</v>
      </c>
      <c r="F1809" s="2" t="s">
        <v>12</v>
      </c>
      <c r="G1809" s="2"/>
      <c r="H1809" s="2"/>
      <c r="I1809" s="2"/>
    </row>
    <row r="1810">
      <c r="A1810" s="2" t="s">
        <v>1808</v>
      </c>
      <c r="B1810" s="2" t="s">
        <v>1799</v>
      </c>
      <c r="C1810" s="2"/>
      <c r="D1810" s="2" t="s">
        <v>37</v>
      </c>
      <c r="E1810" s="2">
        <v>10.0</v>
      </c>
      <c r="F1810" s="2" t="s">
        <v>12</v>
      </c>
      <c r="G1810" s="2"/>
      <c r="H1810" s="2"/>
      <c r="I1810" s="2"/>
    </row>
    <row r="1811">
      <c r="A1811" s="2" t="s">
        <v>1809</v>
      </c>
      <c r="B1811" s="2" t="s">
        <v>1799</v>
      </c>
      <c r="C1811" s="2"/>
      <c r="D1811" s="2" t="s">
        <v>37</v>
      </c>
      <c r="E1811" s="2">
        <v>10.0</v>
      </c>
      <c r="F1811" s="2" t="s">
        <v>12</v>
      </c>
      <c r="G1811" s="2"/>
      <c r="H1811" s="2"/>
      <c r="I1811" s="2"/>
    </row>
    <row r="1812">
      <c r="A1812" s="2" t="s">
        <v>1810</v>
      </c>
      <c r="B1812" s="2" t="s">
        <v>1799</v>
      </c>
      <c r="C1812" s="1"/>
      <c r="D1812" s="2"/>
      <c r="E1812" s="2"/>
      <c r="F1812" s="2"/>
      <c r="G1812" s="2"/>
      <c r="H1812" s="2"/>
      <c r="I1812" s="2"/>
    </row>
    <row r="1813">
      <c r="A1813" s="2" t="s">
        <v>1811</v>
      </c>
      <c r="B1813" s="2" t="s">
        <v>1799</v>
      </c>
      <c r="C1813" s="2"/>
      <c r="D1813" s="2" t="s">
        <v>11</v>
      </c>
      <c r="E1813" s="2">
        <v>10.0</v>
      </c>
      <c r="F1813" s="2" t="s">
        <v>12</v>
      </c>
      <c r="G1813" s="2"/>
      <c r="H1813" s="2"/>
      <c r="I1813" s="2"/>
    </row>
    <row r="1814">
      <c r="A1814" s="2" t="s">
        <v>1812</v>
      </c>
      <c r="B1814" s="2" t="s">
        <v>1799</v>
      </c>
      <c r="C1814" s="1"/>
      <c r="D1814" s="2"/>
      <c r="E1814" s="2"/>
      <c r="F1814" s="2"/>
      <c r="G1814" s="2"/>
      <c r="H1814" s="2"/>
      <c r="I1814" s="2"/>
    </row>
    <row r="1815">
      <c r="A1815" s="2" t="s">
        <v>1813</v>
      </c>
      <c r="B1815" s="2" t="s">
        <v>1799</v>
      </c>
      <c r="C1815" s="1"/>
      <c r="D1815" s="2"/>
      <c r="E1815" s="2"/>
      <c r="F1815" s="2"/>
      <c r="G1815" s="2"/>
      <c r="H1815" s="2"/>
      <c r="I1815" s="2"/>
    </row>
    <row r="1816">
      <c r="A1816" s="2" t="s">
        <v>1814</v>
      </c>
      <c r="B1816" s="2" t="s">
        <v>1799</v>
      </c>
      <c r="C1816" s="1"/>
      <c r="D1816" s="2"/>
      <c r="E1816" s="2"/>
      <c r="F1816" s="2"/>
      <c r="G1816" s="2"/>
      <c r="H1816" s="2"/>
      <c r="I1816" s="2"/>
    </row>
    <row r="1817">
      <c r="A1817" s="2" t="s">
        <v>1815</v>
      </c>
      <c r="B1817" s="2" t="s">
        <v>1799</v>
      </c>
      <c r="C1817" s="1"/>
      <c r="D1817" s="2"/>
      <c r="E1817" s="2"/>
      <c r="F1817" s="2"/>
      <c r="G1817" s="2"/>
      <c r="H1817" s="2"/>
      <c r="I1817" s="2"/>
    </row>
    <row r="1818">
      <c r="A1818" s="2" t="s">
        <v>1816</v>
      </c>
      <c r="B1818" s="2" t="s">
        <v>1799</v>
      </c>
      <c r="C1818" s="1"/>
      <c r="D1818" s="2"/>
      <c r="E1818" s="2"/>
      <c r="F1818" s="2"/>
      <c r="G1818" s="2"/>
      <c r="H1818" s="2"/>
      <c r="I1818" s="2"/>
    </row>
    <row r="1819">
      <c r="A1819" s="2" t="s">
        <v>1817</v>
      </c>
      <c r="B1819" s="2" t="s">
        <v>1799</v>
      </c>
      <c r="C1819" s="1"/>
      <c r="D1819" s="2"/>
      <c r="E1819" s="2"/>
      <c r="F1819" s="2"/>
      <c r="G1819" s="2"/>
      <c r="H1819" s="2"/>
      <c r="I1819" s="2"/>
    </row>
    <row r="1820">
      <c r="A1820" s="2" t="s">
        <v>1818</v>
      </c>
      <c r="B1820" s="2" t="s">
        <v>1799</v>
      </c>
      <c r="C1820" s="1"/>
      <c r="D1820" s="2"/>
      <c r="E1820" s="2"/>
      <c r="F1820" s="2"/>
      <c r="G1820" s="2"/>
      <c r="H1820" s="2"/>
      <c r="I1820" s="2"/>
    </row>
    <row r="1821">
      <c r="A1821" s="2" t="s">
        <v>1819</v>
      </c>
      <c r="B1821" s="2" t="s">
        <v>1799</v>
      </c>
      <c r="C1821" s="1"/>
      <c r="D1821" s="2"/>
      <c r="E1821" s="2"/>
      <c r="F1821" s="2"/>
      <c r="G1821" s="2"/>
      <c r="H1821" s="2"/>
      <c r="I1821" s="2"/>
    </row>
    <row r="1822">
      <c r="A1822" s="2" t="s">
        <v>1820</v>
      </c>
      <c r="B1822" s="2" t="s">
        <v>1799</v>
      </c>
      <c r="C1822" s="1"/>
      <c r="D1822" s="2"/>
      <c r="E1822" s="2"/>
      <c r="F1822" s="2"/>
      <c r="G1822" s="2"/>
      <c r="H1822" s="2"/>
      <c r="I1822" s="2"/>
    </row>
    <row r="1823">
      <c r="A1823" s="2" t="s">
        <v>1821</v>
      </c>
      <c r="B1823" s="2" t="s">
        <v>1799</v>
      </c>
      <c r="C1823" s="1"/>
      <c r="D1823" s="2"/>
      <c r="E1823" s="2"/>
      <c r="F1823" s="2"/>
      <c r="G1823" s="2"/>
      <c r="H1823" s="2"/>
      <c r="I1823" s="2"/>
    </row>
    <row r="1824">
      <c r="A1824" s="2" t="s">
        <v>1822</v>
      </c>
      <c r="B1824" s="2" t="s">
        <v>1799</v>
      </c>
      <c r="C1824" s="1"/>
      <c r="D1824" s="2"/>
      <c r="E1824" s="2"/>
      <c r="F1824" s="2"/>
      <c r="G1824" s="2"/>
      <c r="H1824" s="2"/>
      <c r="I1824" s="2"/>
    </row>
    <row r="1825">
      <c r="A1825" s="2" t="s">
        <v>1823</v>
      </c>
      <c r="B1825" s="2" t="s">
        <v>1799</v>
      </c>
      <c r="C1825" s="1"/>
      <c r="D1825" s="2"/>
      <c r="E1825" s="2"/>
      <c r="F1825" s="2"/>
      <c r="G1825" s="2"/>
      <c r="H1825" s="2"/>
      <c r="I1825" s="2"/>
    </row>
    <row r="1826">
      <c r="A1826" s="2" t="s">
        <v>1824</v>
      </c>
      <c r="B1826" s="2" t="s">
        <v>1799</v>
      </c>
      <c r="C1826" s="1"/>
      <c r="D1826" s="2"/>
      <c r="E1826" s="2"/>
      <c r="F1826" s="2"/>
      <c r="G1826" s="2"/>
      <c r="H1826" s="2"/>
      <c r="I1826" s="2"/>
    </row>
    <row r="1827">
      <c r="A1827" s="2" t="s">
        <v>1825</v>
      </c>
      <c r="B1827" s="2" t="s">
        <v>1799</v>
      </c>
      <c r="C1827" s="1"/>
      <c r="D1827" s="2"/>
      <c r="E1827" s="2"/>
      <c r="F1827" s="2"/>
      <c r="G1827" s="2"/>
      <c r="H1827" s="2"/>
      <c r="I1827" s="2"/>
    </row>
    <row r="1828">
      <c r="A1828" s="2" t="s">
        <v>1826</v>
      </c>
      <c r="B1828" s="2" t="s">
        <v>1799</v>
      </c>
      <c r="C1828" s="1"/>
      <c r="D1828" s="2"/>
      <c r="E1828" s="2"/>
      <c r="F1828" s="2"/>
      <c r="G1828" s="2"/>
      <c r="H1828" s="2"/>
      <c r="I1828" s="2"/>
    </row>
    <row r="1829">
      <c r="A1829" s="1" t="s">
        <v>1827</v>
      </c>
      <c r="B1829" s="2" t="s">
        <v>1799</v>
      </c>
      <c r="C1829" s="2"/>
      <c r="D1829" s="2" t="s">
        <v>11</v>
      </c>
      <c r="E1829" s="2">
        <v>10.0</v>
      </c>
      <c r="F1829" s="2" t="s">
        <v>12</v>
      </c>
      <c r="G1829" s="2"/>
      <c r="H1829" s="2"/>
      <c r="I1829" s="2"/>
    </row>
    <row r="1830">
      <c r="A1830" s="2" t="s">
        <v>1828</v>
      </c>
      <c r="B1830" s="2" t="s">
        <v>1799</v>
      </c>
      <c r="C1830" s="2"/>
      <c r="D1830" s="2" t="s">
        <v>37</v>
      </c>
      <c r="E1830" s="2">
        <v>10.0</v>
      </c>
      <c r="F1830" s="2" t="s">
        <v>12</v>
      </c>
      <c r="G1830" s="2"/>
      <c r="H1830" s="2"/>
      <c r="I1830" s="2"/>
    </row>
    <row r="1831">
      <c r="A1831" s="2" t="s">
        <v>1829</v>
      </c>
      <c r="B1831" s="2" t="s">
        <v>1799</v>
      </c>
      <c r="C1831" s="1"/>
      <c r="D1831" s="2"/>
      <c r="E1831" s="2"/>
      <c r="F1831" s="2"/>
      <c r="G1831" s="2"/>
      <c r="H1831" s="2"/>
      <c r="I1831" s="2"/>
    </row>
    <row r="1832">
      <c r="A1832" s="2" t="s">
        <v>1830</v>
      </c>
      <c r="B1832" s="2" t="s">
        <v>1799</v>
      </c>
      <c r="C1832" s="1"/>
      <c r="D1832" s="2"/>
      <c r="E1832" s="2"/>
      <c r="F1832" s="2"/>
      <c r="G1832" s="2"/>
      <c r="H1832" s="2"/>
      <c r="I1832" s="2"/>
    </row>
    <row r="1833">
      <c r="A1833" s="2" t="s">
        <v>1831</v>
      </c>
      <c r="B1833" s="2" t="s">
        <v>1799</v>
      </c>
      <c r="C1833" s="1"/>
      <c r="D1833" s="2"/>
      <c r="E1833" s="2"/>
      <c r="F1833" s="2"/>
      <c r="G1833" s="2"/>
      <c r="H1833" s="2"/>
      <c r="I1833" s="2"/>
    </row>
    <row r="1834">
      <c r="A1834" s="2" t="s">
        <v>1832</v>
      </c>
      <c r="B1834" s="2" t="s">
        <v>1799</v>
      </c>
      <c r="C1834" s="2"/>
      <c r="D1834" s="2" t="s">
        <v>11</v>
      </c>
      <c r="E1834" s="2">
        <v>10.0</v>
      </c>
      <c r="F1834" s="2" t="s">
        <v>12</v>
      </c>
      <c r="G1834" s="2"/>
      <c r="H1834" s="2"/>
      <c r="I1834" s="2"/>
    </row>
    <row r="1835">
      <c r="A1835" s="2" t="s">
        <v>1833</v>
      </c>
      <c r="B1835" s="2" t="s">
        <v>1834</v>
      </c>
      <c r="C1835" s="1"/>
      <c r="D1835" s="2"/>
      <c r="E1835" s="2"/>
      <c r="F1835" s="2"/>
      <c r="G1835" s="2"/>
      <c r="H1835" s="2"/>
      <c r="I1835" s="2"/>
    </row>
    <row r="1836">
      <c r="A1836" s="2" t="s">
        <v>1835</v>
      </c>
      <c r="B1836" s="2" t="s">
        <v>1834</v>
      </c>
      <c r="C1836" s="1"/>
      <c r="D1836" s="2"/>
      <c r="E1836" s="2"/>
      <c r="F1836" s="2"/>
      <c r="G1836" s="2"/>
      <c r="H1836" s="2"/>
      <c r="I1836" s="2"/>
    </row>
    <row r="1837">
      <c r="A1837" s="2" t="s">
        <v>1836</v>
      </c>
      <c r="B1837" s="2" t="s">
        <v>1834</v>
      </c>
      <c r="C1837" s="1"/>
      <c r="D1837" s="2"/>
      <c r="E1837" s="2"/>
      <c r="F1837" s="2"/>
      <c r="G1837" s="2"/>
      <c r="H1837" s="2"/>
      <c r="I1837" s="2"/>
    </row>
    <row r="1838">
      <c r="A1838" s="2" t="s">
        <v>1837</v>
      </c>
      <c r="B1838" s="2" t="s">
        <v>1834</v>
      </c>
      <c r="C1838" s="1"/>
      <c r="D1838" s="2"/>
      <c r="E1838" s="2"/>
      <c r="F1838" s="2"/>
      <c r="G1838" s="2"/>
      <c r="H1838" s="2"/>
      <c r="I1838" s="2"/>
    </row>
    <row r="1839">
      <c r="A1839" s="2" t="s">
        <v>1838</v>
      </c>
      <c r="B1839" s="2" t="s">
        <v>1834</v>
      </c>
      <c r="C1839" s="1"/>
      <c r="D1839" s="2"/>
      <c r="E1839" s="2"/>
      <c r="F1839" s="2"/>
      <c r="G1839" s="2"/>
      <c r="H1839" s="2"/>
      <c r="I1839" s="2"/>
    </row>
    <row r="1840">
      <c r="A1840" s="2" t="s">
        <v>1839</v>
      </c>
      <c r="B1840" s="2" t="s">
        <v>1834</v>
      </c>
      <c r="C1840" s="1"/>
      <c r="D1840" s="2"/>
      <c r="E1840" s="2"/>
      <c r="F1840" s="2"/>
      <c r="G1840" s="2"/>
      <c r="H1840" s="2"/>
      <c r="I1840" s="2"/>
    </row>
    <row r="1841">
      <c r="A1841" s="2" t="s">
        <v>1840</v>
      </c>
      <c r="B1841" s="2" t="s">
        <v>1834</v>
      </c>
      <c r="C1841" s="1"/>
      <c r="D1841" s="2"/>
      <c r="E1841" s="2"/>
      <c r="F1841" s="2"/>
      <c r="G1841" s="2"/>
      <c r="H1841" s="2"/>
      <c r="I1841" s="2"/>
    </row>
    <row r="1842">
      <c r="A1842" s="2" t="s">
        <v>1841</v>
      </c>
      <c r="B1842" s="2" t="s">
        <v>1834</v>
      </c>
      <c r="C1842" s="1"/>
      <c r="D1842" s="2"/>
      <c r="E1842" s="2"/>
      <c r="F1842" s="2"/>
      <c r="G1842" s="2"/>
      <c r="H1842" s="2"/>
      <c r="I1842" s="2"/>
    </row>
    <row r="1843">
      <c r="A1843" s="2" t="s">
        <v>1842</v>
      </c>
      <c r="B1843" s="2" t="s">
        <v>1834</v>
      </c>
      <c r="C1843" s="1"/>
      <c r="D1843" s="1" t="s">
        <v>300</v>
      </c>
      <c r="E1843" s="1" t="s">
        <v>731</v>
      </c>
      <c r="F1843" s="1" t="s">
        <v>302</v>
      </c>
      <c r="G1843" s="2"/>
      <c r="H1843" s="2"/>
      <c r="I1843" s="2"/>
    </row>
    <row r="1844">
      <c r="A1844" s="2" t="s">
        <v>1843</v>
      </c>
      <c r="B1844" s="2" t="s">
        <v>1834</v>
      </c>
      <c r="C1844" s="1"/>
      <c r="D1844" s="2"/>
      <c r="E1844" s="2"/>
      <c r="F1844" s="2"/>
      <c r="G1844" s="2"/>
      <c r="H1844" s="2"/>
      <c r="I1844" s="2"/>
    </row>
    <row r="1845">
      <c r="A1845" s="2" t="s">
        <v>1844</v>
      </c>
      <c r="B1845" s="2" t="s">
        <v>1834</v>
      </c>
      <c r="C1845" s="1"/>
      <c r="D1845" s="2"/>
      <c r="E1845" s="2"/>
      <c r="F1845" s="2"/>
      <c r="G1845" s="2"/>
      <c r="H1845" s="2"/>
      <c r="I1845" s="2"/>
    </row>
    <row r="1846">
      <c r="A1846" s="2" t="s">
        <v>1845</v>
      </c>
      <c r="B1846" s="2" t="s">
        <v>1834</v>
      </c>
      <c r="C1846" s="1"/>
      <c r="D1846" s="2"/>
      <c r="E1846" s="2"/>
      <c r="F1846" s="2"/>
      <c r="G1846" s="2"/>
      <c r="H1846" s="2"/>
      <c r="I1846" s="2"/>
    </row>
    <row r="1847">
      <c r="A1847" s="2" t="s">
        <v>1846</v>
      </c>
      <c r="B1847" s="2" t="s">
        <v>1834</v>
      </c>
      <c r="C1847" s="1"/>
      <c r="D1847" s="2"/>
      <c r="E1847" s="2"/>
      <c r="F1847" s="2"/>
      <c r="G1847" s="2"/>
      <c r="H1847" s="2"/>
      <c r="I1847" s="2"/>
    </row>
    <row r="1848">
      <c r="A1848" s="2" t="s">
        <v>1847</v>
      </c>
      <c r="B1848" s="2" t="s">
        <v>1834</v>
      </c>
      <c r="C1848" s="1"/>
      <c r="D1848" s="2"/>
      <c r="E1848" s="2"/>
      <c r="F1848" s="2"/>
      <c r="G1848" s="2"/>
      <c r="H1848" s="2"/>
      <c r="I1848" s="2"/>
    </row>
    <row r="1849">
      <c r="A1849" s="2" t="s">
        <v>1848</v>
      </c>
      <c r="B1849" s="2" t="s">
        <v>1834</v>
      </c>
      <c r="C1849" s="1"/>
      <c r="D1849" s="2"/>
      <c r="E1849" s="2"/>
      <c r="F1849" s="2"/>
      <c r="G1849" s="2"/>
      <c r="H1849" s="2"/>
      <c r="I1849" s="2"/>
    </row>
    <row r="1850">
      <c r="A1850" s="2" t="s">
        <v>1849</v>
      </c>
      <c r="B1850" s="2" t="s">
        <v>1834</v>
      </c>
      <c r="C1850" s="2"/>
      <c r="D1850" s="1" t="s">
        <v>22</v>
      </c>
      <c r="E1850" s="2">
        <v>1.0</v>
      </c>
      <c r="F1850" s="2" t="s">
        <v>22</v>
      </c>
      <c r="G1850" s="2"/>
      <c r="H1850" s="2"/>
      <c r="I1850" s="2"/>
    </row>
    <row r="1851">
      <c r="A1851" s="2" t="s">
        <v>1850</v>
      </c>
      <c r="B1851" s="2" t="s">
        <v>1834</v>
      </c>
      <c r="C1851" s="1"/>
      <c r="D1851" s="2"/>
      <c r="E1851" s="2"/>
      <c r="F1851" s="2"/>
      <c r="G1851" s="2"/>
      <c r="H1851" s="2"/>
      <c r="I1851" s="2"/>
    </row>
    <row r="1852">
      <c r="A1852" s="2" t="s">
        <v>1851</v>
      </c>
      <c r="B1852" s="2" t="s">
        <v>1834</v>
      </c>
      <c r="C1852" s="1"/>
      <c r="D1852" s="2"/>
      <c r="E1852" s="2"/>
      <c r="F1852" s="2"/>
      <c r="G1852" s="2"/>
      <c r="H1852" s="2"/>
      <c r="I1852" s="2"/>
    </row>
    <row r="1853">
      <c r="A1853" s="2" t="s">
        <v>1852</v>
      </c>
      <c r="B1853" s="2" t="s">
        <v>1834</v>
      </c>
      <c r="C1853" s="1"/>
      <c r="D1853" s="2"/>
      <c r="E1853" s="2"/>
      <c r="F1853" s="2"/>
      <c r="G1853" s="2"/>
      <c r="H1853" s="2"/>
      <c r="I1853" s="2"/>
    </row>
    <row r="1854">
      <c r="A1854" s="2" t="s">
        <v>1853</v>
      </c>
      <c r="B1854" s="2" t="s">
        <v>1834</v>
      </c>
      <c r="C1854" s="1"/>
      <c r="D1854" s="2"/>
      <c r="E1854" s="2"/>
      <c r="F1854" s="2"/>
      <c r="G1854" s="2"/>
      <c r="H1854" s="2"/>
      <c r="I1854" s="2"/>
    </row>
    <row r="1855">
      <c r="A1855" s="2" t="s">
        <v>1854</v>
      </c>
      <c r="B1855" s="2" t="s">
        <v>1834</v>
      </c>
      <c r="C1855" s="1"/>
      <c r="D1855" s="2"/>
      <c r="E1855" s="2"/>
      <c r="F1855" s="2"/>
      <c r="G1855" s="2"/>
      <c r="H1855" s="2"/>
      <c r="I1855" s="2"/>
    </row>
    <row r="1856">
      <c r="A1856" s="2" t="s">
        <v>1855</v>
      </c>
      <c r="B1856" s="2" t="s">
        <v>1834</v>
      </c>
      <c r="C1856" s="1"/>
      <c r="D1856" s="2"/>
      <c r="E1856" s="2"/>
      <c r="F1856" s="2"/>
      <c r="G1856" s="2"/>
      <c r="H1856" s="2"/>
      <c r="I1856" s="2"/>
    </row>
    <row r="1857">
      <c r="A1857" s="2" t="s">
        <v>1856</v>
      </c>
      <c r="B1857" s="2" t="s">
        <v>1834</v>
      </c>
      <c r="C1857" s="1"/>
      <c r="D1857" s="2"/>
      <c r="E1857" s="2"/>
      <c r="F1857" s="2"/>
      <c r="G1857" s="2"/>
      <c r="H1857" s="2"/>
      <c r="I1857" s="2"/>
    </row>
    <row r="1858">
      <c r="A1858" s="2" t="s">
        <v>1857</v>
      </c>
      <c r="B1858" s="2" t="s">
        <v>1834</v>
      </c>
      <c r="C1858" s="1"/>
      <c r="D1858" s="1" t="s">
        <v>300</v>
      </c>
      <c r="E1858" s="1" t="s">
        <v>731</v>
      </c>
      <c r="F1858" s="1" t="s">
        <v>302</v>
      </c>
      <c r="G1858" s="2"/>
      <c r="H1858" s="2"/>
      <c r="I1858" s="2"/>
    </row>
    <row r="1859">
      <c r="A1859" s="2" t="s">
        <v>1858</v>
      </c>
      <c r="B1859" s="2" t="s">
        <v>1834</v>
      </c>
      <c r="C1859" s="1"/>
      <c r="D1859" s="2"/>
      <c r="E1859" s="2"/>
      <c r="F1859" s="2"/>
      <c r="G1859" s="2"/>
      <c r="H1859" s="2"/>
      <c r="I1859" s="2"/>
    </row>
    <row r="1860">
      <c r="A1860" s="2" t="s">
        <v>1859</v>
      </c>
      <c r="B1860" s="2" t="s">
        <v>1834</v>
      </c>
      <c r="C1860" s="1"/>
      <c r="D1860" s="2"/>
      <c r="E1860" s="2"/>
      <c r="F1860" s="2"/>
      <c r="G1860" s="2"/>
      <c r="H1860" s="2"/>
      <c r="I1860" s="2"/>
    </row>
    <row r="1861">
      <c r="A1861" s="2" t="s">
        <v>1860</v>
      </c>
      <c r="B1861" s="2" t="s">
        <v>1834</v>
      </c>
      <c r="C1861" s="1"/>
      <c r="D1861" s="2"/>
      <c r="E1861" s="2"/>
      <c r="F1861" s="2"/>
      <c r="G1861" s="2"/>
      <c r="H1861" s="2"/>
      <c r="I1861" s="2"/>
    </row>
    <row r="1862">
      <c r="A1862" s="2" t="s">
        <v>1861</v>
      </c>
      <c r="B1862" s="2" t="s">
        <v>1834</v>
      </c>
      <c r="C1862" s="1"/>
      <c r="D1862" s="2"/>
      <c r="E1862" s="2"/>
      <c r="F1862" s="2"/>
      <c r="G1862" s="2"/>
      <c r="H1862" s="2"/>
      <c r="I1862" s="2"/>
    </row>
    <row r="1863">
      <c r="A1863" s="2" t="s">
        <v>1862</v>
      </c>
      <c r="B1863" s="2" t="s">
        <v>1834</v>
      </c>
      <c r="C1863" s="1"/>
      <c r="D1863" s="2"/>
      <c r="E1863" s="2"/>
      <c r="F1863" s="2"/>
      <c r="G1863" s="2"/>
      <c r="H1863" s="2"/>
      <c r="I1863" s="2"/>
    </row>
    <row r="1864">
      <c r="A1864" s="2" t="s">
        <v>1863</v>
      </c>
      <c r="B1864" s="2" t="s">
        <v>1834</v>
      </c>
      <c r="C1864" s="1"/>
      <c r="D1864" s="2"/>
      <c r="E1864" s="2"/>
      <c r="F1864" s="2"/>
      <c r="G1864" s="2"/>
      <c r="H1864" s="2"/>
      <c r="I1864" s="2"/>
    </row>
    <row r="1865">
      <c r="A1865" s="2" t="s">
        <v>1864</v>
      </c>
      <c r="B1865" s="2" t="s">
        <v>1834</v>
      </c>
      <c r="C1865" s="1"/>
      <c r="D1865" s="2"/>
      <c r="E1865" s="2"/>
      <c r="F1865" s="2"/>
      <c r="G1865" s="2"/>
      <c r="H1865" s="2"/>
      <c r="I1865" s="2"/>
    </row>
    <row r="1866">
      <c r="A1866" s="2" t="s">
        <v>1865</v>
      </c>
      <c r="B1866" s="2" t="s">
        <v>1834</v>
      </c>
      <c r="C1866" s="1"/>
      <c r="D1866" s="2"/>
      <c r="E1866" s="2"/>
      <c r="F1866" s="2"/>
      <c r="G1866" s="2"/>
      <c r="H1866" s="2"/>
      <c r="I1866" s="2"/>
    </row>
    <row r="1867">
      <c r="A1867" s="2" t="s">
        <v>1866</v>
      </c>
      <c r="B1867" s="2" t="s">
        <v>1834</v>
      </c>
      <c r="C1867" s="1"/>
      <c r="D1867" s="2"/>
      <c r="E1867" s="2"/>
      <c r="F1867" s="2"/>
      <c r="G1867" s="2"/>
      <c r="H1867" s="2"/>
      <c r="I1867" s="2"/>
    </row>
    <row r="1868">
      <c r="A1868" s="2" t="s">
        <v>1867</v>
      </c>
      <c r="B1868" s="2" t="s">
        <v>1834</v>
      </c>
      <c r="C1868" s="1"/>
      <c r="D1868" s="2"/>
      <c r="E1868" s="2"/>
      <c r="F1868" s="2"/>
      <c r="G1868" s="2"/>
      <c r="H1868" s="2"/>
      <c r="I1868" s="2"/>
    </row>
    <row r="1869">
      <c r="A1869" s="2" t="s">
        <v>1868</v>
      </c>
      <c r="B1869" s="2" t="s">
        <v>1834</v>
      </c>
      <c r="C1869" s="1"/>
      <c r="D1869" s="1" t="s">
        <v>300</v>
      </c>
      <c r="E1869" s="1" t="s">
        <v>731</v>
      </c>
      <c r="F1869" s="1" t="s">
        <v>302</v>
      </c>
      <c r="G1869" s="2"/>
      <c r="H1869" s="2"/>
      <c r="I1869" s="2"/>
    </row>
    <row r="1870">
      <c r="A1870" s="2" t="s">
        <v>1869</v>
      </c>
      <c r="B1870" s="2" t="s">
        <v>1834</v>
      </c>
      <c r="C1870" s="1"/>
      <c r="D1870" s="2"/>
      <c r="E1870" s="2"/>
      <c r="F1870" s="2"/>
      <c r="G1870" s="2"/>
      <c r="H1870" s="2"/>
      <c r="I1870" s="2"/>
    </row>
    <row r="1871">
      <c r="A1871" s="2" t="s">
        <v>1870</v>
      </c>
      <c r="B1871" s="2" t="s">
        <v>1834</v>
      </c>
      <c r="C1871" s="1"/>
      <c r="D1871" s="2"/>
      <c r="E1871" s="2"/>
      <c r="F1871" s="2"/>
      <c r="G1871" s="2"/>
      <c r="H1871" s="2"/>
      <c r="I1871" s="2"/>
    </row>
    <row r="1872">
      <c r="A1872" s="2" t="s">
        <v>1871</v>
      </c>
      <c r="B1872" s="2" t="s">
        <v>1834</v>
      </c>
      <c r="C1872" s="1"/>
      <c r="D1872" s="1" t="s">
        <v>300</v>
      </c>
      <c r="E1872" s="1" t="s">
        <v>731</v>
      </c>
      <c r="F1872" s="1" t="s">
        <v>302</v>
      </c>
      <c r="G1872" s="2"/>
      <c r="H1872" s="2"/>
      <c r="I1872" s="2"/>
    </row>
    <row r="1873">
      <c r="A1873" s="2" t="s">
        <v>1872</v>
      </c>
      <c r="B1873" s="2" t="s">
        <v>1834</v>
      </c>
      <c r="C1873" s="1"/>
      <c r="D1873" s="2"/>
      <c r="E1873" s="2"/>
      <c r="F1873" s="2"/>
      <c r="G1873" s="2"/>
      <c r="H1873" s="2"/>
      <c r="I1873" s="2"/>
    </row>
    <row r="1874">
      <c r="A1874" s="2" t="s">
        <v>1873</v>
      </c>
      <c r="B1874" s="2" t="s">
        <v>1874</v>
      </c>
      <c r="C1874" s="2"/>
      <c r="D1874" s="2" t="s">
        <v>11</v>
      </c>
      <c r="E1874" s="2">
        <v>10.0</v>
      </c>
      <c r="F1874" s="2" t="s">
        <v>12</v>
      </c>
      <c r="G1874" s="2"/>
      <c r="H1874" s="2"/>
      <c r="I1874" s="2"/>
    </row>
    <row r="1875">
      <c r="A1875" s="2" t="s">
        <v>1875</v>
      </c>
      <c r="B1875" s="2" t="s">
        <v>1874</v>
      </c>
      <c r="C1875" s="1"/>
      <c r="D1875" s="2"/>
      <c r="E1875" s="2"/>
      <c r="F1875" s="2"/>
      <c r="G1875" s="2"/>
      <c r="H1875" s="2"/>
      <c r="I1875" s="2"/>
    </row>
    <row r="1876">
      <c r="A1876" s="2" t="s">
        <v>1876</v>
      </c>
      <c r="B1876" s="2" t="s">
        <v>1874</v>
      </c>
      <c r="C1876" s="2"/>
      <c r="D1876" s="2" t="s">
        <v>11</v>
      </c>
      <c r="E1876" s="2">
        <v>10.0</v>
      </c>
      <c r="F1876" s="2" t="s">
        <v>12</v>
      </c>
      <c r="G1876" s="2"/>
      <c r="H1876" s="2"/>
      <c r="I1876" s="2"/>
    </row>
    <row r="1877">
      <c r="A1877" s="2" t="s">
        <v>1877</v>
      </c>
      <c r="B1877" s="2" t="s">
        <v>1874</v>
      </c>
      <c r="C1877" s="1"/>
      <c r="D1877" s="2"/>
      <c r="E1877" s="2"/>
      <c r="F1877" s="2"/>
      <c r="G1877" s="2"/>
      <c r="H1877" s="2"/>
      <c r="I1877" s="2"/>
    </row>
    <row r="1878">
      <c r="A1878" s="2" t="s">
        <v>1878</v>
      </c>
      <c r="B1878" s="2" t="s">
        <v>1874</v>
      </c>
      <c r="C1878" s="1"/>
      <c r="D1878" s="2"/>
      <c r="E1878" s="2"/>
      <c r="F1878" s="2"/>
      <c r="G1878" s="2"/>
      <c r="H1878" s="2"/>
      <c r="I1878" s="2"/>
    </row>
    <row r="1879">
      <c r="A1879" s="2" t="s">
        <v>1879</v>
      </c>
      <c r="B1879" s="2" t="s">
        <v>1874</v>
      </c>
      <c r="C1879" s="1"/>
      <c r="D1879" s="2"/>
      <c r="E1879" s="2"/>
      <c r="F1879" s="2"/>
      <c r="G1879" s="2"/>
      <c r="H1879" s="2"/>
      <c r="I1879" s="2"/>
    </row>
    <row r="1880">
      <c r="A1880" s="1" t="s">
        <v>1880</v>
      </c>
      <c r="B1880" s="2" t="s">
        <v>1874</v>
      </c>
      <c r="C1880" s="1"/>
      <c r="D1880" s="2"/>
      <c r="E1880" s="2"/>
      <c r="F1880" s="2"/>
      <c r="G1880" s="2"/>
      <c r="H1880" s="2"/>
      <c r="I1880" s="2"/>
    </row>
    <row r="1881">
      <c r="A1881" s="1" t="s">
        <v>1881</v>
      </c>
      <c r="B1881" s="2" t="s">
        <v>1874</v>
      </c>
      <c r="C1881" s="1"/>
      <c r="D1881" s="2"/>
      <c r="E1881" s="2"/>
      <c r="F1881" s="2"/>
      <c r="G1881" s="2"/>
      <c r="H1881" s="2"/>
      <c r="I1881" s="2"/>
    </row>
    <row r="1882">
      <c r="A1882" s="1" t="s">
        <v>1882</v>
      </c>
      <c r="B1882" s="2" t="s">
        <v>1874</v>
      </c>
      <c r="C1882" s="2"/>
      <c r="D1882" s="2" t="s">
        <v>11</v>
      </c>
      <c r="E1882" s="2">
        <v>10.0</v>
      </c>
      <c r="F1882" s="2" t="s">
        <v>12</v>
      </c>
      <c r="G1882" s="2"/>
      <c r="H1882" s="2"/>
      <c r="I1882" s="2"/>
    </row>
    <row r="1883">
      <c r="A1883" s="1" t="s">
        <v>1883</v>
      </c>
      <c r="B1883" s="2" t="s">
        <v>1874</v>
      </c>
      <c r="C1883" s="1"/>
      <c r="D1883" s="2"/>
      <c r="E1883" s="2"/>
      <c r="F1883" s="2"/>
      <c r="G1883" s="2"/>
      <c r="H1883" s="2"/>
      <c r="I1883" s="2"/>
    </row>
    <row r="1884">
      <c r="A1884" s="1" t="s">
        <v>1884</v>
      </c>
      <c r="B1884" s="2" t="s">
        <v>1874</v>
      </c>
      <c r="C1884" s="1"/>
      <c r="D1884" s="2"/>
      <c r="E1884" s="2"/>
      <c r="F1884" s="2"/>
      <c r="G1884" s="2"/>
      <c r="H1884" s="2"/>
      <c r="I1884" s="2"/>
    </row>
    <row r="1885">
      <c r="A1885" s="1" t="s">
        <v>1885</v>
      </c>
      <c r="B1885" s="2" t="s">
        <v>1874</v>
      </c>
      <c r="C1885" s="2"/>
      <c r="D1885" s="2" t="s">
        <v>11</v>
      </c>
      <c r="E1885" s="2">
        <v>10.0</v>
      </c>
      <c r="F1885" s="2" t="s">
        <v>12</v>
      </c>
      <c r="G1885" s="2"/>
      <c r="H1885" s="2"/>
      <c r="I1885" s="2"/>
    </row>
    <row r="1886">
      <c r="A1886" s="2" t="s">
        <v>1886</v>
      </c>
      <c r="B1886" s="2" t="s">
        <v>1874</v>
      </c>
      <c r="C1886" s="1"/>
      <c r="D1886" s="2"/>
      <c r="E1886" s="2"/>
      <c r="F1886" s="2"/>
      <c r="G1886" s="2"/>
      <c r="H1886" s="2"/>
      <c r="I1886" s="2"/>
    </row>
    <row r="1887">
      <c r="A1887" s="1" t="s">
        <v>1887</v>
      </c>
      <c r="B1887" s="2" t="s">
        <v>1874</v>
      </c>
      <c r="C1887" s="1"/>
      <c r="D1887" s="2"/>
      <c r="E1887" s="2"/>
      <c r="F1887" s="2"/>
      <c r="G1887" s="2"/>
      <c r="H1887" s="2"/>
      <c r="I1887" s="2"/>
    </row>
    <row r="1888">
      <c r="A1888" s="1" t="s">
        <v>1888</v>
      </c>
      <c r="B1888" s="2" t="s">
        <v>1874</v>
      </c>
      <c r="C1888" s="2"/>
      <c r="D1888" s="2" t="s">
        <v>11</v>
      </c>
      <c r="E1888" s="2">
        <v>10.0</v>
      </c>
      <c r="F1888" s="2" t="s">
        <v>12</v>
      </c>
      <c r="G1888" s="2"/>
      <c r="H1888" s="2"/>
      <c r="I1888" s="2"/>
    </row>
    <row r="1889">
      <c r="A1889" s="1" t="s">
        <v>1889</v>
      </c>
      <c r="B1889" s="2" t="s">
        <v>1874</v>
      </c>
      <c r="C1889" s="1"/>
      <c r="D1889" s="2"/>
      <c r="E1889" s="2"/>
      <c r="F1889" s="2"/>
      <c r="G1889" s="2"/>
      <c r="H1889" s="2"/>
      <c r="I1889" s="2"/>
    </row>
    <row r="1890">
      <c r="A1890" s="2" t="s">
        <v>1890</v>
      </c>
      <c r="B1890" s="2" t="s">
        <v>1874</v>
      </c>
      <c r="C1890" s="1"/>
      <c r="D1890" s="2"/>
      <c r="E1890" s="2"/>
      <c r="F1890" s="2"/>
      <c r="G1890" s="2"/>
      <c r="H1890" s="2"/>
      <c r="I1890" s="2"/>
    </row>
    <row r="1891">
      <c r="A1891" s="2" t="s">
        <v>1891</v>
      </c>
      <c r="B1891" s="2" t="s">
        <v>1874</v>
      </c>
      <c r="C1891" s="1"/>
      <c r="D1891" s="2"/>
      <c r="E1891" s="2"/>
      <c r="F1891" s="2"/>
      <c r="G1891" s="2"/>
      <c r="H1891" s="2"/>
      <c r="I1891" s="2"/>
    </row>
    <row r="1892">
      <c r="A1892" s="2" t="s">
        <v>1892</v>
      </c>
      <c r="B1892" s="2" t="s">
        <v>1874</v>
      </c>
      <c r="C1892" s="2"/>
      <c r="D1892" s="2" t="s">
        <v>11</v>
      </c>
      <c r="E1892" s="2">
        <v>10.0</v>
      </c>
      <c r="F1892" s="2" t="s">
        <v>12</v>
      </c>
      <c r="G1892" s="2"/>
      <c r="H1892" s="2"/>
      <c r="I1892" s="2"/>
    </row>
    <row r="1893">
      <c r="A1893" s="2" t="s">
        <v>1893</v>
      </c>
      <c r="B1893" s="2" t="s">
        <v>1874</v>
      </c>
      <c r="C1893" s="2"/>
      <c r="D1893" s="2" t="s">
        <v>11</v>
      </c>
      <c r="E1893" s="2">
        <v>10.0</v>
      </c>
      <c r="F1893" s="2" t="s">
        <v>12</v>
      </c>
      <c r="G1893" s="2"/>
      <c r="H1893" s="2"/>
      <c r="I1893" s="2"/>
    </row>
    <row r="1894">
      <c r="A1894" s="1" t="s">
        <v>1894</v>
      </c>
      <c r="B1894" s="2" t="s">
        <v>1874</v>
      </c>
      <c r="C1894" s="1"/>
      <c r="D1894" s="2"/>
      <c r="E1894" s="2"/>
      <c r="F1894" s="2"/>
      <c r="G1894" s="2"/>
      <c r="H1894" s="2"/>
      <c r="I1894" s="2"/>
    </row>
    <row r="1895">
      <c r="A1895" s="1" t="s">
        <v>1895</v>
      </c>
      <c r="B1895" s="2" t="s">
        <v>1874</v>
      </c>
      <c r="C1895" s="1"/>
      <c r="D1895" s="2"/>
      <c r="E1895" s="2"/>
      <c r="F1895" s="2"/>
      <c r="G1895" s="2"/>
      <c r="H1895" s="2"/>
      <c r="I1895" s="2"/>
    </row>
    <row r="1896">
      <c r="A1896" s="1" t="s">
        <v>1896</v>
      </c>
      <c r="B1896" s="2" t="s">
        <v>1874</v>
      </c>
      <c r="C1896" s="2"/>
      <c r="D1896" s="2" t="s">
        <v>11</v>
      </c>
      <c r="E1896" s="2">
        <v>10.0</v>
      </c>
      <c r="F1896" s="2" t="s">
        <v>12</v>
      </c>
      <c r="G1896" s="2"/>
      <c r="H1896" s="2"/>
      <c r="I1896" s="2"/>
    </row>
    <row r="1897">
      <c r="A1897" s="1" t="s">
        <v>1897</v>
      </c>
      <c r="B1897" s="2" t="s">
        <v>1874</v>
      </c>
      <c r="C1897" s="2"/>
      <c r="D1897" s="2" t="s">
        <v>11</v>
      </c>
      <c r="E1897" s="2">
        <v>10.0</v>
      </c>
      <c r="F1897" s="2" t="s">
        <v>12</v>
      </c>
      <c r="G1897" s="2"/>
      <c r="H1897" s="2"/>
      <c r="I1897" s="2"/>
    </row>
    <row r="1898">
      <c r="A1898" s="1" t="s">
        <v>1898</v>
      </c>
      <c r="B1898" s="2" t="s">
        <v>1874</v>
      </c>
      <c r="C1898" s="1"/>
      <c r="D1898" s="2"/>
      <c r="E1898" s="2"/>
      <c r="F1898" s="2"/>
      <c r="G1898" s="2"/>
      <c r="H1898" s="2"/>
      <c r="I1898" s="2"/>
    </row>
    <row r="1899">
      <c r="A1899" s="1" t="s">
        <v>1899</v>
      </c>
      <c r="B1899" s="2" t="s">
        <v>1874</v>
      </c>
      <c r="C1899" s="1"/>
      <c r="D1899" s="2"/>
      <c r="E1899" s="2"/>
      <c r="F1899" s="2"/>
      <c r="G1899" s="2"/>
      <c r="H1899" s="2"/>
      <c r="I1899" s="2"/>
    </row>
    <row r="1900">
      <c r="A1900" s="1" t="s">
        <v>1900</v>
      </c>
      <c r="B1900" s="2" t="s">
        <v>1874</v>
      </c>
      <c r="C1900" s="2"/>
      <c r="D1900" s="2" t="s">
        <v>11</v>
      </c>
      <c r="E1900" s="2">
        <v>10.0</v>
      </c>
      <c r="F1900" s="2" t="s">
        <v>12</v>
      </c>
      <c r="G1900" s="2"/>
      <c r="H1900" s="2"/>
      <c r="I1900" s="2"/>
    </row>
    <row r="1901">
      <c r="A1901" s="2" t="s">
        <v>1901</v>
      </c>
      <c r="B1901" s="2" t="s">
        <v>1874</v>
      </c>
      <c r="C1901" s="1"/>
      <c r="D1901" s="2"/>
      <c r="E1901" s="2"/>
      <c r="F1901" s="2"/>
      <c r="G1901" s="2"/>
      <c r="H1901" s="2"/>
      <c r="I1901" s="2"/>
    </row>
    <row r="1902">
      <c r="A1902" s="1" t="s">
        <v>1902</v>
      </c>
      <c r="B1902" s="2" t="s">
        <v>1874</v>
      </c>
      <c r="C1902" s="2"/>
      <c r="D1902" s="2" t="s">
        <v>11</v>
      </c>
      <c r="E1902" s="2">
        <v>10.0</v>
      </c>
      <c r="F1902" s="2" t="s">
        <v>12</v>
      </c>
      <c r="G1902" s="2"/>
      <c r="H1902" s="2"/>
      <c r="I1902" s="2"/>
    </row>
    <row r="1903">
      <c r="A1903" s="1" t="s">
        <v>1903</v>
      </c>
      <c r="B1903" s="2" t="s">
        <v>1874</v>
      </c>
      <c r="C1903" s="2"/>
      <c r="D1903" s="2" t="s">
        <v>11</v>
      </c>
      <c r="E1903" s="2">
        <v>10.0</v>
      </c>
      <c r="F1903" s="2" t="s">
        <v>12</v>
      </c>
      <c r="G1903" s="2"/>
      <c r="H1903" s="2"/>
      <c r="I1903" s="2"/>
    </row>
    <row r="1904">
      <c r="A1904" s="1" t="s">
        <v>1904</v>
      </c>
      <c r="B1904" s="2" t="s">
        <v>1874</v>
      </c>
      <c r="C1904" s="2"/>
      <c r="D1904" s="2" t="s">
        <v>11</v>
      </c>
      <c r="E1904" s="2">
        <v>10.0</v>
      </c>
      <c r="F1904" s="2" t="s">
        <v>12</v>
      </c>
      <c r="G1904" s="2"/>
      <c r="H1904" s="2"/>
      <c r="I1904" s="2"/>
    </row>
    <row r="1905">
      <c r="A1905" s="2" t="s">
        <v>1905</v>
      </c>
      <c r="B1905" s="2" t="s">
        <v>1874</v>
      </c>
      <c r="C1905" s="2"/>
      <c r="D1905" s="2" t="s">
        <v>11</v>
      </c>
      <c r="E1905" s="2">
        <v>10.0</v>
      </c>
      <c r="F1905" s="2" t="s">
        <v>12</v>
      </c>
      <c r="G1905" s="2"/>
      <c r="H1905" s="2"/>
      <c r="I1905" s="2"/>
    </row>
    <row r="1906">
      <c r="A1906" s="1" t="s">
        <v>1906</v>
      </c>
      <c r="B1906" s="2" t="s">
        <v>1874</v>
      </c>
      <c r="C1906" s="2"/>
      <c r="D1906" s="2" t="s">
        <v>11</v>
      </c>
      <c r="E1906" s="2">
        <v>10.0</v>
      </c>
      <c r="F1906" s="2" t="s">
        <v>12</v>
      </c>
      <c r="G1906" s="2"/>
      <c r="H1906" s="2"/>
      <c r="I1906" s="2"/>
    </row>
    <row r="1907">
      <c r="A1907" s="2" t="s">
        <v>1907</v>
      </c>
      <c r="B1907" s="2" t="s">
        <v>1874</v>
      </c>
      <c r="C1907" s="2"/>
      <c r="D1907" s="2" t="s">
        <v>11</v>
      </c>
      <c r="E1907" s="2">
        <v>10.0</v>
      </c>
      <c r="F1907" s="2" t="s">
        <v>12</v>
      </c>
      <c r="G1907" s="2"/>
      <c r="H1907" s="2"/>
      <c r="I1907" s="2"/>
    </row>
    <row r="1908">
      <c r="A1908" s="1" t="s">
        <v>1908</v>
      </c>
      <c r="B1908" s="2" t="s">
        <v>1909</v>
      </c>
      <c r="C1908" s="2"/>
      <c r="D1908" s="2" t="s">
        <v>11</v>
      </c>
      <c r="E1908" s="2">
        <v>10.0</v>
      </c>
      <c r="F1908" s="2" t="s">
        <v>12</v>
      </c>
      <c r="G1908" s="2"/>
      <c r="H1908" s="2"/>
      <c r="I1908" s="2"/>
    </row>
    <row r="1909">
      <c r="A1909" s="2" t="s">
        <v>1910</v>
      </c>
      <c r="B1909" s="2" t="s">
        <v>1909</v>
      </c>
      <c r="C1909" s="2"/>
      <c r="D1909" s="2" t="s">
        <v>11</v>
      </c>
      <c r="E1909" s="2">
        <v>10.0</v>
      </c>
      <c r="F1909" s="2" t="s">
        <v>12</v>
      </c>
      <c r="G1909" s="2"/>
      <c r="H1909" s="2"/>
      <c r="I1909" s="2"/>
    </row>
    <row r="1910">
      <c r="A1910" s="2" t="s">
        <v>1911</v>
      </c>
      <c r="B1910" s="2" t="s">
        <v>1909</v>
      </c>
      <c r="C1910" s="1"/>
      <c r="D1910" s="2"/>
      <c r="E1910" s="2"/>
      <c r="F1910" s="2"/>
      <c r="G1910" s="2"/>
      <c r="H1910" s="2"/>
      <c r="I1910" s="2"/>
    </row>
    <row r="1911">
      <c r="A1911" s="2" t="s">
        <v>1912</v>
      </c>
      <c r="B1911" s="2" t="s">
        <v>1909</v>
      </c>
      <c r="C1911" s="1"/>
      <c r="D1911" s="2"/>
      <c r="E1911" s="2"/>
      <c r="F1911" s="2"/>
      <c r="G1911" s="2"/>
      <c r="H1911" s="2"/>
      <c r="I1911" s="2"/>
    </row>
    <row r="1912">
      <c r="A1912" s="2" t="s">
        <v>1913</v>
      </c>
      <c r="B1912" s="2" t="s">
        <v>1909</v>
      </c>
      <c r="C1912" s="2"/>
      <c r="D1912" s="2" t="s">
        <v>11</v>
      </c>
      <c r="E1912" s="2">
        <v>10.0</v>
      </c>
      <c r="F1912" s="2" t="s">
        <v>12</v>
      </c>
      <c r="G1912" s="2"/>
      <c r="H1912" s="2"/>
      <c r="I1912" s="2"/>
    </row>
    <row r="1913">
      <c r="A1913" s="1" t="s">
        <v>1914</v>
      </c>
      <c r="B1913" s="2" t="s">
        <v>1909</v>
      </c>
      <c r="C1913" s="2"/>
      <c r="D1913" s="2" t="s">
        <v>11</v>
      </c>
      <c r="E1913" s="2">
        <v>10.0</v>
      </c>
      <c r="F1913" s="2" t="s">
        <v>12</v>
      </c>
      <c r="G1913" s="2"/>
      <c r="H1913" s="2"/>
      <c r="I1913" s="2"/>
    </row>
    <row r="1914">
      <c r="A1914" s="2" t="s">
        <v>1915</v>
      </c>
      <c r="B1914" s="2" t="s">
        <v>1909</v>
      </c>
      <c r="C1914" s="2"/>
      <c r="D1914" s="2" t="s">
        <v>11</v>
      </c>
      <c r="E1914" s="2">
        <v>10.0</v>
      </c>
      <c r="F1914" s="2" t="s">
        <v>12</v>
      </c>
      <c r="G1914" s="2"/>
      <c r="H1914" s="2"/>
      <c r="I1914" s="2"/>
    </row>
    <row r="1915">
      <c r="A1915" s="2" t="s">
        <v>1916</v>
      </c>
      <c r="B1915" s="2" t="s">
        <v>1909</v>
      </c>
      <c r="C1915" s="2"/>
      <c r="D1915" s="2" t="s">
        <v>11</v>
      </c>
      <c r="E1915" s="2">
        <v>10.0</v>
      </c>
      <c r="F1915" s="2" t="s">
        <v>12</v>
      </c>
      <c r="G1915" s="2"/>
      <c r="H1915" s="2"/>
      <c r="I1915" s="2"/>
    </row>
    <row r="1916">
      <c r="A1916" s="2" t="s">
        <v>1917</v>
      </c>
      <c r="B1916" s="2" t="s">
        <v>1909</v>
      </c>
      <c r="C1916" s="2"/>
      <c r="D1916" s="2" t="s">
        <v>37</v>
      </c>
      <c r="E1916" s="2">
        <v>5.0</v>
      </c>
      <c r="F1916" s="2"/>
      <c r="G1916" s="2"/>
      <c r="H1916" s="2"/>
      <c r="I1916" s="2"/>
    </row>
    <row r="1917">
      <c r="A1917" s="2" t="s">
        <v>1918</v>
      </c>
      <c r="B1917" s="2" t="s">
        <v>1909</v>
      </c>
      <c r="C1917" s="2"/>
      <c r="D1917" s="2" t="s">
        <v>11</v>
      </c>
      <c r="E1917" s="2">
        <v>10.0</v>
      </c>
      <c r="F1917" s="2" t="s">
        <v>12</v>
      </c>
      <c r="G1917" s="2"/>
      <c r="H1917" s="2"/>
      <c r="I1917" s="2"/>
    </row>
    <row r="1918">
      <c r="A1918" s="2" t="s">
        <v>1919</v>
      </c>
      <c r="B1918" s="2" t="s">
        <v>1909</v>
      </c>
      <c r="C1918" s="2"/>
      <c r="D1918" s="2" t="s">
        <v>11</v>
      </c>
      <c r="E1918" s="2">
        <v>8.0</v>
      </c>
      <c r="F1918" s="2" t="s">
        <v>12</v>
      </c>
      <c r="G1918" s="2"/>
      <c r="H1918" s="2"/>
      <c r="I1918" s="2"/>
    </row>
    <row r="1919">
      <c r="A1919" s="2" t="s">
        <v>1920</v>
      </c>
      <c r="B1919" s="2" t="s">
        <v>1909</v>
      </c>
      <c r="C1919" s="2"/>
      <c r="D1919" s="2" t="s">
        <v>37</v>
      </c>
      <c r="E1919" s="2">
        <v>10.0</v>
      </c>
      <c r="F1919" s="2" t="s">
        <v>12</v>
      </c>
      <c r="G1919" s="2"/>
      <c r="H1919" s="2"/>
      <c r="I1919" s="2"/>
    </row>
    <row r="1920">
      <c r="A1920" s="2" t="s">
        <v>1921</v>
      </c>
      <c r="B1920" s="2" t="s">
        <v>1909</v>
      </c>
      <c r="C1920" s="2"/>
      <c r="D1920" s="2" t="s">
        <v>11</v>
      </c>
      <c r="E1920" s="2">
        <v>10.0</v>
      </c>
      <c r="F1920" s="2" t="s">
        <v>12</v>
      </c>
      <c r="G1920" s="2"/>
      <c r="H1920" s="2"/>
      <c r="I1920" s="2"/>
    </row>
    <row r="1921">
      <c r="A1921" s="2" t="s">
        <v>1922</v>
      </c>
      <c r="B1921" s="2" t="s">
        <v>1909</v>
      </c>
      <c r="C1921" s="2"/>
      <c r="D1921" s="2" t="s">
        <v>11</v>
      </c>
      <c r="E1921" s="2">
        <v>10.0</v>
      </c>
      <c r="F1921" s="2" t="s">
        <v>12</v>
      </c>
      <c r="G1921" s="2"/>
      <c r="H1921" s="2"/>
      <c r="I1921" s="2"/>
    </row>
    <row r="1922">
      <c r="A1922" s="2" t="s">
        <v>1923</v>
      </c>
      <c r="B1922" s="2" t="s">
        <v>1909</v>
      </c>
      <c r="C1922" s="1"/>
      <c r="D1922" s="2"/>
      <c r="E1922" s="2"/>
      <c r="F1922" s="2"/>
      <c r="G1922" s="2"/>
      <c r="H1922" s="2"/>
      <c r="I1922" s="2"/>
    </row>
    <row r="1923">
      <c r="A1923" s="2" t="s">
        <v>1924</v>
      </c>
      <c r="B1923" s="2" t="s">
        <v>1909</v>
      </c>
      <c r="C1923" s="1"/>
      <c r="D1923" s="2"/>
      <c r="E1923" s="2"/>
      <c r="F1923" s="2"/>
      <c r="G1923" s="2"/>
      <c r="H1923" s="2"/>
      <c r="I1923" s="2"/>
    </row>
    <row r="1924">
      <c r="A1924" s="2" t="s">
        <v>1925</v>
      </c>
      <c r="B1924" s="2" t="s">
        <v>1909</v>
      </c>
      <c r="C1924" s="1"/>
      <c r="D1924" s="2"/>
      <c r="E1924" s="2"/>
      <c r="F1924" s="2"/>
      <c r="G1924" s="2"/>
      <c r="H1924" s="2"/>
      <c r="I1924" s="2"/>
    </row>
    <row r="1925">
      <c r="A1925" s="2" t="s">
        <v>1926</v>
      </c>
      <c r="B1925" s="2" t="s">
        <v>1909</v>
      </c>
      <c r="C1925" s="1"/>
      <c r="D1925" s="2"/>
      <c r="E1925" s="2"/>
      <c r="F1925" s="2"/>
      <c r="G1925" s="2"/>
      <c r="H1925" s="2"/>
      <c r="I1925" s="2"/>
    </row>
    <row r="1926">
      <c r="A1926" s="2" t="s">
        <v>1927</v>
      </c>
      <c r="B1926" s="2" t="s">
        <v>1909</v>
      </c>
      <c r="C1926" s="1"/>
      <c r="D1926" s="2"/>
      <c r="E1926" s="2"/>
      <c r="F1926" s="2"/>
      <c r="G1926" s="2"/>
      <c r="H1926" s="2"/>
      <c r="I1926" s="2"/>
    </row>
    <row r="1927">
      <c r="A1927" s="2" t="s">
        <v>1928</v>
      </c>
      <c r="B1927" s="2" t="s">
        <v>1909</v>
      </c>
      <c r="C1927" s="2"/>
      <c r="D1927" s="2" t="s">
        <v>11</v>
      </c>
      <c r="E1927" s="2">
        <v>10.0</v>
      </c>
      <c r="F1927" s="2" t="s">
        <v>12</v>
      </c>
      <c r="G1927" s="2"/>
      <c r="H1927" s="2"/>
      <c r="I1927" s="2"/>
    </row>
    <row r="1928">
      <c r="A1928" s="2" t="s">
        <v>1929</v>
      </c>
      <c r="B1928" s="2" t="s">
        <v>1909</v>
      </c>
      <c r="C1928" s="2"/>
      <c r="D1928" s="2" t="s">
        <v>37</v>
      </c>
      <c r="E1928" s="2">
        <v>30.0</v>
      </c>
      <c r="F1928" s="2" t="s">
        <v>22</v>
      </c>
      <c r="G1928" s="2"/>
      <c r="H1928" s="2"/>
      <c r="I1928" s="2"/>
    </row>
    <row r="1929">
      <c r="A1929" s="2" t="s">
        <v>1930</v>
      </c>
      <c r="B1929" s="2" t="s">
        <v>1909</v>
      </c>
      <c r="C1929" s="2"/>
      <c r="D1929" s="2" t="s">
        <v>73</v>
      </c>
      <c r="E1929" s="2">
        <v>1.0</v>
      </c>
      <c r="F1929" s="2" t="s">
        <v>74</v>
      </c>
      <c r="G1929" s="2"/>
      <c r="H1929" s="2"/>
      <c r="I1929" s="2"/>
    </row>
    <row r="1930">
      <c r="A1930" s="2" t="s">
        <v>1931</v>
      </c>
      <c r="B1930" s="2" t="s">
        <v>1909</v>
      </c>
      <c r="C1930" s="1"/>
      <c r="D1930" s="2"/>
      <c r="E1930" s="2"/>
      <c r="F1930" s="2"/>
      <c r="G1930" s="2"/>
      <c r="H1930" s="2"/>
      <c r="I1930" s="2"/>
    </row>
    <row r="1931">
      <c r="A1931" s="2" t="s">
        <v>1932</v>
      </c>
      <c r="B1931" s="2" t="s">
        <v>1909</v>
      </c>
      <c r="C1931" s="2"/>
      <c r="D1931" s="2" t="s">
        <v>37</v>
      </c>
      <c r="E1931" s="2">
        <v>10.0</v>
      </c>
      <c r="F1931" s="2" t="s">
        <v>12</v>
      </c>
      <c r="G1931" s="2"/>
      <c r="H1931" s="2"/>
      <c r="I1931" s="2"/>
    </row>
    <row r="1932">
      <c r="A1932" s="2" t="s">
        <v>1933</v>
      </c>
      <c r="B1932" s="2" t="s">
        <v>1909</v>
      </c>
      <c r="C1932" s="1"/>
      <c r="D1932" s="2"/>
      <c r="E1932" s="2"/>
      <c r="F1932" s="2"/>
      <c r="G1932" s="2"/>
      <c r="H1932" s="2"/>
      <c r="I1932" s="2"/>
    </row>
    <row r="1933">
      <c r="A1933" s="1" t="s">
        <v>1934</v>
      </c>
      <c r="B1933" s="2" t="s">
        <v>1909</v>
      </c>
      <c r="C1933" s="1"/>
      <c r="D1933" s="2"/>
      <c r="E1933" s="2"/>
      <c r="F1933" s="2"/>
      <c r="G1933" s="2"/>
      <c r="H1933" s="2"/>
      <c r="I1933" s="2"/>
    </row>
    <row r="1934">
      <c r="A1934" s="2" t="s">
        <v>1935</v>
      </c>
      <c r="B1934" s="2" t="s">
        <v>1909</v>
      </c>
      <c r="C1934" s="1"/>
      <c r="D1934" s="2"/>
      <c r="E1934" s="2"/>
      <c r="F1934" s="2"/>
      <c r="G1934" s="2"/>
      <c r="H1934" s="2"/>
      <c r="I1934" s="2"/>
    </row>
    <row r="1935">
      <c r="A1935" s="1" t="s">
        <v>1936</v>
      </c>
      <c r="B1935" s="2" t="s">
        <v>1909</v>
      </c>
      <c r="C1935" s="2"/>
      <c r="D1935" s="2" t="s">
        <v>11</v>
      </c>
      <c r="E1935" s="2">
        <v>10.0</v>
      </c>
      <c r="F1935" s="2" t="s">
        <v>12</v>
      </c>
      <c r="G1935" s="2"/>
      <c r="H1935" s="2"/>
      <c r="I1935" s="2"/>
    </row>
    <row r="1936">
      <c r="A1936" s="2" t="s">
        <v>1937</v>
      </c>
      <c r="B1936" s="2" t="s">
        <v>1909</v>
      </c>
      <c r="C1936" s="2"/>
      <c r="D1936" s="2" t="s">
        <v>37</v>
      </c>
      <c r="E1936" s="2">
        <v>10.0</v>
      </c>
      <c r="F1936" s="2" t="s">
        <v>12</v>
      </c>
      <c r="G1936" s="2"/>
      <c r="H1936" s="2"/>
      <c r="I1936" s="2"/>
    </row>
    <row r="1937">
      <c r="A1937" s="2" t="s">
        <v>1938</v>
      </c>
      <c r="B1937" s="2" t="s">
        <v>1909</v>
      </c>
      <c r="C1937" s="1"/>
      <c r="D1937" s="2"/>
      <c r="E1937" s="2"/>
      <c r="F1937" s="2"/>
      <c r="G1937" s="2"/>
      <c r="H1937" s="2"/>
      <c r="I1937" s="2"/>
    </row>
    <row r="1938">
      <c r="A1938" s="1" t="s">
        <v>1939</v>
      </c>
      <c r="B1938" s="2" t="s">
        <v>1909</v>
      </c>
      <c r="C1938" s="2"/>
      <c r="D1938" s="2" t="s">
        <v>11</v>
      </c>
      <c r="E1938" s="2">
        <v>10.0</v>
      </c>
      <c r="F1938" s="2" t="s">
        <v>12</v>
      </c>
      <c r="G1938" s="2"/>
      <c r="H1938" s="2"/>
      <c r="I1938" s="2"/>
    </row>
    <row r="1939">
      <c r="A1939" s="1" t="s">
        <v>1940</v>
      </c>
      <c r="B1939" s="2" t="s">
        <v>1909</v>
      </c>
      <c r="C1939" s="2"/>
      <c r="D1939" s="2" t="s">
        <v>11</v>
      </c>
      <c r="E1939" s="2">
        <v>10.0</v>
      </c>
      <c r="F1939" s="2" t="s">
        <v>12</v>
      </c>
      <c r="G1939" s="2"/>
      <c r="H1939" s="2"/>
      <c r="I1939" s="2"/>
    </row>
    <row r="1940">
      <c r="A1940" s="1" t="s">
        <v>1941</v>
      </c>
      <c r="B1940" s="2" t="s">
        <v>1909</v>
      </c>
      <c r="C1940" s="2"/>
      <c r="D1940" s="2" t="s">
        <v>11</v>
      </c>
      <c r="E1940" s="2">
        <v>10.0</v>
      </c>
      <c r="F1940" s="2" t="s">
        <v>12</v>
      </c>
      <c r="G1940" s="2"/>
      <c r="H1940" s="2"/>
      <c r="I1940" s="2"/>
    </row>
    <row r="1941">
      <c r="A1941" s="1" t="s">
        <v>1942</v>
      </c>
      <c r="B1941" s="2" t="s">
        <v>1909</v>
      </c>
      <c r="C1941" s="1"/>
      <c r="D1941" s="2"/>
      <c r="E1941" s="2"/>
      <c r="F1941" s="2"/>
      <c r="G1941" s="2"/>
      <c r="H1941" s="2"/>
      <c r="I1941" s="2"/>
    </row>
    <row r="1942">
      <c r="A1942" s="1" t="s">
        <v>1943</v>
      </c>
      <c r="B1942" s="2" t="s">
        <v>1909</v>
      </c>
      <c r="C1942" s="2"/>
      <c r="D1942" s="2" t="s">
        <v>11</v>
      </c>
      <c r="E1942" s="2">
        <v>10.0</v>
      </c>
      <c r="F1942" s="2" t="s">
        <v>12</v>
      </c>
      <c r="G1942" s="2"/>
      <c r="H1942" s="2"/>
      <c r="I1942" s="2"/>
    </row>
    <row r="1943">
      <c r="A1943" s="1" t="s">
        <v>1944</v>
      </c>
      <c r="B1943" s="2" t="s">
        <v>1909</v>
      </c>
      <c r="C1943" s="2"/>
      <c r="D1943" s="2" t="s">
        <v>11</v>
      </c>
      <c r="E1943" s="2">
        <v>10.0</v>
      </c>
      <c r="F1943" s="2" t="s">
        <v>12</v>
      </c>
      <c r="G1943" s="2"/>
      <c r="H1943" s="2"/>
      <c r="I1943" s="2"/>
    </row>
    <row r="1944">
      <c r="A1944" s="1" t="s">
        <v>1945</v>
      </c>
      <c r="B1944" s="2" t="s">
        <v>1909</v>
      </c>
      <c r="C1944" s="2"/>
      <c r="D1944" s="2" t="s">
        <v>11</v>
      </c>
      <c r="E1944" s="2">
        <v>10.0</v>
      </c>
      <c r="F1944" s="2" t="s">
        <v>12</v>
      </c>
      <c r="G1944" s="2"/>
      <c r="H1944" s="2"/>
      <c r="I1944" s="2"/>
    </row>
    <row r="1945">
      <c r="A1945" s="1" t="s">
        <v>1946</v>
      </c>
      <c r="B1945" s="2" t="s">
        <v>1909</v>
      </c>
      <c r="C1945" s="2"/>
      <c r="D1945" s="2" t="s">
        <v>11</v>
      </c>
      <c r="E1945" s="2">
        <v>10.0</v>
      </c>
      <c r="F1945" s="2" t="s">
        <v>12</v>
      </c>
      <c r="G1945" s="2"/>
      <c r="H1945" s="2"/>
      <c r="I1945" s="2"/>
    </row>
    <row r="1946">
      <c r="A1946" s="1" t="s">
        <v>1947</v>
      </c>
      <c r="B1946" s="2" t="s">
        <v>1909</v>
      </c>
      <c r="C1946" s="1"/>
      <c r="D1946" s="2"/>
      <c r="E1946" s="2"/>
      <c r="F1946" s="2"/>
      <c r="G1946" s="2"/>
      <c r="H1946" s="2"/>
      <c r="I1946" s="2"/>
    </row>
    <row r="1947">
      <c r="A1947" s="2" t="s">
        <v>1948</v>
      </c>
      <c r="B1947" s="2" t="s">
        <v>1909</v>
      </c>
      <c r="C1947" s="1"/>
      <c r="D1947" s="2"/>
      <c r="E1947" s="2"/>
      <c r="F1947" s="2"/>
      <c r="G1947" s="2"/>
      <c r="H1947" s="2"/>
      <c r="I1947" s="2"/>
    </row>
    <row r="1948">
      <c r="A1948" s="2" t="s">
        <v>1949</v>
      </c>
      <c r="B1948" s="2" t="s">
        <v>1909</v>
      </c>
      <c r="C1948" s="1"/>
      <c r="D1948" s="2"/>
      <c r="E1948" s="2"/>
      <c r="F1948" s="2"/>
      <c r="G1948" s="2"/>
      <c r="H1948" s="2"/>
      <c r="I1948" s="2"/>
    </row>
    <row r="1949">
      <c r="A1949" s="2" t="s">
        <v>1950</v>
      </c>
      <c r="B1949" s="2" t="s">
        <v>1909</v>
      </c>
      <c r="C1949" s="1"/>
      <c r="D1949" s="2"/>
      <c r="E1949" s="2"/>
      <c r="F1949" s="2"/>
      <c r="G1949" s="2"/>
      <c r="H1949" s="2"/>
      <c r="I1949" s="2"/>
    </row>
    <row r="1950">
      <c r="A1950" s="1" t="s">
        <v>1951</v>
      </c>
      <c r="B1950" s="2" t="s">
        <v>1952</v>
      </c>
      <c r="C1950" s="2"/>
      <c r="D1950" s="2" t="s">
        <v>11</v>
      </c>
      <c r="E1950" s="2">
        <v>10.0</v>
      </c>
      <c r="F1950" s="2" t="s">
        <v>12</v>
      </c>
      <c r="G1950" s="2"/>
      <c r="H1950" s="2"/>
      <c r="I1950" s="2"/>
    </row>
    <row r="1951">
      <c r="A1951" s="2" t="s">
        <v>1953</v>
      </c>
      <c r="B1951" s="2" t="s">
        <v>1952</v>
      </c>
      <c r="C1951" s="2"/>
      <c r="D1951" s="2" t="s">
        <v>11</v>
      </c>
      <c r="E1951" s="2">
        <v>6.0</v>
      </c>
      <c r="F1951" s="2" t="s">
        <v>12</v>
      </c>
      <c r="G1951" s="2"/>
      <c r="H1951" s="2"/>
      <c r="I1951" s="2"/>
    </row>
    <row r="1952">
      <c r="A1952" s="2" t="s">
        <v>1954</v>
      </c>
      <c r="B1952" s="2" t="s">
        <v>1952</v>
      </c>
      <c r="C1952" s="1"/>
      <c r="D1952" s="2"/>
      <c r="E1952" s="2"/>
      <c r="F1952" s="2"/>
      <c r="G1952" s="2"/>
      <c r="H1952" s="2"/>
      <c r="I1952" s="2"/>
    </row>
    <row r="1953">
      <c r="A1953" s="2" t="s">
        <v>1955</v>
      </c>
      <c r="B1953" s="2" t="s">
        <v>1952</v>
      </c>
      <c r="C1953" s="1"/>
      <c r="D1953" s="2"/>
      <c r="E1953" s="2"/>
      <c r="F1953" s="2"/>
      <c r="G1953" s="2"/>
      <c r="H1953" s="2"/>
      <c r="I1953" s="2"/>
    </row>
    <row r="1954">
      <c r="A1954" s="2" t="s">
        <v>1956</v>
      </c>
      <c r="B1954" s="2" t="s">
        <v>1952</v>
      </c>
      <c r="C1954" s="1"/>
      <c r="D1954" s="2"/>
      <c r="E1954" s="2"/>
      <c r="F1954" s="2"/>
      <c r="G1954" s="2"/>
      <c r="H1954" s="2"/>
      <c r="I1954" s="2"/>
    </row>
    <row r="1955">
      <c r="A1955" s="2" t="s">
        <v>1957</v>
      </c>
      <c r="B1955" s="2" t="s">
        <v>1952</v>
      </c>
      <c r="C1955" s="1"/>
      <c r="D1955" s="2"/>
      <c r="E1955" s="2"/>
      <c r="F1955" s="2"/>
      <c r="G1955" s="2"/>
      <c r="H1955" s="2"/>
      <c r="I1955" s="2"/>
    </row>
    <row r="1956">
      <c r="A1956" s="2" t="s">
        <v>1958</v>
      </c>
      <c r="B1956" s="2" t="s">
        <v>1952</v>
      </c>
      <c r="C1956" s="1"/>
      <c r="D1956" s="2"/>
      <c r="E1956" s="2"/>
      <c r="F1956" s="2"/>
      <c r="G1956" s="2"/>
      <c r="H1956" s="2"/>
      <c r="I1956" s="2"/>
    </row>
    <row r="1957">
      <c r="A1957" s="2" t="s">
        <v>1959</v>
      </c>
      <c r="B1957" s="2" t="s">
        <v>1952</v>
      </c>
      <c r="C1957" s="1"/>
      <c r="D1957" s="2"/>
      <c r="E1957" s="2"/>
      <c r="F1957" s="2"/>
      <c r="G1957" s="2"/>
      <c r="H1957" s="2"/>
      <c r="I1957" s="2"/>
    </row>
    <row r="1958">
      <c r="A1958" s="2" t="s">
        <v>1960</v>
      </c>
      <c r="B1958" s="2" t="s">
        <v>1952</v>
      </c>
      <c r="C1958" s="1"/>
      <c r="D1958" s="2"/>
      <c r="E1958" s="2"/>
      <c r="F1958" s="2"/>
      <c r="G1958" s="2"/>
      <c r="H1958" s="2"/>
      <c r="I1958" s="2"/>
    </row>
    <row r="1959">
      <c r="A1959" s="2" t="s">
        <v>1961</v>
      </c>
      <c r="B1959" s="2" t="s">
        <v>1952</v>
      </c>
      <c r="C1959" s="1"/>
      <c r="D1959" s="2"/>
      <c r="E1959" s="2"/>
      <c r="F1959" s="2"/>
      <c r="G1959" s="2"/>
      <c r="H1959" s="2"/>
      <c r="I1959" s="2"/>
    </row>
    <row r="1960">
      <c r="A1960" s="2" t="s">
        <v>1962</v>
      </c>
      <c r="B1960" s="2" t="s">
        <v>1952</v>
      </c>
      <c r="C1960" s="2"/>
      <c r="D1960" s="2" t="s">
        <v>11</v>
      </c>
      <c r="E1960" s="2">
        <v>10.0</v>
      </c>
      <c r="F1960" s="2" t="s">
        <v>12</v>
      </c>
      <c r="G1960" s="2"/>
      <c r="H1960" s="2"/>
      <c r="I1960" s="2"/>
    </row>
    <row r="1961">
      <c r="A1961" s="1" t="s">
        <v>1963</v>
      </c>
      <c r="B1961" s="2" t="s">
        <v>1952</v>
      </c>
      <c r="C1961" s="2"/>
      <c r="D1961" s="2" t="s">
        <v>11</v>
      </c>
      <c r="E1961" s="2">
        <v>10.0</v>
      </c>
      <c r="F1961" s="2" t="s">
        <v>12</v>
      </c>
      <c r="G1961" s="2"/>
      <c r="H1961" s="2"/>
      <c r="I1961" s="2"/>
    </row>
    <row r="1962">
      <c r="A1962" s="2" t="s">
        <v>1964</v>
      </c>
      <c r="B1962" s="2" t="s">
        <v>1952</v>
      </c>
      <c r="C1962" s="1"/>
      <c r="D1962" s="2"/>
      <c r="E1962" s="2"/>
      <c r="F1962" s="2"/>
      <c r="G1962" s="2"/>
      <c r="H1962" s="2"/>
      <c r="I1962" s="2"/>
    </row>
    <row r="1963">
      <c r="A1963" s="2" t="s">
        <v>1965</v>
      </c>
      <c r="B1963" s="2" t="s">
        <v>1952</v>
      </c>
      <c r="C1963" s="2"/>
      <c r="D1963" s="2" t="s">
        <v>11</v>
      </c>
      <c r="E1963" s="2">
        <v>10.0</v>
      </c>
      <c r="F1963" s="2" t="s">
        <v>12</v>
      </c>
      <c r="G1963" s="2"/>
      <c r="H1963" s="2"/>
      <c r="I1963" s="2"/>
    </row>
    <row r="1964">
      <c r="A1964" s="1" t="s">
        <v>1966</v>
      </c>
      <c r="B1964" s="2" t="s">
        <v>1952</v>
      </c>
      <c r="C1964" s="2"/>
      <c r="D1964" s="2" t="s">
        <v>11</v>
      </c>
      <c r="E1964" s="2">
        <v>10.0</v>
      </c>
      <c r="F1964" s="2" t="s">
        <v>12</v>
      </c>
      <c r="G1964" s="2"/>
      <c r="H1964" s="2"/>
      <c r="I1964" s="2"/>
    </row>
    <row r="1965">
      <c r="A1965" s="1" t="s">
        <v>1967</v>
      </c>
      <c r="B1965" s="2" t="s">
        <v>1952</v>
      </c>
      <c r="C1965" s="2"/>
      <c r="D1965" s="2" t="s">
        <v>11</v>
      </c>
      <c r="E1965" s="2">
        <v>10.0</v>
      </c>
      <c r="F1965" s="2" t="s">
        <v>12</v>
      </c>
      <c r="G1965" s="2"/>
      <c r="H1965" s="2"/>
      <c r="I1965" s="2"/>
    </row>
    <row r="1966">
      <c r="A1966" s="1" t="s">
        <v>1968</v>
      </c>
      <c r="B1966" s="2" t="s">
        <v>1952</v>
      </c>
      <c r="C1966" s="2"/>
      <c r="D1966" s="2" t="s">
        <v>11</v>
      </c>
      <c r="E1966" s="2">
        <v>10.0</v>
      </c>
      <c r="F1966" s="2" t="s">
        <v>12</v>
      </c>
      <c r="G1966" s="2"/>
      <c r="H1966" s="2"/>
      <c r="I1966" s="2"/>
    </row>
    <row r="1967">
      <c r="A1967" s="1" t="s">
        <v>1969</v>
      </c>
      <c r="B1967" s="2" t="s">
        <v>1952</v>
      </c>
      <c r="C1967" s="2"/>
      <c r="D1967" s="2" t="s">
        <v>11</v>
      </c>
      <c r="E1967" s="2">
        <v>10.0</v>
      </c>
      <c r="F1967" s="2" t="s">
        <v>12</v>
      </c>
      <c r="G1967" s="2"/>
      <c r="H1967" s="2"/>
      <c r="I1967" s="2"/>
    </row>
    <row r="1968">
      <c r="A1968" s="1" t="s">
        <v>1970</v>
      </c>
      <c r="B1968" s="2" t="s">
        <v>1952</v>
      </c>
      <c r="C1968" s="2"/>
      <c r="D1968" s="2" t="s">
        <v>11</v>
      </c>
      <c r="E1968" s="2">
        <v>6.0</v>
      </c>
      <c r="F1968" s="2" t="s">
        <v>12</v>
      </c>
      <c r="G1968" s="2"/>
      <c r="H1968" s="2"/>
      <c r="I1968" s="2"/>
    </row>
    <row r="1969">
      <c r="A1969" s="1" t="s">
        <v>1971</v>
      </c>
      <c r="B1969" s="2" t="s">
        <v>1952</v>
      </c>
      <c r="C1969" s="2"/>
      <c r="D1969" s="2" t="s">
        <v>11</v>
      </c>
      <c r="E1969" s="2">
        <v>6.0</v>
      </c>
      <c r="F1969" s="2" t="s">
        <v>12</v>
      </c>
      <c r="G1969" s="2"/>
      <c r="H1969" s="2"/>
      <c r="I1969" s="2"/>
    </row>
    <row r="1970">
      <c r="A1970" s="2" t="s">
        <v>1972</v>
      </c>
      <c r="B1970" s="2" t="s">
        <v>1952</v>
      </c>
      <c r="C1970" s="1"/>
      <c r="D1970" s="2"/>
      <c r="E1970" s="2"/>
      <c r="F1970" s="2"/>
      <c r="G1970" s="2"/>
      <c r="H1970" s="2"/>
      <c r="I1970" s="2"/>
    </row>
    <row r="1971">
      <c r="A1971" s="1" t="s">
        <v>1973</v>
      </c>
      <c r="B1971" s="2" t="s">
        <v>1952</v>
      </c>
      <c r="C1971" s="2"/>
      <c r="D1971" s="1" t="s">
        <v>11</v>
      </c>
      <c r="E1971" s="2">
        <v>4.0</v>
      </c>
      <c r="F1971" s="2" t="s">
        <v>12</v>
      </c>
      <c r="G1971" s="2"/>
      <c r="H1971" s="2"/>
      <c r="I1971" s="2"/>
    </row>
    <row r="1972">
      <c r="A1972" s="1" t="s">
        <v>1974</v>
      </c>
      <c r="B1972" s="2" t="s">
        <v>1952</v>
      </c>
      <c r="C1972" s="2"/>
      <c r="D1972" s="2" t="s">
        <v>11</v>
      </c>
      <c r="E1972" s="2">
        <v>2.0</v>
      </c>
      <c r="F1972" s="2" t="s">
        <v>12</v>
      </c>
      <c r="G1972" s="2"/>
      <c r="H1972" s="2"/>
      <c r="I1972" s="2"/>
    </row>
    <row r="1973">
      <c r="A1973" s="1" t="s">
        <v>1974</v>
      </c>
      <c r="B1973" s="2" t="s">
        <v>1952</v>
      </c>
      <c r="C1973" s="2"/>
      <c r="D1973" s="2" t="s">
        <v>11</v>
      </c>
      <c r="E1973" s="2">
        <v>3.0</v>
      </c>
      <c r="F1973" s="2" t="s">
        <v>12</v>
      </c>
      <c r="G1973" s="2"/>
      <c r="H1973" s="2"/>
      <c r="I1973" s="2"/>
    </row>
    <row r="1974">
      <c r="A1974" s="1" t="s">
        <v>1975</v>
      </c>
      <c r="B1974" s="2" t="s">
        <v>1952</v>
      </c>
      <c r="C1974" s="2"/>
      <c r="D1974" s="2" t="s">
        <v>11</v>
      </c>
      <c r="E1974" s="2">
        <v>2.0</v>
      </c>
      <c r="F1974" s="2" t="s">
        <v>12</v>
      </c>
      <c r="G1974" s="2"/>
      <c r="H1974" s="2"/>
      <c r="I1974" s="2"/>
    </row>
    <row r="1975">
      <c r="A1975" s="1" t="s">
        <v>1976</v>
      </c>
      <c r="B1975" s="2" t="s">
        <v>1952</v>
      </c>
      <c r="C1975" s="2"/>
      <c r="D1975" s="2" t="s">
        <v>11</v>
      </c>
      <c r="E1975" s="2">
        <v>1.0</v>
      </c>
      <c r="F1975" s="2" t="s">
        <v>12</v>
      </c>
      <c r="G1975" s="2"/>
      <c r="H1975" s="2"/>
      <c r="I1975" s="2"/>
    </row>
    <row r="1976">
      <c r="A1976" s="2" t="s">
        <v>1977</v>
      </c>
      <c r="B1976" s="2" t="s">
        <v>1952</v>
      </c>
      <c r="C1976" s="2"/>
      <c r="D1976" s="1" t="s">
        <v>11</v>
      </c>
      <c r="E1976" s="2">
        <v>4.0</v>
      </c>
      <c r="F1976" s="2" t="s">
        <v>12</v>
      </c>
      <c r="G1976" s="2"/>
      <c r="H1976" s="2"/>
      <c r="I1976" s="2"/>
    </row>
    <row r="1977">
      <c r="A1977" s="2" t="s">
        <v>1978</v>
      </c>
      <c r="B1977" s="2" t="s">
        <v>1952</v>
      </c>
      <c r="C1977" s="1"/>
      <c r="D1977" s="2"/>
      <c r="E1977" s="2"/>
      <c r="F1977" s="2"/>
      <c r="G1977" s="2"/>
      <c r="H1977" s="2"/>
      <c r="I1977" s="2"/>
    </row>
    <row r="1978">
      <c r="A1978" s="2" t="s">
        <v>1979</v>
      </c>
      <c r="B1978" s="2" t="s">
        <v>1952</v>
      </c>
      <c r="C1978" s="1"/>
      <c r="D1978" s="2"/>
      <c r="E1978" s="2"/>
      <c r="F1978" s="2"/>
      <c r="G1978" s="2"/>
      <c r="H1978" s="2"/>
      <c r="I1978" s="2"/>
    </row>
    <row r="1979">
      <c r="A1979" s="2" t="s">
        <v>1980</v>
      </c>
      <c r="B1979" s="2" t="s">
        <v>1952</v>
      </c>
      <c r="C1979" s="1"/>
      <c r="D1979" s="2"/>
      <c r="E1979" s="2"/>
      <c r="F1979" s="2"/>
      <c r="G1979" s="2"/>
      <c r="H1979" s="2"/>
      <c r="I1979" s="2"/>
    </row>
    <row r="1980">
      <c r="A1980" s="2" t="s">
        <v>1981</v>
      </c>
      <c r="B1980" s="2" t="s">
        <v>1952</v>
      </c>
      <c r="C1980" s="1"/>
      <c r="D1980" s="2"/>
      <c r="E1980" s="2"/>
      <c r="F1980" s="2"/>
      <c r="G1980" s="2"/>
      <c r="H1980" s="2"/>
      <c r="I1980" s="2"/>
    </row>
    <row r="1981">
      <c r="A1981" s="2" t="s">
        <v>1982</v>
      </c>
      <c r="B1981" s="2" t="s">
        <v>1952</v>
      </c>
      <c r="C1981" s="1"/>
      <c r="D1981" s="2"/>
      <c r="E1981" s="2"/>
      <c r="F1981" s="2"/>
      <c r="G1981" s="2"/>
      <c r="H1981" s="2"/>
      <c r="I1981" s="2"/>
    </row>
    <row r="1982">
      <c r="A1982" s="2" t="s">
        <v>1983</v>
      </c>
      <c r="B1982" s="2" t="s">
        <v>1952</v>
      </c>
      <c r="C1982" s="1"/>
      <c r="D1982" s="2"/>
      <c r="E1982" s="2"/>
      <c r="F1982" s="2"/>
      <c r="G1982" s="2"/>
      <c r="H1982" s="2"/>
      <c r="I1982" s="2"/>
    </row>
    <row r="1983">
      <c r="A1983" s="2" t="s">
        <v>1984</v>
      </c>
      <c r="B1983" s="2" t="s">
        <v>1952</v>
      </c>
      <c r="C1983" s="1"/>
      <c r="D1983" s="2"/>
      <c r="E1983" s="2"/>
      <c r="F1983" s="2"/>
      <c r="G1983" s="2"/>
      <c r="H1983" s="2"/>
      <c r="I1983" s="2"/>
    </row>
    <row r="1984">
      <c r="A1984" s="2" t="s">
        <v>1985</v>
      </c>
      <c r="B1984" s="2" t="s">
        <v>1952</v>
      </c>
      <c r="C1984" s="1"/>
      <c r="D1984" s="2"/>
      <c r="E1984" s="2"/>
      <c r="F1984" s="2"/>
      <c r="G1984" s="2"/>
      <c r="H1984" s="2"/>
      <c r="I1984" s="2"/>
    </row>
    <row r="1985">
      <c r="A1985" s="2" t="s">
        <v>1986</v>
      </c>
      <c r="B1985" s="2" t="s">
        <v>1952</v>
      </c>
      <c r="C1985" s="1"/>
      <c r="D1985" s="2"/>
      <c r="E1985" s="2"/>
      <c r="F1985" s="2"/>
      <c r="G1985" s="2"/>
      <c r="H1985" s="2"/>
      <c r="I1985" s="2"/>
    </row>
    <row r="1986">
      <c r="A1986" s="2" t="s">
        <v>1987</v>
      </c>
      <c r="B1986" s="2" t="s">
        <v>1952</v>
      </c>
      <c r="C1986" s="1"/>
      <c r="D1986" s="2"/>
      <c r="E1986" s="2"/>
      <c r="F1986" s="2"/>
      <c r="G1986" s="2"/>
      <c r="H1986" s="2"/>
      <c r="I1986" s="2"/>
    </row>
    <row r="1987">
      <c r="A1987" s="1" t="s">
        <v>1988</v>
      </c>
      <c r="B1987" s="2" t="s">
        <v>1952</v>
      </c>
      <c r="C1987" s="2"/>
      <c r="D1987" s="2" t="s">
        <v>11</v>
      </c>
      <c r="E1987" s="2">
        <v>10.0</v>
      </c>
      <c r="F1987" s="2" t="s">
        <v>12</v>
      </c>
      <c r="G1987" s="2"/>
      <c r="H1987" s="2"/>
      <c r="I1987" s="2"/>
    </row>
    <row r="1988">
      <c r="A1988" s="1" t="s">
        <v>1989</v>
      </c>
      <c r="B1988" s="2" t="s">
        <v>1952</v>
      </c>
      <c r="C1988" s="2"/>
      <c r="D1988" s="2" t="s">
        <v>11</v>
      </c>
      <c r="E1988" s="2">
        <v>10.0</v>
      </c>
      <c r="F1988" s="2" t="s">
        <v>12</v>
      </c>
      <c r="G1988" s="2"/>
      <c r="H1988" s="2"/>
      <c r="I1988" s="2"/>
    </row>
    <row r="1989">
      <c r="A1989" s="2" t="s">
        <v>1990</v>
      </c>
      <c r="B1989" s="2" t="s">
        <v>1952</v>
      </c>
      <c r="C1989" s="1"/>
      <c r="D1989" s="2"/>
      <c r="E1989" s="2"/>
      <c r="F1989" s="2"/>
      <c r="G1989" s="2"/>
      <c r="H1989" s="2"/>
      <c r="I1989" s="2"/>
    </row>
    <row r="1990">
      <c r="A1990" s="2" t="s">
        <v>1991</v>
      </c>
      <c r="B1990" s="2" t="s">
        <v>1952</v>
      </c>
      <c r="C1990" s="1"/>
      <c r="D1990" s="2"/>
      <c r="E1990" s="2"/>
      <c r="F1990" s="2"/>
      <c r="G1990" s="2"/>
      <c r="H1990" s="2"/>
      <c r="I1990" s="2"/>
    </row>
    <row r="1991">
      <c r="A1991" s="2" t="s">
        <v>1992</v>
      </c>
      <c r="B1991" s="2" t="s">
        <v>1952</v>
      </c>
      <c r="C1991" s="1"/>
      <c r="D1991" s="2"/>
      <c r="E1991" s="2"/>
      <c r="F1991" s="2"/>
      <c r="G1991" s="2"/>
      <c r="H1991" s="2"/>
      <c r="I1991" s="2"/>
    </row>
    <row r="1992">
      <c r="A1992" s="2" t="s">
        <v>1993</v>
      </c>
      <c r="B1992" s="2" t="s">
        <v>1952</v>
      </c>
      <c r="C1992" s="1"/>
      <c r="D1992" s="1" t="s">
        <v>300</v>
      </c>
      <c r="E1992" s="1" t="s">
        <v>1124</v>
      </c>
      <c r="F1992" s="1" t="s">
        <v>302</v>
      </c>
      <c r="G1992" s="2"/>
      <c r="H1992" s="2"/>
      <c r="I1992" s="2"/>
    </row>
    <row r="1993">
      <c r="A1993" s="2" t="s">
        <v>1994</v>
      </c>
      <c r="B1993" s="2" t="s">
        <v>1952</v>
      </c>
      <c r="C1993" s="2"/>
      <c r="D1993" s="2" t="s">
        <v>11</v>
      </c>
      <c r="E1993" s="2">
        <v>10.0</v>
      </c>
      <c r="F1993" s="2" t="s">
        <v>12</v>
      </c>
      <c r="G1993" s="2"/>
      <c r="H1993" s="2"/>
      <c r="I1993" s="2"/>
    </row>
    <row r="1994">
      <c r="A1994" s="2" t="s">
        <v>1995</v>
      </c>
      <c r="B1994" s="2" t="s">
        <v>1996</v>
      </c>
      <c r="C1994" s="1"/>
      <c r="D1994" s="2"/>
      <c r="E1994" s="2"/>
      <c r="F1994" s="2"/>
      <c r="G1994" s="2"/>
      <c r="H1994" s="2"/>
      <c r="I1994" s="2"/>
    </row>
    <row r="1995">
      <c r="A1995" s="2" t="s">
        <v>1997</v>
      </c>
      <c r="B1995" s="2" t="s">
        <v>1996</v>
      </c>
      <c r="C1995" s="1"/>
      <c r="D1995" s="2"/>
      <c r="E1995" s="2"/>
      <c r="F1995" s="2"/>
      <c r="G1995" s="2"/>
      <c r="H1995" s="2"/>
      <c r="I1995" s="2"/>
    </row>
    <row r="1996">
      <c r="A1996" s="2" t="s">
        <v>1998</v>
      </c>
      <c r="B1996" s="2" t="s">
        <v>1996</v>
      </c>
      <c r="C1996" s="1"/>
      <c r="D1996" s="2"/>
      <c r="E1996" s="2"/>
      <c r="F1996" s="2"/>
      <c r="G1996" s="2"/>
      <c r="H1996" s="2"/>
      <c r="I1996" s="2"/>
    </row>
    <row r="1997">
      <c r="A1997" s="2" t="s">
        <v>1999</v>
      </c>
      <c r="B1997" s="2" t="s">
        <v>1996</v>
      </c>
      <c r="C1997" s="2"/>
      <c r="D1997" s="2" t="s">
        <v>11</v>
      </c>
      <c r="E1997" s="2">
        <v>10.0</v>
      </c>
      <c r="F1997" s="2" t="s">
        <v>12</v>
      </c>
      <c r="G1997" s="2"/>
      <c r="H1997" s="2"/>
      <c r="I1997" s="2"/>
    </row>
    <row r="1998">
      <c r="A1998" s="1" t="s">
        <v>2000</v>
      </c>
      <c r="B1998" s="2" t="s">
        <v>1996</v>
      </c>
      <c r="C1998" s="2"/>
      <c r="D1998" s="2" t="s">
        <v>11</v>
      </c>
      <c r="E1998" s="2">
        <v>10.0</v>
      </c>
      <c r="F1998" s="2" t="s">
        <v>12</v>
      </c>
      <c r="G1998" s="2"/>
      <c r="H1998" s="2"/>
      <c r="I1998" s="2"/>
    </row>
    <row r="1999">
      <c r="A1999" s="1" t="s">
        <v>2001</v>
      </c>
      <c r="B1999" s="2" t="s">
        <v>1996</v>
      </c>
      <c r="C1999" s="2"/>
      <c r="D1999" s="2" t="s">
        <v>11</v>
      </c>
      <c r="E1999" s="2">
        <v>10.0</v>
      </c>
      <c r="F1999" s="2" t="s">
        <v>12</v>
      </c>
      <c r="G1999" s="2"/>
      <c r="H1999" s="2"/>
      <c r="I1999" s="2"/>
    </row>
    <row r="2000">
      <c r="A2000" s="2" t="s">
        <v>2002</v>
      </c>
      <c r="B2000" s="2" t="s">
        <v>1996</v>
      </c>
      <c r="C2000" s="1"/>
      <c r="D2000" s="2"/>
      <c r="E2000" s="2"/>
      <c r="F2000" s="2"/>
      <c r="G2000" s="2"/>
      <c r="H2000" s="2"/>
      <c r="I2000" s="2"/>
    </row>
    <row r="2001">
      <c r="A2001" s="1" t="s">
        <v>2003</v>
      </c>
      <c r="B2001" s="2" t="s">
        <v>1996</v>
      </c>
      <c r="C2001" s="2"/>
      <c r="D2001" s="2" t="s">
        <v>11</v>
      </c>
      <c r="E2001" s="2">
        <v>10.0</v>
      </c>
      <c r="F2001" s="2" t="s">
        <v>12</v>
      </c>
      <c r="G2001" s="2"/>
      <c r="H2001" s="2"/>
      <c r="I2001" s="2"/>
    </row>
    <row r="2002">
      <c r="A2002" s="1" t="s">
        <v>2004</v>
      </c>
      <c r="B2002" s="2" t="s">
        <v>1996</v>
      </c>
      <c r="C2002" s="2"/>
      <c r="D2002" s="2" t="s">
        <v>11</v>
      </c>
      <c r="E2002" s="2">
        <v>10.0</v>
      </c>
      <c r="F2002" s="2" t="s">
        <v>12</v>
      </c>
      <c r="G2002" s="2"/>
      <c r="H2002" s="2"/>
      <c r="I2002" s="2"/>
    </row>
    <row r="2003">
      <c r="A2003" s="2" t="s">
        <v>2005</v>
      </c>
      <c r="B2003" s="2" t="s">
        <v>1996</v>
      </c>
      <c r="C2003" s="2"/>
      <c r="D2003" s="2" t="s">
        <v>11</v>
      </c>
      <c r="E2003" s="2">
        <v>7.0</v>
      </c>
      <c r="F2003" s="2" t="s">
        <v>12</v>
      </c>
      <c r="G2003" s="2"/>
      <c r="H2003" s="2"/>
      <c r="I2003" s="2"/>
    </row>
    <row r="2004">
      <c r="A2004" s="2" t="s">
        <v>2006</v>
      </c>
      <c r="B2004" s="2" t="s">
        <v>1996</v>
      </c>
      <c r="C2004" s="1"/>
      <c r="D2004" s="2"/>
      <c r="E2004" s="2"/>
      <c r="F2004" s="2"/>
      <c r="G2004" s="2"/>
      <c r="H2004" s="2"/>
      <c r="I2004" s="2"/>
    </row>
    <row r="2005">
      <c r="A2005" s="2" t="s">
        <v>2007</v>
      </c>
      <c r="B2005" s="2" t="s">
        <v>1996</v>
      </c>
      <c r="C2005" s="1"/>
      <c r="D2005" s="2"/>
      <c r="E2005" s="2"/>
      <c r="F2005" s="2"/>
      <c r="G2005" s="2"/>
      <c r="H2005" s="2"/>
      <c r="I2005" s="2"/>
    </row>
    <row r="2006">
      <c r="A2006" s="2" t="s">
        <v>2008</v>
      </c>
      <c r="B2006" s="2" t="s">
        <v>1996</v>
      </c>
      <c r="C2006" s="1"/>
      <c r="D2006" s="2"/>
      <c r="E2006" s="2"/>
      <c r="F2006" s="2"/>
      <c r="G2006" s="2"/>
      <c r="H2006" s="2"/>
      <c r="I2006" s="2"/>
    </row>
    <row r="2007">
      <c r="A2007" s="2" t="s">
        <v>2009</v>
      </c>
      <c r="B2007" s="2" t="s">
        <v>1996</v>
      </c>
      <c r="C2007" s="1"/>
      <c r="D2007" s="2"/>
      <c r="E2007" s="2"/>
      <c r="F2007" s="2"/>
      <c r="G2007" s="2"/>
      <c r="H2007" s="2"/>
      <c r="I2007" s="2"/>
    </row>
    <row r="2008">
      <c r="A2008" s="1" t="s">
        <v>2010</v>
      </c>
      <c r="B2008" s="2" t="s">
        <v>1996</v>
      </c>
      <c r="C2008" s="2"/>
      <c r="D2008" s="2" t="s">
        <v>11</v>
      </c>
      <c r="E2008" s="2">
        <v>10.0</v>
      </c>
      <c r="F2008" s="2" t="s">
        <v>12</v>
      </c>
      <c r="G2008" s="2"/>
      <c r="H2008" s="2"/>
      <c r="I2008" s="2"/>
    </row>
    <row r="2009">
      <c r="A2009" s="1" t="s">
        <v>2011</v>
      </c>
      <c r="B2009" s="2" t="s">
        <v>1996</v>
      </c>
      <c r="C2009" s="2"/>
      <c r="D2009" s="2" t="s">
        <v>11</v>
      </c>
      <c r="E2009" s="2">
        <v>5.0</v>
      </c>
      <c r="F2009" s="2" t="s">
        <v>12</v>
      </c>
      <c r="G2009" s="2"/>
      <c r="H2009" s="2"/>
      <c r="I2009" s="2"/>
    </row>
    <row r="2010">
      <c r="A2010" s="1" t="s">
        <v>2012</v>
      </c>
      <c r="B2010" s="2" t="s">
        <v>1996</v>
      </c>
      <c r="C2010" s="2"/>
      <c r="D2010" s="2" t="s">
        <v>11</v>
      </c>
      <c r="E2010" s="2">
        <v>5.0</v>
      </c>
      <c r="F2010" s="2" t="s">
        <v>12</v>
      </c>
      <c r="G2010" s="2"/>
      <c r="H2010" s="2"/>
      <c r="I2010" s="2"/>
    </row>
    <row r="2011">
      <c r="A2011" s="2" t="s">
        <v>2013</v>
      </c>
      <c r="B2011" s="2" t="s">
        <v>1996</v>
      </c>
      <c r="C2011" s="1"/>
      <c r="D2011" s="2"/>
      <c r="E2011" s="2"/>
      <c r="F2011" s="2"/>
      <c r="G2011" s="2"/>
      <c r="H2011" s="2"/>
      <c r="I2011" s="2"/>
    </row>
    <row r="2012">
      <c r="A2012" s="1" t="s">
        <v>2014</v>
      </c>
      <c r="B2012" s="2" t="s">
        <v>1996</v>
      </c>
      <c r="C2012" s="2"/>
      <c r="D2012" s="2" t="s">
        <v>11</v>
      </c>
      <c r="E2012" s="2">
        <v>3.0</v>
      </c>
      <c r="F2012" s="2" t="s">
        <v>12</v>
      </c>
      <c r="G2012" s="2"/>
      <c r="H2012" s="2"/>
      <c r="I2012" s="2"/>
    </row>
    <row r="2013">
      <c r="A2013" s="2" t="s">
        <v>2015</v>
      </c>
      <c r="B2013" s="2" t="s">
        <v>1996</v>
      </c>
      <c r="C2013" s="1"/>
      <c r="D2013" s="2"/>
      <c r="E2013" s="2"/>
      <c r="F2013" s="2"/>
      <c r="G2013" s="2"/>
      <c r="H2013" s="2"/>
      <c r="I2013" s="2"/>
    </row>
    <row r="2014">
      <c r="A2014" s="2" t="s">
        <v>2016</v>
      </c>
      <c r="B2014" s="2" t="s">
        <v>1996</v>
      </c>
      <c r="C2014" s="1"/>
      <c r="D2014" s="2"/>
      <c r="E2014" s="2"/>
      <c r="F2014" s="2"/>
      <c r="G2014" s="2"/>
      <c r="H2014" s="2"/>
      <c r="I2014" s="2"/>
    </row>
    <row r="2015">
      <c r="A2015" s="2" t="s">
        <v>2017</v>
      </c>
      <c r="B2015" s="2" t="s">
        <v>1996</v>
      </c>
      <c r="C2015" s="1"/>
      <c r="D2015" s="2"/>
      <c r="E2015" s="2"/>
      <c r="F2015" s="2"/>
      <c r="G2015" s="2"/>
      <c r="H2015" s="2"/>
      <c r="I2015" s="2"/>
    </row>
    <row r="2016">
      <c r="A2016" s="2" t="s">
        <v>2018</v>
      </c>
      <c r="B2016" s="2" t="s">
        <v>1996</v>
      </c>
      <c r="C2016" s="2"/>
      <c r="D2016" s="2" t="s">
        <v>11</v>
      </c>
      <c r="E2016" s="2">
        <v>10.0</v>
      </c>
      <c r="F2016" s="2" t="s">
        <v>12</v>
      </c>
      <c r="G2016" s="2"/>
      <c r="H2016" s="2"/>
      <c r="I2016" s="2"/>
    </row>
    <row r="2017">
      <c r="A2017" s="1" t="s">
        <v>2019</v>
      </c>
      <c r="B2017" s="2" t="s">
        <v>1996</v>
      </c>
      <c r="C2017" s="2"/>
      <c r="D2017" s="2" t="s">
        <v>11</v>
      </c>
      <c r="E2017" s="2">
        <v>3.0</v>
      </c>
      <c r="F2017" s="2" t="s">
        <v>12</v>
      </c>
      <c r="G2017" s="2"/>
      <c r="H2017" s="2"/>
      <c r="I2017" s="2"/>
    </row>
    <row r="2018">
      <c r="A2018" s="1" t="s">
        <v>2020</v>
      </c>
      <c r="B2018" s="2" t="s">
        <v>1996</v>
      </c>
      <c r="C2018" s="1"/>
      <c r="D2018" s="2"/>
      <c r="E2018" s="2"/>
      <c r="F2018" s="2"/>
      <c r="G2018" s="2"/>
      <c r="H2018" s="2"/>
      <c r="I2018" s="2"/>
    </row>
    <row r="2019">
      <c r="A2019" s="1" t="s">
        <v>2021</v>
      </c>
      <c r="B2019" s="2" t="s">
        <v>1996</v>
      </c>
      <c r="C2019" s="1"/>
      <c r="D2019" s="2"/>
      <c r="E2019" s="2"/>
      <c r="F2019" s="2"/>
      <c r="G2019" s="2"/>
      <c r="H2019" s="2"/>
      <c r="I2019" s="2"/>
    </row>
    <row r="2020">
      <c r="A2020" s="1" t="s">
        <v>2022</v>
      </c>
      <c r="B2020" s="2" t="s">
        <v>1996</v>
      </c>
      <c r="C2020" s="1"/>
      <c r="D2020" s="2"/>
      <c r="E2020" s="2"/>
      <c r="F2020" s="2"/>
      <c r="G2020" s="2"/>
      <c r="H2020" s="2"/>
      <c r="I2020" s="2"/>
    </row>
    <row r="2021">
      <c r="A2021" s="1" t="s">
        <v>2023</v>
      </c>
      <c r="B2021" s="2" t="s">
        <v>1996</v>
      </c>
      <c r="C2021" s="1"/>
      <c r="D2021" s="2"/>
      <c r="E2021" s="2"/>
      <c r="F2021" s="2"/>
      <c r="G2021" s="2"/>
      <c r="H2021" s="2"/>
      <c r="I2021" s="2"/>
    </row>
    <row r="2022">
      <c r="A2022" s="1" t="s">
        <v>2024</v>
      </c>
      <c r="B2022" s="2" t="s">
        <v>1996</v>
      </c>
      <c r="C2022" s="2"/>
      <c r="D2022" s="2" t="s">
        <v>11</v>
      </c>
      <c r="E2022" s="2">
        <v>10.0</v>
      </c>
      <c r="F2022" s="2" t="s">
        <v>12</v>
      </c>
      <c r="G2022" s="2"/>
      <c r="H2022" s="2"/>
      <c r="I2022" s="2"/>
    </row>
    <row r="2023">
      <c r="A2023" s="1" t="s">
        <v>2025</v>
      </c>
      <c r="B2023" s="2" t="s">
        <v>1996</v>
      </c>
      <c r="C2023" s="2"/>
      <c r="D2023" s="2" t="s">
        <v>11</v>
      </c>
      <c r="E2023" s="2">
        <v>5.0</v>
      </c>
      <c r="F2023" s="2" t="s">
        <v>12</v>
      </c>
      <c r="G2023" s="2"/>
      <c r="H2023" s="2"/>
      <c r="I2023" s="2"/>
    </row>
    <row r="2024">
      <c r="A2024" s="1" t="s">
        <v>2026</v>
      </c>
      <c r="B2024" s="2" t="s">
        <v>1996</v>
      </c>
      <c r="C2024" s="2"/>
      <c r="D2024" s="2" t="s">
        <v>11</v>
      </c>
      <c r="E2024" s="2">
        <v>6.0</v>
      </c>
      <c r="F2024" s="2" t="s">
        <v>12</v>
      </c>
      <c r="G2024" s="2"/>
      <c r="H2024" s="2"/>
      <c r="I2024" s="2"/>
    </row>
    <row r="2025">
      <c r="A2025" s="1" t="s">
        <v>2027</v>
      </c>
      <c r="B2025" s="2" t="s">
        <v>1996</v>
      </c>
      <c r="C2025" s="2"/>
      <c r="D2025" s="2" t="s">
        <v>11</v>
      </c>
      <c r="E2025" s="2">
        <v>3.0</v>
      </c>
      <c r="F2025" s="2" t="s">
        <v>12</v>
      </c>
      <c r="G2025" s="2"/>
      <c r="H2025" s="2"/>
      <c r="I2025" s="2"/>
    </row>
    <row r="2026">
      <c r="A2026" s="1" t="s">
        <v>2028</v>
      </c>
      <c r="B2026" s="2" t="s">
        <v>1996</v>
      </c>
      <c r="C2026" s="1"/>
      <c r="D2026" s="2"/>
      <c r="E2026" s="2"/>
      <c r="F2026" s="2"/>
      <c r="G2026" s="2"/>
      <c r="H2026" s="2"/>
      <c r="I2026" s="2"/>
    </row>
    <row r="2027">
      <c r="A2027" s="1" t="s">
        <v>2029</v>
      </c>
      <c r="B2027" s="2" t="s">
        <v>1996</v>
      </c>
      <c r="C2027" s="2"/>
      <c r="D2027" s="2" t="s">
        <v>11</v>
      </c>
      <c r="E2027" s="2">
        <v>10.0</v>
      </c>
      <c r="F2027" s="2" t="s">
        <v>12</v>
      </c>
      <c r="G2027" s="2"/>
      <c r="H2027" s="2"/>
      <c r="I2027" s="2"/>
    </row>
    <row r="2028">
      <c r="A2028" s="1" t="s">
        <v>2030</v>
      </c>
      <c r="B2028" s="2" t="s">
        <v>1996</v>
      </c>
      <c r="C2028" s="2"/>
      <c r="D2028" s="2" t="s">
        <v>11</v>
      </c>
      <c r="E2028" s="2">
        <v>10.0</v>
      </c>
      <c r="F2028" s="2" t="s">
        <v>12</v>
      </c>
      <c r="G2028" s="2"/>
      <c r="H2028" s="2"/>
      <c r="I2028" s="2"/>
    </row>
    <row r="2029">
      <c r="A2029" s="1" t="s">
        <v>2031</v>
      </c>
      <c r="B2029" s="2" t="s">
        <v>1996</v>
      </c>
      <c r="C2029" s="2"/>
      <c r="D2029" s="2" t="s">
        <v>37</v>
      </c>
      <c r="E2029" s="2">
        <v>7.0</v>
      </c>
      <c r="F2029" s="2" t="s">
        <v>12</v>
      </c>
      <c r="G2029" s="2"/>
      <c r="H2029" s="2"/>
      <c r="I2029" s="2"/>
    </row>
    <row r="2030">
      <c r="A2030" s="1" t="s">
        <v>2032</v>
      </c>
      <c r="B2030" s="2" t="s">
        <v>1996</v>
      </c>
      <c r="C2030" s="2"/>
      <c r="D2030" s="2" t="s">
        <v>37</v>
      </c>
      <c r="E2030" s="2">
        <v>10.0</v>
      </c>
      <c r="F2030" s="2" t="s">
        <v>12</v>
      </c>
      <c r="G2030" s="2"/>
      <c r="H2030" s="2"/>
      <c r="I2030" s="2"/>
    </row>
    <row r="2031">
      <c r="A2031" s="2" t="s">
        <v>2033</v>
      </c>
      <c r="B2031" s="2" t="s">
        <v>1996</v>
      </c>
      <c r="C2031" s="2"/>
      <c r="D2031" s="2" t="s">
        <v>11</v>
      </c>
      <c r="E2031" s="2">
        <v>15.0</v>
      </c>
      <c r="F2031" s="2" t="s">
        <v>12</v>
      </c>
      <c r="G2031" s="2"/>
      <c r="H2031" s="2"/>
      <c r="I2031" s="2"/>
    </row>
    <row r="2032">
      <c r="A2032" s="2" t="s">
        <v>2034</v>
      </c>
      <c r="B2032" s="2" t="s">
        <v>2035</v>
      </c>
      <c r="C2032" s="2"/>
      <c r="D2032" s="2" t="s">
        <v>11</v>
      </c>
      <c r="E2032" s="2">
        <v>10.0</v>
      </c>
      <c r="F2032" s="2" t="s">
        <v>12</v>
      </c>
      <c r="G2032" s="2"/>
      <c r="H2032" s="2"/>
      <c r="I2032" s="2"/>
    </row>
    <row r="2033">
      <c r="A2033" s="1" t="s">
        <v>2036</v>
      </c>
      <c r="B2033" s="2" t="s">
        <v>2035</v>
      </c>
      <c r="C2033" s="2"/>
      <c r="D2033" s="2" t="s">
        <v>11</v>
      </c>
      <c r="E2033" s="2">
        <v>14.0</v>
      </c>
      <c r="F2033" s="2" t="s">
        <v>12</v>
      </c>
      <c r="G2033" s="2"/>
      <c r="H2033" s="2"/>
      <c r="I2033" s="2"/>
    </row>
    <row r="2034">
      <c r="A2034" s="2" t="s">
        <v>2037</v>
      </c>
      <c r="B2034" s="2" t="s">
        <v>2035</v>
      </c>
      <c r="C2034" s="2"/>
      <c r="D2034" s="2" t="s">
        <v>11</v>
      </c>
      <c r="E2034" s="2">
        <v>14.0</v>
      </c>
      <c r="F2034" s="2" t="s">
        <v>12</v>
      </c>
      <c r="G2034" s="2"/>
      <c r="H2034" s="2"/>
      <c r="I2034" s="2"/>
    </row>
    <row r="2035">
      <c r="A2035" s="2" t="s">
        <v>2038</v>
      </c>
      <c r="B2035" s="2" t="s">
        <v>2035</v>
      </c>
      <c r="C2035" s="2"/>
      <c r="D2035" s="2" t="s">
        <v>11</v>
      </c>
      <c r="E2035" s="2">
        <v>10.0</v>
      </c>
      <c r="F2035" s="2" t="s">
        <v>12</v>
      </c>
      <c r="G2035" s="2"/>
      <c r="H2035" s="2"/>
      <c r="I2035" s="2"/>
    </row>
    <row r="2036">
      <c r="A2036" s="2" t="s">
        <v>2039</v>
      </c>
      <c r="B2036" s="2" t="s">
        <v>2035</v>
      </c>
      <c r="C2036" s="2"/>
      <c r="D2036" s="2" t="s">
        <v>11</v>
      </c>
      <c r="E2036" s="2">
        <v>10.0</v>
      </c>
      <c r="F2036" s="2" t="s">
        <v>12</v>
      </c>
      <c r="G2036" s="2"/>
      <c r="H2036" s="2"/>
      <c r="I2036" s="2"/>
    </row>
    <row r="2037">
      <c r="A2037" s="2" t="s">
        <v>2040</v>
      </c>
      <c r="B2037" s="2" t="s">
        <v>2035</v>
      </c>
      <c r="C2037" s="1"/>
      <c r="D2037" s="2"/>
      <c r="E2037" s="2"/>
      <c r="F2037" s="2"/>
      <c r="G2037" s="2"/>
      <c r="H2037" s="2"/>
      <c r="I2037" s="2"/>
    </row>
    <row r="2038">
      <c r="A2038" s="1" t="s">
        <v>2041</v>
      </c>
      <c r="B2038" s="2" t="s">
        <v>2035</v>
      </c>
      <c r="C2038" s="2"/>
      <c r="D2038" s="2" t="s">
        <v>11</v>
      </c>
      <c r="E2038" s="2">
        <v>10.0</v>
      </c>
      <c r="F2038" s="2" t="s">
        <v>12</v>
      </c>
      <c r="G2038" s="2"/>
      <c r="H2038" s="2"/>
      <c r="I2038" s="2"/>
    </row>
    <row r="2039">
      <c r="A2039" s="1" t="s">
        <v>2042</v>
      </c>
      <c r="B2039" s="2" t="s">
        <v>2035</v>
      </c>
      <c r="C2039" s="2"/>
      <c r="D2039" s="2" t="s">
        <v>11</v>
      </c>
      <c r="E2039" s="2">
        <v>10.0</v>
      </c>
      <c r="F2039" s="2" t="s">
        <v>12</v>
      </c>
      <c r="G2039" s="2"/>
      <c r="H2039" s="2"/>
      <c r="I2039" s="2"/>
    </row>
    <row r="2040">
      <c r="A2040" s="1" t="s">
        <v>2043</v>
      </c>
      <c r="B2040" s="2" t="s">
        <v>2035</v>
      </c>
      <c r="C2040" s="2"/>
      <c r="D2040" s="2" t="s">
        <v>11</v>
      </c>
      <c r="E2040" s="2">
        <v>10.0</v>
      </c>
      <c r="F2040" s="2" t="s">
        <v>12</v>
      </c>
      <c r="G2040" s="2"/>
      <c r="H2040" s="2"/>
      <c r="I2040" s="2"/>
    </row>
    <row r="2041">
      <c r="A2041" s="1" t="s">
        <v>2044</v>
      </c>
      <c r="B2041" s="2" t="s">
        <v>2035</v>
      </c>
      <c r="C2041" s="2"/>
      <c r="D2041" s="2" t="s">
        <v>11</v>
      </c>
      <c r="E2041" s="2">
        <v>10.0</v>
      </c>
      <c r="F2041" s="2" t="s">
        <v>12</v>
      </c>
      <c r="G2041" s="2"/>
      <c r="H2041" s="2"/>
      <c r="I2041" s="2"/>
    </row>
    <row r="2042">
      <c r="A2042" s="1" t="s">
        <v>2045</v>
      </c>
      <c r="B2042" s="2" t="s">
        <v>2035</v>
      </c>
      <c r="C2042" s="2"/>
      <c r="D2042" s="2" t="s">
        <v>11</v>
      </c>
      <c r="E2042" s="2">
        <v>10.0</v>
      </c>
      <c r="F2042" s="2" t="s">
        <v>12</v>
      </c>
      <c r="G2042" s="2"/>
      <c r="H2042" s="2"/>
      <c r="I2042" s="2"/>
    </row>
    <row r="2043">
      <c r="A2043" s="2" t="s">
        <v>2046</v>
      </c>
      <c r="B2043" s="2" t="s">
        <v>2035</v>
      </c>
      <c r="C2043" s="2"/>
      <c r="D2043" s="2" t="s">
        <v>11</v>
      </c>
      <c r="E2043" s="2">
        <v>10.0</v>
      </c>
      <c r="F2043" s="2" t="s">
        <v>12</v>
      </c>
      <c r="G2043" s="2"/>
      <c r="H2043" s="2"/>
      <c r="I2043" s="2"/>
    </row>
    <row r="2044">
      <c r="A2044" s="1" t="s">
        <v>2047</v>
      </c>
      <c r="B2044" s="2" t="s">
        <v>2035</v>
      </c>
      <c r="C2044" s="2"/>
      <c r="D2044" s="2" t="s">
        <v>11</v>
      </c>
      <c r="E2044" s="2">
        <v>6.0</v>
      </c>
      <c r="F2044" s="2" t="s">
        <v>12</v>
      </c>
      <c r="G2044" s="2"/>
      <c r="H2044" s="2"/>
      <c r="I2044" s="2"/>
    </row>
    <row r="2045">
      <c r="A2045" s="1" t="s">
        <v>2048</v>
      </c>
      <c r="B2045" s="2" t="s">
        <v>2035</v>
      </c>
      <c r="C2045" s="2"/>
      <c r="D2045" s="2" t="s">
        <v>11</v>
      </c>
      <c r="E2045" s="2">
        <v>10.0</v>
      </c>
      <c r="F2045" s="2" t="s">
        <v>12</v>
      </c>
      <c r="G2045" s="2"/>
      <c r="H2045" s="2"/>
      <c r="I2045" s="2"/>
    </row>
    <row r="2046">
      <c r="A2046" s="2" t="s">
        <v>2049</v>
      </c>
      <c r="B2046" s="2" t="s">
        <v>2035</v>
      </c>
      <c r="C2046" s="1"/>
      <c r="D2046" s="2"/>
      <c r="E2046" s="2"/>
      <c r="F2046" s="2"/>
      <c r="G2046" s="2"/>
      <c r="H2046" s="2"/>
      <c r="I2046" s="2"/>
    </row>
    <row r="2047">
      <c r="A2047" s="2" t="s">
        <v>2050</v>
      </c>
      <c r="B2047" s="2" t="s">
        <v>2035</v>
      </c>
      <c r="C2047" s="1"/>
      <c r="D2047" s="2"/>
      <c r="E2047" s="2"/>
      <c r="F2047" s="2"/>
      <c r="G2047" s="2"/>
      <c r="H2047" s="2"/>
      <c r="I2047" s="2"/>
    </row>
    <row r="2048">
      <c r="A2048" s="2" t="s">
        <v>2051</v>
      </c>
      <c r="B2048" s="2" t="s">
        <v>2035</v>
      </c>
      <c r="C2048" s="2"/>
      <c r="D2048" s="2" t="s">
        <v>11</v>
      </c>
      <c r="E2048" s="2">
        <v>6.0</v>
      </c>
      <c r="F2048" s="2" t="s">
        <v>12</v>
      </c>
      <c r="G2048" s="2"/>
      <c r="H2048" s="2"/>
      <c r="I2048" s="2"/>
    </row>
    <row r="2049">
      <c r="A2049" s="2" t="s">
        <v>2052</v>
      </c>
      <c r="B2049" s="2" t="s">
        <v>2035</v>
      </c>
      <c r="C2049" s="1"/>
      <c r="D2049" s="2"/>
      <c r="E2049" s="2"/>
      <c r="F2049" s="2"/>
      <c r="G2049" s="2"/>
      <c r="H2049" s="2"/>
      <c r="I2049" s="2"/>
    </row>
    <row r="2050">
      <c r="A2050" s="2" t="s">
        <v>2053</v>
      </c>
      <c r="B2050" s="2" t="s">
        <v>2035</v>
      </c>
      <c r="C2050" s="1"/>
      <c r="D2050" s="2"/>
      <c r="E2050" s="2"/>
      <c r="F2050" s="2"/>
      <c r="G2050" s="2"/>
      <c r="H2050" s="2"/>
      <c r="I2050" s="2"/>
    </row>
    <row r="2051">
      <c r="A2051" s="2" t="s">
        <v>2054</v>
      </c>
      <c r="B2051" s="2" t="s">
        <v>2035</v>
      </c>
      <c r="C2051" s="1"/>
      <c r="D2051" s="2"/>
      <c r="E2051" s="2"/>
      <c r="F2051" s="2"/>
      <c r="G2051" s="2"/>
      <c r="H2051" s="2"/>
      <c r="I2051" s="2"/>
    </row>
    <row r="2052">
      <c r="A2052" s="2" t="s">
        <v>2055</v>
      </c>
      <c r="B2052" s="2" t="s">
        <v>2035</v>
      </c>
      <c r="C2052" s="2"/>
      <c r="D2052" s="2"/>
      <c r="E2052" s="2"/>
      <c r="F2052" s="2"/>
      <c r="G2052" s="2"/>
      <c r="H2052" s="2"/>
      <c r="I2052" s="2"/>
    </row>
    <row r="2053">
      <c r="A2053" s="1" t="s">
        <v>2056</v>
      </c>
      <c r="B2053" s="2" t="s">
        <v>2035</v>
      </c>
      <c r="C2053" s="2"/>
      <c r="D2053" s="2" t="s">
        <v>11</v>
      </c>
      <c r="E2053" s="2">
        <v>10.0</v>
      </c>
      <c r="F2053" s="2" t="s">
        <v>12</v>
      </c>
      <c r="G2053" s="2"/>
      <c r="H2053" s="2"/>
      <c r="I2053" s="2"/>
    </row>
    <row r="2054">
      <c r="A2054" s="1" t="s">
        <v>2057</v>
      </c>
      <c r="B2054" s="2" t="s">
        <v>2035</v>
      </c>
      <c r="C2054" s="2"/>
      <c r="D2054" s="2" t="s">
        <v>11</v>
      </c>
      <c r="E2054" s="2">
        <v>10.0</v>
      </c>
      <c r="F2054" s="2" t="s">
        <v>12</v>
      </c>
      <c r="G2054" s="2"/>
      <c r="H2054" s="2"/>
      <c r="I2054" s="2"/>
    </row>
    <row r="2055">
      <c r="A2055" s="2" t="s">
        <v>2058</v>
      </c>
      <c r="B2055" s="2" t="s">
        <v>2035</v>
      </c>
      <c r="C2055" s="2"/>
      <c r="D2055" s="2" t="s">
        <v>37</v>
      </c>
      <c r="E2055" s="2">
        <v>10.0</v>
      </c>
      <c r="F2055" s="2" t="s">
        <v>12</v>
      </c>
      <c r="G2055" s="2"/>
      <c r="H2055" s="2"/>
      <c r="I2055" s="2"/>
    </row>
    <row r="2056">
      <c r="A2056" s="2" t="s">
        <v>2059</v>
      </c>
      <c r="B2056" s="2" t="s">
        <v>2035</v>
      </c>
      <c r="C2056" s="2"/>
      <c r="D2056" s="2" t="s">
        <v>37</v>
      </c>
      <c r="E2056" s="2">
        <v>10.0</v>
      </c>
      <c r="F2056" s="2" t="s">
        <v>12</v>
      </c>
      <c r="G2056" s="2"/>
      <c r="H2056" s="2"/>
      <c r="I2056" s="2"/>
    </row>
    <row r="2057">
      <c r="A2057" s="1" t="s">
        <v>2060</v>
      </c>
      <c r="B2057" s="2" t="s">
        <v>2035</v>
      </c>
      <c r="C2057" s="2"/>
      <c r="D2057" s="2" t="s">
        <v>11</v>
      </c>
      <c r="E2057" s="2">
        <v>10.0</v>
      </c>
      <c r="F2057" s="2" t="s">
        <v>12</v>
      </c>
      <c r="G2057" s="2"/>
      <c r="H2057" s="2"/>
      <c r="I2057" s="2"/>
    </row>
    <row r="2058">
      <c r="A2058" s="1" t="s">
        <v>2061</v>
      </c>
      <c r="B2058" s="2" t="s">
        <v>2035</v>
      </c>
      <c r="C2058" s="2"/>
      <c r="D2058" s="2" t="s">
        <v>11</v>
      </c>
      <c r="E2058" s="2"/>
      <c r="F2058" s="2"/>
      <c r="G2058" s="2"/>
      <c r="H2058" s="2"/>
      <c r="I2058" s="2"/>
    </row>
    <row r="2059">
      <c r="A2059" s="1" t="s">
        <v>2062</v>
      </c>
      <c r="B2059" s="2" t="s">
        <v>2035</v>
      </c>
      <c r="C2059" s="2"/>
      <c r="D2059" s="2" t="s">
        <v>11</v>
      </c>
      <c r="E2059" s="2">
        <v>10.0</v>
      </c>
      <c r="F2059" s="2" t="s">
        <v>12</v>
      </c>
      <c r="G2059" s="2"/>
      <c r="H2059" s="2"/>
      <c r="I2059" s="2"/>
    </row>
    <row r="2060">
      <c r="A2060" s="1" t="s">
        <v>2063</v>
      </c>
      <c r="B2060" s="2" t="s">
        <v>2035</v>
      </c>
      <c r="C2060" s="2"/>
      <c r="D2060" s="2" t="s">
        <v>11</v>
      </c>
      <c r="E2060" s="2">
        <v>10.0</v>
      </c>
      <c r="F2060" s="2" t="s">
        <v>12</v>
      </c>
      <c r="G2060" s="2"/>
      <c r="H2060" s="2"/>
      <c r="I2060" s="2"/>
    </row>
    <row r="2061">
      <c r="A2061" s="1" t="s">
        <v>2064</v>
      </c>
      <c r="B2061" s="2" t="s">
        <v>2035</v>
      </c>
      <c r="C2061" s="2"/>
      <c r="D2061" s="2" t="s">
        <v>11</v>
      </c>
      <c r="E2061" s="2">
        <v>10.0</v>
      </c>
      <c r="F2061" s="2" t="s">
        <v>12</v>
      </c>
      <c r="G2061" s="2"/>
      <c r="H2061" s="2"/>
      <c r="I2061" s="2"/>
    </row>
    <row r="2062">
      <c r="A2062" s="2" t="s">
        <v>2065</v>
      </c>
      <c r="B2062" s="2" t="s">
        <v>2035</v>
      </c>
      <c r="C2062" s="2"/>
      <c r="D2062" s="2" t="s">
        <v>11</v>
      </c>
      <c r="E2062" s="2">
        <v>10.0</v>
      </c>
      <c r="F2062" s="2" t="s">
        <v>12</v>
      </c>
      <c r="G2062" s="2"/>
      <c r="H2062" s="2"/>
      <c r="I2062" s="2"/>
    </row>
    <row r="2063">
      <c r="A2063" s="2" t="s">
        <v>2066</v>
      </c>
      <c r="B2063" s="2" t="s">
        <v>2035</v>
      </c>
      <c r="C2063" s="1"/>
      <c r="D2063" s="2"/>
      <c r="E2063" s="2"/>
      <c r="F2063" s="2"/>
      <c r="G2063" s="2"/>
      <c r="H2063" s="2"/>
      <c r="I2063" s="2"/>
    </row>
    <row r="2064">
      <c r="A2064" s="1" t="s">
        <v>2067</v>
      </c>
      <c r="B2064" s="2" t="s">
        <v>2035</v>
      </c>
      <c r="C2064" s="2"/>
      <c r="D2064" s="2" t="s">
        <v>11</v>
      </c>
      <c r="E2064" s="2">
        <v>6.0</v>
      </c>
      <c r="F2064" s="2" t="s">
        <v>12</v>
      </c>
      <c r="G2064" s="2"/>
      <c r="H2064" s="2"/>
      <c r="I2064" s="2"/>
    </row>
    <row r="2065">
      <c r="A2065" s="1" t="s">
        <v>2068</v>
      </c>
      <c r="B2065" s="2" t="s">
        <v>2035</v>
      </c>
      <c r="C2065" s="2"/>
      <c r="D2065" s="2" t="s">
        <v>11</v>
      </c>
      <c r="E2065" s="2">
        <v>3.0</v>
      </c>
      <c r="F2065" s="2" t="s">
        <v>12</v>
      </c>
      <c r="G2065" s="2"/>
      <c r="H2065" s="2"/>
      <c r="I2065" s="2"/>
    </row>
    <row r="2066">
      <c r="A2066" s="2" t="s">
        <v>2069</v>
      </c>
      <c r="B2066" s="2" t="s">
        <v>2035</v>
      </c>
      <c r="C2066" s="2"/>
      <c r="D2066" s="2" t="s">
        <v>11</v>
      </c>
      <c r="E2066" s="2">
        <v>10.0</v>
      </c>
      <c r="F2066" s="2" t="s">
        <v>12</v>
      </c>
      <c r="G2066" s="2"/>
      <c r="H2066" s="2"/>
      <c r="I2066" s="2"/>
    </row>
    <row r="2067">
      <c r="A2067" s="1" t="s">
        <v>2070</v>
      </c>
      <c r="B2067" s="2" t="s">
        <v>2035</v>
      </c>
      <c r="C2067" s="2"/>
      <c r="D2067" s="2" t="s">
        <v>11</v>
      </c>
      <c r="E2067" s="2">
        <v>14.0</v>
      </c>
      <c r="F2067" s="2" t="s">
        <v>12</v>
      </c>
      <c r="G2067" s="2"/>
      <c r="H2067" s="2"/>
      <c r="I2067" s="2"/>
    </row>
    <row r="2068">
      <c r="A2068" s="1" t="s">
        <v>2071</v>
      </c>
      <c r="B2068" s="2" t="s">
        <v>2035</v>
      </c>
      <c r="C2068" s="2"/>
      <c r="D2068" s="2" t="s">
        <v>11</v>
      </c>
      <c r="E2068" s="2">
        <v>14.0</v>
      </c>
      <c r="F2068" s="2" t="s">
        <v>12</v>
      </c>
      <c r="G2068" s="2"/>
      <c r="H2068" s="2"/>
      <c r="I2068" s="2"/>
    </row>
    <row r="2069">
      <c r="A2069" s="1" t="s">
        <v>2072</v>
      </c>
      <c r="B2069" s="2" t="s">
        <v>2035</v>
      </c>
      <c r="C2069" s="2"/>
      <c r="D2069" s="2" t="s">
        <v>11</v>
      </c>
      <c r="E2069" s="2">
        <v>10.0</v>
      </c>
      <c r="F2069" s="2" t="s">
        <v>12</v>
      </c>
      <c r="G2069" s="2"/>
      <c r="H2069" s="2"/>
      <c r="I2069" s="2"/>
    </row>
    <row r="2070">
      <c r="A2070" s="1" t="s">
        <v>2073</v>
      </c>
      <c r="B2070" s="2" t="s">
        <v>2035</v>
      </c>
      <c r="C2070" s="2"/>
      <c r="D2070" s="2" t="s">
        <v>11</v>
      </c>
      <c r="E2070" s="2">
        <v>10.0</v>
      </c>
      <c r="F2070" s="2" t="s">
        <v>12</v>
      </c>
      <c r="G2070" s="2"/>
      <c r="H2070" s="2"/>
      <c r="I2070" s="2"/>
    </row>
    <row r="2071">
      <c r="A2071" s="2" t="s">
        <v>2074</v>
      </c>
      <c r="B2071" s="2" t="s">
        <v>2035</v>
      </c>
      <c r="C2071" s="2"/>
      <c r="D2071" s="2" t="s">
        <v>11</v>
      </c>
      <c r="E2071" s="2">
        <v>10.0</v>
      </c>
      <c r="F2071" s="2" t="s">
        <v>12</v>
      </c>
      <c r="G2071" s="2"/>
      <c r="H2071" s="2"/>
      <c r="I2071" s="2"/>
    </row>
    <row r="2072">
      <c r="A2072" s="1" t="s">
        <v>2075</v>
      </c>
      <c r="B2072" s="2" t="s">
        <v>2035</v>
      </c>
      <c r="C2072" s="2"/>
      <c r="D2072" s="2" t="s">
        <v>11</v>
      </c>
      <c r="E2072" s="2">
        <v>15.0</v>
      </c>
      <c r="F2072" s="2" t="s">
        <v>12</v>
      </c>
      <c r="G2072" s="2"/>
      <c r="H2072" s="2"/>
      <c r="I2072" s="2"/>
    </row>
    <row r="2073">
      <c r="A2073" s="2" t="s">
        <v>2076</v>
      </c>
      <c r="B2073" s="2" t="s">
        <v>2035</v>
      </c>
      <c r="C2073" s="2"/>
      <c r="D2073" s="2" t="s">
        <v>11</v>
      </c>
      <c r="E2073" s="2">
        <v>10.0</v>
      </c>
      <c r="F2073" s="2" t="s">
        <v>12</v>
      </c>
      <c r="G2073" s="2"/>
      <c r="H2073" s="2"/>
      <c r="I2073" s="2"/>
    </row>
    <row r="2074">
      <c r="A2074" s="1" t="s">
        <v>2077</v>
      </c>
      <c r="B2074" s="2" t="s">
        <v>2035</v>
      </c>
      <c r="C2074" s="2"/>
      <c r="D2074" s="2" t="s">
        <v>11</v>
      </c>
      <c r="E2074" s="2">
        <v>15.0</v>
      </c>
      <c r="F2074" s="2" t="s">
        <v>12</v>
      </c>
      <c r="G2074" s="2"/>
      <c r="H2074" s="2"/>
      <c r="I2074" s="2"/>
    </row>
    <row r="2075">
      <c r="A2075" s="2" t="s">
        <v>2078</v>
      </c>
      <c r="B2075" s="2" t="s">
        <v>2035</v>
      </c>
      <c r="C2075" s="2"/>
      <c r="D2075" s="2" t="s">
        <v>11</v>
      </c>
      <c r="E2075" s="2">
        <v>10.0</v>
      </c>
      <c r="F2075" s="2" t="s">
        <v>12</v>
      </c>
      <c r="G2075" s="2"/>
      <c r="H2075" s="2"/>
      <c r="I2075" s="2"/>
    </row>
    <row r="2076">
      <c r="A2076" s="2" t="s">
        <v>2079</v>
      </c>
      <c r="B2076" s="2" t="s">
        <v>2035</v>
      </c>
      <c r="C2076" s="2"/>
      <c r="D2076" s="2" t="s">
        <v>11</v>
      </c>
      <c r="E2076" s="2">
        <v>10.0</v>
      </c>
      <c r="F2076" s="2" t="s">
        <v>12</v>
      </c>
      <c r="G2076" s="2"/>
      <c r="H2076" s="2"/>
      <c r="I2076" s="2"/>
    </row>
    <row r="2077">
      <c r="A2077" s="1" t="s">
        <v>2080</v>
      </c>
      <c r="B2077" s="2" t="s">
        <v>2035</v>
      </c>
      <c r="C2077" s="2"/>
      <c r="D2077" s="2" t="s">
        <v>11</v>
      </c>
      <c r="E2077" s="2">
        <v>10.0</v>
      </c>
      <c r="F2077" s="2" t="s">
        <v>12</v>
      </c>
      <c r="G2077" s="2"/>
      <c r="H2077" s="2"/>
      <c r="I2077" s="2"/>
    </row>
    <row r="2078">
      <c r="A2078" s="1" t="s">
        <v>2081</v>
      </c>
      <c r="B2078" s="2" t="s">
        <v>2035</v>
      </c>
      <c r="C2078" s="2"/>
      <c r="D2078" s="2" t="s">
        <v>11</v>
      </c>
      <c r="E2078" s="2">
        <v>10.0</v>
      </c>
      <c r="F2078" s="2" t="s">
        <v>12</v>
      </c>
      <c r="G2078" s="2"/>
      <c r="H2078" s="2"/>
      <c r="I2078" s="2"/>
    </row>
    <row r="2079">
      <c r="A2079" s="2" t="s">
        <v>2082</v>
      </c>
      <c r="B2079" s="2" t="s">
        <v>2035</v>
      </c>
      <c r="C2079" s="2"/>
      <c r="D2079" s="2" t="s">
        <v>11</v>
      </c>
      <c r="E2079" s="2">
        <v>10.0</v>
      </c>
      <c r="F2079" s="2" t="s">
        <v>12</v>
      </c>
      <c r="G2079" s="2"/>
      <c r="H2079" s="2"/>
      <c r="I2079" s="2"/>
    </row>
    <row r="2080">
      <c r="A2080" s="2" t="s">
        <v>2083</v>
      </c>
      <c r="B2080" s="2" t="s">
        <v>2035</v>
      </c>
      <c r="C2080" s="2"/>
      <c r="D2080" s="2" t="s">
        <v>11</v>
      </c>
      <c r="E2080" s="2">
        <v>10.0</v>
      </c>
      <c r="F2080" s="2" t="s">
        <v>12</v>
      </c>
      <c r="G2080" s="2"/>
      <c r="H2080" s="2"/>
      <c r="I2080" s="2"/>
    </row>
    <row r="2081">
      <c r="A2081" s="1" t="s">
        <v>2084</v>
      </c>
      <c r="B2081" s="2" t="s">
        <v>2035</v>
      </c>
      <c r="C2081" s="2"/>
      <c r="D2081" s="2" t="s">
        <v>37</v>
      </c>
      <c r="E2081" s="2">
        <v>10.0</v>
      </c>
      <c r="F2081" s="2" t="s">
        <v>12</v>
      </c>
      <c r="G2081" s="2"/>
      <c r="H2081" s="2"/>
      <c r="I2081" s="2"/>
    </row>
    <row r="2082">
      <c r="A2082" s="1" t="s">
        <v>2085</v>
      </c>
      <c r="B2082" s="2" t="s">
        <v>2035</v>
      </c>
      <c r="C2082" s="2"/>
      <c r="D2082" s="2" t="s">
        <v>37</v>
      </c>
      <c r="E2082" s="2">
        <v>10.0</v>
      </c>
      <c r="F2082" s="2" t="s">
        <v>12</v>
      </c>
      <c r="G2082" s="2"/>
      <c r="H2082" s="2"/>
      <c r="I2082" s="2"/>
    </row>
    <row r="2083">
      <c r="A2083" s="1" t="s">
        <v>2086</v>
      </c>
      <c r="B2083" s="2" t="s">
        <v>2035</v>
      </c>
      <c r="C2083" s="2"/>
      <c r="D2083" s="2" t="s">
        <v>11</v>
      </c>
      <c r="E2083" s="2">
        <v>10.0</v>
      </c>
      <c r="F2083" s="2" t="s">
        <v>12</v>
      </c>
      <c r="G2083" s="2"/>
      <c r="H2083" s="2"/>
      <c r="I2083" s="2"/>
    </row>
    <row r="2084">
      <c r="A2084" s="2" t="s">
        <v>2087</v>
      </c>
      <c r="B2084" s="2" t="s">
        <v>2035</v>
      </c>
      <c r="C2084" s="2"/>
      <c r="D2084" s="2" t="s">
        <v>11</v>
      </c>
      <c r="E2084" s="2">
        <v>10.0</v>
      </c>
      <c r="F2084" s="2" t="s">
        <v>12</v>
      </c>
      <c r="G2084" s="2"/>
      <c r="H2084" s="2"/>
      <c r="I2084" s="2"/>
    </row>
    <row r="2085">
      <c r="A2085" s="2" t="s">
        <v>2088</v>
      </c>
      <c r="B2085" s="2" t="s">
        <v>2035</v>
      </c>
      <c r="C2085" s="2"/>
      <c r="D2085" s="2" t="s">
        <v>11</v>
      </c>
      <c r="E2085" s="2">
        <v>10.0</v>
      </c>
      <c r="F2085" s="2" t="s">
        <v>12</v>
      </c>
      <c r="G2085" s="2"/>
      <c r="H2085" s="2"/>
      <c r="I2085" s="2"/>
    </row>
    <row r="2086">
      <c r="A2086" s="1" t="s">
        <v>2089</v>
      </c>
      <c r="B2086" s="2" t="s">
        <v>2035</v>
      </c>
      <c r="C2086" s="2"/>
      <c r="D2086" s="2" t="s">
        <v>11</v>
      </c>
      <c r="E2086" s="2">
        <v>10.0</v>
      </c>
      <c r="F2086" s="2" t="s">
        <v>12</v>
      </c>
      <c r="G2086" s="2"/>
      <c r="H2086" s="2"/>
      <c r="I2086" s="2"/>
    </row>
    <row r="2087">
      <c r="A2087" s="1" t="s">
        <v>2090</v>
      </c>
      <c r="B2087" s="2" t="s">
        <v>2035</v>
      </c>
      <c r="C2087" s="2"/>
      <c r="D2087" s="2" t="s">
        <v>11</v>
      </c>
      <c r="E2087" s="2">
        <v>10.0</v>
      </c>
      <c r="F2087" s="2" t="s">
        <v>12</v>
      </c>
      <c r="G2087" s="2"/>
      <c r="H2087" s="2"/>
      <c r="I2087" s="2"/>
    </row>
    <row r="2088">
      <c r="A2088" s="1" t="s">
        <v>2091</v>
      </c>
      <c r="B2088" s="2" t="s">
        <v>2035</v>
      </c>
      <c r="C2088" s="2"/>
      <c r="D2088" s="2" t="s">
        <v>11</v>
      </c>
      <c r="E2088" s="2">
        <v>10.0</v>
      </c>
      <c r="F2088" s="2" t="s">
        <v>12</v>
      </c>
      <c r="G2088" s="2"/>
      <c r="H2088" s="2"/>
      <c r="I2088" s="2"/>
    </row>
    <row r="2089">
      <c r="A2089" s="1" t="s">
        <v>2092</v>
      </c>
      <c r="B2089" s="2" t="s">
        <v>2035</v>
      </c>
      <c r="C2089" s="2"/>
      <c r="D2089" s="2" t="s">
        <v>11</v>
      </c>
      <c r="E2089" s="2">
        <v>10.0</v>
      </c>
      <c r="F2089" s="2" t="s">
        <v>12</v>
      </c>
      <c r="G2089" s="2"/>
      <c r="H2089" s="2"/>
      <c r="I2089" s="2"/>
    </row>
    <row r="2090">
      <c r="A2090" s="1" t="s">
        <v>2093</v>
      </c>
      <c r="B2090" s="2" t="s">
        <v>2035</v>
      </c>
      <c r="C2090" s="2"/>
      <c r="D2090" s="2" t="s">
        <v>11</v>
      </c>
      <c r="E2090" s="2">
        <v>10.0</v>
      </c>
      <c r="F2090" s="2" t="s">
        <v>12</v>
      </c>
      <c r="G2090" s="2"/>
      <c r="H2090" s="2"/>
      <c r="I2090" s="2"/>
    </row>
    <row r="2091">
      <c r="A2091" s="2" t="s">
        <v>2094</v>
      </c>
      <c r="B2091" s="2" t="s">
        <v>2035</v>
      </c>
      <c r="C2091" s="2"/>
      <c r="D2091" s="2" t="s">
        <v>11</v>
      </c>
      <c r="E2091" s="2">
        <v>10.0</v>
      </c>
      <c r="F2091" s="2" t="s">
        <v>12</v>
      </c>
      <c r="G2091" s="2"/>
      <c r="H2091" s="2"/>
      <c r="I2091" s="2"/>
    </row>
    <row r="2092">
      <c r="A2092" s="2" t="s">
        <v>2095</v>
      </c>
      <c r="B2092" s="2" t="s">
        <v>2035</v>
      </c>
      <c r="C2092" s="2"/>
      <c r="D2092" s="2" t="s">
        <v>11</v>
      </c>
      <c r="E2092" s="2">
        <v>10.0</v>
      </c>
      <c r="F2092" s="2" t="s">
        <v>12</v>
      </c>
      <c r="G2092" s="2"/>
      <c r="H2092" s="2"/>
      <c r="I2092" s="2"/>
    </row>
    <row r="2093">
      <c r="A2093" s="2" t="s">
        <v>2096</v>
      </c>
      <c r="B2093" s="2" t="s">
        <v>2035</v>
      </c>
      <c r="C2093" s="2"/>
      <c r="D2093" s="2" t="s">
        <v>11</v>
      </c>
      <c r="E2093" s="2">
        <v>7.0</v>
      </c>
      <c r="F2093" s="2" t="s">
        <v>12</v>
      </c>
      <c r="G2093" s="2"/>
      <c r="H2093" s="2"/>
      <c r="I2093" s="2"/>
    </row>
    <row r="2094">
      <c r="A2094" s="2" t="s">
        <v>2097</v>
      </c>
      <c r="B2094" s="2" t="s">
        <v>2035</v>
      </c>
      <c r="C2094" s="1"/>
      <c r="D2094" s="2"/>
      <c r="E2094" s="2"/>
      <c r="F2094" s="2"/>
      <c r="G2094" s="2"/>
      <c r="H2094" s="2"/>
      <c r="I2094" s="2"/>
    </row>
    <row r="2095">
      <c r="A2095" s="2" t="s">
        <v>2098</v>
      </c>
      <c r="B2095" s="2" t="s">
        <v>2035</v>
      </c>
      <c r="C2095" s="2"/>
      <c r="D2095" s="2" t="s">
        <v>11</v>
      </c>
      <c r="E2095" s="2">
        <v>10.0</v>
      </c>
      <c r="F2095" s="2" t="s">
        <v>12</v>
      </c>
      <c r="G2095" s="2"/>
      <c r="H2095" s="2"/>
      <c r="I2095" s="2"/>
    </row>
    <row r="2096">
      <c r="A2096" s="1" t="s">
        <v>2099</v>
      </c>
      <c r="B2096" s="2" t="s">
        <v>2035</v>
      </c>
      <c r="C2096" s="2"/>
      <c r="D2096" s="2" t="s">
        <v>11</v>
      </c>
      <c r="E2096" s="2">
        <v>6.0</v>
      </c>
      <c r="F2096" s="2" t="s">
        <v>12</v>
      </c>
      <c r="G2096" s="2"/>
      <c r="H2096" s="2"/>
      <c r="I2096" s="2"/>
    </row>
    <row r="2097">
      <c r="A2097" s="1" t="s">
        <v>2100</v>
      </c>
      <c r="B2097" s="2" t="s">
        <v>2101</v>
      </c>
      <c r="C2097" s="2"/>
      <c r="D2097" s="2" t="s">
        <v>11</v>
      </c>
      <c r="E2097" s="2">
        <v>10.0</v>
      </c>
      <c r="F2097" s="2" t="s">
        <v>12</v>
      </c>
      <c r="G2097" s="2"/>
      <c r="H2097" s="2"/>
      <c r="I2097" s="2"/>
    </row>
    <row r="2098">
      <c r="A2098" s="1" t="s">
        <v>2102</v>
      </c>
      <c r="B2098" s="2" t="s">
        <v>2101</v>
      </c>
      <c r="C2098" s="2"/>
      <c r="D2098" s="2" t="s">
        <v>11</v>
      </c>
      <c r="E2098" s="2">
        <v>10.0</v>
      </c>
      <c r="F2098" s="2" t="s">
        <v>12</v>
      </c>
      <c r="G2098" s="2"/>
      <c r="H2098" s="2"/>
      <c r="I2098" s="2"/>
    </row>
    <row r="2099">
      <c r="A2099" s="1" t="s">
        <v>2103</v>
      </c>
      <c r="B2099" s="2" t="s">
        <v>2101</v>
      </c>
      <c r="C2099" s="2"/>
      <c r="D2099" s="2" t="s">
        <v>11</v>
      </c>
      <c r="E2099" s="2">
        <v>10.0</v>
      </c>
      <c r="F2099" s="2" t="s">
        <v>12</v>
      </c>
      <c r="G2099" s="2"/>
      <c r="H2099" s="2"/>
      <c r="I2099" s="2"/>
    </row>
    <row r="2100">
      <c r="A2100" s="1" t="s">
        <v>2104</v>
      </c>
      <c r="B2100" s="2" t="s">
        <v>2101</v>
      </c>
      <c r="C2100" s="2"/>
      <c r="D2100" s="2" t="s">
        <v>11</v>
      </c>
      <c r="E2100" s="2">
        <v>10.0</v>
      </c>
      <c r="F2100" s="2" t="s">
        <v>12</v>
      </c>
      <c r="G2100" s="2"/>
      <c r="H2100" s="2"/>
      <c r="I2100" s="2"/>
    </row>
    <row r="2101">
      <c r="A2101" s="1" t="s">
        <v>2105</v>
      </c>
      <c r="B2101" s="2" t="s">
        <v>2101</v>
      </c>
      <c r="C2101" s="2"/>
      <c r="D2101" s="2" t="s">
        <v>11</v>
      </c>
      <c r="E2101" s="2">
        <v>10.0</v>
      </c>
      <c r="F2101" s="2" t="s">
        <v>12</v>
      </c>
      <c r="G2101" s="2"/>
      <c r="H2101" s="2"/>
      <c r="I2101" s="2"/>
    </row>
    <row r="2102">
      <c r="A2102" s="1" t="s">
        <v>2106</v>
      </c>
      <c r="B2102" s="2" t="s">
        <v>2101</v>
      </c>
      <c r="C2102" s="2"/>
      <c r="D2102" s="2" t="s">
        <v>11</v>
      </c>
      <c r="E2102" s="2">
        <v>10.0</v>
      </c>
      <c r="F2102" s="2" t="s">
        <v>12</v>
      </c>
      <c r="G2102" s="2"/>
      <c r="H2102" s="2"/>
      <c r="I2102" s="2"/>
    </row>
    <row r="2103">
      <c r="A2103" s="1" t="s">
        <v>2107</v>
      </c>
      <c r="B2103" s="2" t="s">
        <v>2101</v>
      </c>
      <c r="C2103" s="2"/>
      <c r="D2103" s="2" t="s">
        <v>11</v>
      </c>
      <c r="E2103" s="2">
        <v>10.0</v>
      </c>
      <c r="F2103" s="2" t="s">
        <v>12</v>
      </c>
      <c r="G2103" s="2"/>
      <c r="H2103" s="2"/>
      <c r="I2103" s="2"/>
    </row>
    <row r="2104">
      <c r="A2104" s="1" t="s">
        <v>2108</v>
      </c>
      <c r="B2104" s="2" t="s">
        <v>2101</v>
      </c>
      <c r="C2104" s="2"/>
      <c r="D2104" s="2" t="s">
        <v>11</v>
      </c>
      <c r="E2104" s="2">
        <v>10.0</v>
      </c>
      <c r="F2104" s="2" t="s">
        <v>12</v>
      </c>
      <c r="G2104" s="2"/>
      <c r="H2104" s="2"/>
      <c r="I2104" s="2"/>
    </row>
    <row r="2105">
      <c r="A2105" s="1" t="s">
        <v>2109</v>
      </c>
      <c r="B2105" s="2" t="s">
        <v>2101</v>
      </c>
      <c r="C2105" s="2"/>
      <c r="D2105" s="2" t="s">
        <v>11</v>
      </c>
      <c r="E2105" s="2">
        <v>10.0</v>
      </c>
      <c r="F2105" s="2" t="s">
        <v>12</v>
      </c>
      <c r="G2105" s="2"/>
      <c r="H2105" s="2"/>
      <c r="I2105" s="2"/>
    </row>
    <row r="2106">
      <c r="A2106" s="1" t="s">
        <v>2110</v>
      </c>
      <c r="B2106" s="2" t="s">
        <v>2101</v>
      </c>
      <c r="C2106" s="2"/>
      <c r="D2106" s="2" t="s">
        <v>11</v>
      </c>
      <c r="E2106" s="2">
        <v>10.0</v>
      </c>
      <c r="F2106" s="2" t="s">
        <v>12</v>
      </c>
      <c r="G2106" s="2"/>
      <c r="H2106" s="2"/>
      <c r="I2106" s="2"/>
    </row>
    <row r="2107">
      <c r="A2107" s="1" t="s">
        <v>2111</v>
      </c>
      <c r="B2107" s="2" t="s">
        <v>2101</v>
      </c>
      <c r="C2107" s="2"/>
      <c r="D2107" s="2" t="s">
        <v>11</v>
      </c>
      <c r="E2107" s="2">
        <v>10.0</v>
      </c>
      <c r="F2107" s="2" t="s">
        <v>12</v>
      </c>
      <c r="G2107" s="2"/>
      <c r="H2107" s="2"/>
      <c r="I2107" s="2"/>
    </row>
    <row r="2108">
      <c r="A2108" s="1" t="s">
        <v>2112</v>
      </c>
      <c r="B2108" s="2" t="s">
        <v>2101</v>
      </c>
      <c r="C2108" s="2"/>
      <c r="D2108" s="2" t="s">
        <v>11</v>
      </c>
      <c r="E2108" s="2">
        <v>10.0</v>
      </c>
      <c r="F2108" s="2" t="s">
        <v>12</v>
      </c>
      <c r="G2108" s="2"/>
      <c r="H2108" s="2"/>
      <c r="I2108" s="2"/>
    </row>
    <row r="2109">
      <c r="A2109" s="1" t="s">
        <v>2113</v>
      </c>
      <c r="B2109" s="2" t="s">
        <v>2101</v>
      </c>
      <c r="C2109" s="2"/>
      <c r="D2109" s="2" t="s">
        <v>11</v>
      </c>
      <c r="E2109" s="2">
        <v>10.0</v>
      </c>
      <c r="F2109" s="2" t="s">
        <v>12</v>
      </c>
      <c r="G2109" s="2"/>
      <c r="H2109" s="2"/>
      <c r="I2109" s="2"/>
    </row>
    <row r="2110">
      <c r="A2110" s="2" t="s">
        <v>2114</v>
      </c>
      <c r="B2110" s="2" t="s">
        <v>2115</v>
      </c>
      <c r="C2110" s="1"/>
      <c r="D2110" s="2"/>
      <c r="E2110" s="2"/>
      <c r="F2110" s="2"/>
      <c r="G2110" s="2"/>
      <c r="H2110" s="2"/>
      <c r="I2110" s="2"/>
    </row>
    <row r="2111">
      <c r="A2111" s="2" t="s">
        <v>2116</v>
      </c>
      <c r="B2111" s="2" t="s">
        <v>2115</v>
      </c>
      <c r="C2111" s="1"/>
      <c r="D2111" s="2"/>
      <c r="E2111" s="2"/>
      <c r="F2111" s="2"/>
      <c r="G2111" s="2"/>
      <c r="H2111" s="2"/>
      <c r="I2111" s="2"/>
    </row>
    <row r="2112">
      <c r="A2112" s="2" t="s">
        <v>2117</v>
      </c>
      <c r="B2112" s="2" t="s">
        <v>2115</v>
      </c>
      <c r="C2112" s="1"/>
      <c r="D2112" s="2"/>
      <c r="E2112" s="2"/>
      <c r="F2112" s="2"/>
      <c r="G2112" s="2"/>
      <c r="H2112" s="2"/>
      <c r="I2112" s="2"/>
    </row>
    <row r="2113">
      <c r="A2113" s="2" t="s">
        <v>2118</v>
      </c>
      <c r="B2113" s="2" t="s">
        <v>2115</v>
      </c>
      <c r="C2113" s="2"/>
      <c r="D2113" s="2" t="s">
        <v>37</v>
      </c>
      <c r="E2113" s="2">
        <v>10.0</v>
      </c>
      <c r="F2113" s="2" t="s">
        <v>12</v>
      </c>
      <c r="G2113" s="2"/>
      <c r="H2113" s="2"/>
      <c r="I2113" s="2"/>
    </row>
    <row r="2114">
      <c r="A2114" s="2" t="s">
        <v>2119</v>
      </c>
      <c r="B2114" s="2" t="s">
        <v>2115</v>
      </c>
      <c r="C2114" s="1"/>
      <c r="D2114" s="2"/>
      <c r="E2114" s="2"/>
      <c r="F2114" s="2"/>
      <c r="G2114" s="2"/>
      <c r="H2114" s="2"/>
      <c r="I2114" s="2"/>
    </row>
    <row r="2115">
      <c r="A2115" s="2" t="s">
        <v>2120</v>
      </c>
      <c r="B2115" s="2" t="s">
        <v>2115</v>
      </c>
      <c r="C2115" s="1"/>
      <c r="D2115" s="2"/>
      <c r="E2115" s="2"/>
      <c r="F2115" s="2"/>
      <c r="G2115" s="2"/>
      <c r="H2115" s="2"/>
      <c r="I2115" s="2"/>
    </row>
    <row r="2116">
      <c r="A2116" s="2" t="s">
        <v>2121</v>
      </c>
      <c r="B2116" s="2" t="s">
        <v>2115</v>
      </c>
      <c r="C2116" s="1"/>
      <c r="D2116" s="2"/>
      <c r="E2116" s="2"/>
      <c r="F2116" s="2"/>
      <c r="G2116" s="2"/>
      <c r="H2116" s="2"/>
      <c r="I2116" s="2"/>
    </row>
    <row r="2117">
      <c r="A2117" s="2" t="s">
        <v>2122</v>
      </c>
      <c r="B2117" s="2" t="s">
        <v>2115</v>
      </c>
      <c r="C2117" s="1"/>
      <c r="D2117" s="2"/>
      <c r="E2117" s="2"/>
      <c r="F2117" s="2"/>
      <c r="G2117" s="2"/>
      <c r="H2117" s="2"/>
      <c r="I2117" s="2"/>
    </row>
    <row r="2118">
      <c r="A2118" s="2" t="s">
        <v>2123</v>
      </c>
      <c r="B2118" s="2" t="s">
        <v>2115</v>
      </c>
      <c r="C2118" s="1"/>
      <c r="D2118" s="2"/>
      <c r="E2118" s="2"/>
      <c r="F2118" s="2"/>
      <c r="G2118" s="2"/>
      <c r="H2118" s="2"/>
      <c r="I2118" s="2"/>
    </row>
    <row r="2119">
      <c r="A2119" s="2" t="s">
        <v>2124</v>
      </c>
      <c r="B2119" s="2" t="s">
        <v>2115</v>
      </c>
      <c r="C2119" s="1"/>
      <c r="D2119" s="2"/>
      <c r="E2119" s="2"/>
      <c r="F2119" s="2"/>
      <c r="G2119" s="2"/>
      <c r="H2119" s="2"/>
      <c r="I2119" s="2"/>
    </row>
    <row r="2120">
      <c r="A2120" s="2" t="s">
        <v>2125</v>
      </c>
      <c r="B2120" s="2" t="s">
        <v>2115</v>
      </c>
      <c r="C2120" s="1"/>
      <c r="D2120" s="2"/>
      <c r="E2120" s="2"/>
      <c r="F2120" s="2"/>
      <c r="G2120" s="2"/>
      <c r="H2120" s="2"/>
      <c r="I2120" s="2"/>
    </row>
    <row r="2121">
      <c r="A2121" s="2" t="s">
        <v>2126</v>
      </c>
      <c r="B2121" s="2" t="s">
        <v>2115</v>
      </c>
      <c r="C2121" s="1"/>
      <c r="D2121" s="2"/>
      <c r="E2121" s="2"/>
      <c r="F2121" s="2"/>
      <c r="G2121" s="2"/>
      <c r="H2121" s="2"/>
      <c r="I2121" s="2"/>
    </row>
    <row r="2122">
      <c r="A2122" s="2" t="s">
        <v>2127</v>
      </c>
      <c r="B2122" s="2" t="s">
        <v>2115</v>
      </c>
      <c r="C2122" s="1"/>
      <c r="D2122" s="2"/>
      <c r="E2122" s="2"/>
      <c r="F2122" s="2"/>
      <c r="G2122" s="2"/>
      <c r="H2122" s="2"/>
      <c r="I2122" s="2"/>
    </row>
    <row r="2123">
      <c r="A2123" s="2" t="s">
        <v>2128</v>
      </c>
      <c r="B2123" s="2" t="s">
        <v>2115</v>
      </c>
      <c r="C2123" s="1"/>
      <c r="D2123" s="1" t="s">
        <v>300</v>
      </c>
      <c r="E2123" s="1" t="s">
        <v>731</v>
      </c>
      <c r="F2123" s="1" t="s">
        <v>302</v>
      </c>
      <c r="G2123" s="2"/>
      <c r="H2123" s="2"/>
      <c r="I2123" s="2"/>
    </row>
    <row r="2124">
      <c r="A2124" s="2" t="s">
        <v>2129</v>
      </c>
      <c r="B2124" s="2" t="s">
        <v>2115</v>
      </c>
      <c r="C2124" s="1"/>
      <c r="D2124" s="2"/>
      <c r="E2124" s="2"/>
      <c r="F2124" s="2"/>
      <c r="G2124" s="2"/>
      <c r="H2124" s="2"/>
      <c r="I2124" s="2"/>
    </row>
    <row r="2125">
      <c r="A2125" s="2" t="s">
        <v>2130</v>
      </c>
      <c r="B2125" s="2" t="s">
        <v>2115</v>
      </c>
      <c r="C2125" s="1"/>
      <c r="D2125" s="2"/>
      <c r="E2125" s="2"/>
      <c r="F2125" s="2"/>
      <c r="G2125" s="2"/>
      <c r="H2125" s="2"/>
      <c r="I2125" s="2"/>
    </row>
    <row r="2126">
      <c r="A2126" s="2" t="s">
        <v>2131</v>
      </c>
      <c r="B2126" s="2" t="s">
        <v>2115</v>
      </c>
      <c r="C2126" s="1"/>
      <c r="D2126" s="2"/>
      <c r="E2126" s="2"/>
      <c r="F2126" s="2"/>
      <c r="G2126" s="2"/>
      <c r="H2126" s="2"/>
      <c r="I2126" s="2"/>
    </row>
    <row r="2127">
      <c r="A2127" s="2" t="s">
        <v>2132</v>
      </c>
      <c r="B2127" s="2" t="s">
        <v>2115</v>
      </c>
      <c r="C2127" s="1"/>
      <c r="D2127" s="1" t="s">
        <v>300</v>
      </c>
      <c r="E2127" s="1" t="s">
        <v>731</v>
      </c>
      <c r="F2127" s="1" t="s">
        <v>302</v>
      </c>
      <c r="G2127" s="2"/>
      <c r="H2127" s="2"/>
      <c r="I2127" s="2"/>
    </row>
    <row r="2128">
      <c r="A2128" s="2" t="s">
        <v>2133</v>
      </c>
      <c r="B2128" s="2" t="s">
        <v>2115</v>
      </c>
      <c r="C2128" s="2"/>
      <c r="D2128" s="2" t="s">
        <v>37</v>
      </c>
      <c r="E2128" s="2">
        <v>15.0</v>
      </c>
      <c r="F2128" s="2" t="s">
        <v>12</v>
      </c>
      <c r="G2128" s="2"/>
      <c r="H2128" s="2"/>
      <c r="I2128" s="2"/>
    </row>
    <row r="2129">
      <c r="A2129" s="2" t="s">
        <v>2134</v>
      </c>
      <c r="B2129" s="2" t="s">
        <v>2115</v>
      </c>
      <c r="C2129" s="1"/>
      <c r="D2129" s="2"/>
      <c r="E2129" s="2"/>
      <c r="F2129" s="2"/>
      <c r="G2129" s="2"/>
      <c r="H2129" s="2"/>
      <c r="I2129" s="2"/>
    </row>
    <row r="2130">
      <c r="A2130" s="2" t="s">
        <v>2135</v>
      </c>
      <c r="B2130" s="2" t="s">
        <v>2115</v>
      </c>
      <c r="C2130" s="1"/>
      <c r="D2130" s="2"/>
      <c r="E2130" s="2"/>
      <c r="F2130" s="2"/>
      <c r="G2130" s="2"/>
      <c r="H2130" s="2"/>
      <c r="I2130" s="2"/>
    </row>
    <row r="2131">
      <c r="A2131" s="2" t="s">
        <v>2136</v>
      </c>
      <c r="B2131" s="2" t="s">
        <v>2115</v>
      </c>
      <c r="C2131" s="1"/>
      <c r="D2131" s="2"/>
      <c r="E2131" s="2"/>
      <c r="F2131" s="2"/>
      <c r="G2131" s="2"/>
      <c r="H2131" s="2"/>
      <c r="I2131" s="2"/>
    </row>
    <row r="2132">
      <c r="A2132" s="2" t="s">
        <v>2137</v>
      </c>
      <c r="B2132" s="2" t="s">
        <v>2115</v>
      </c>
      <c r="C2132" s="1"/>
      <c r="D2132" s="2"/>
      <c r="E2132" s="2"/>
      <c r="F2132" s="2"/>
      <c r="G2132" s="2"/>
      <c r="H2132" s="2"/>
      <c r="I2132" s="2"/>
    </row>
    <row r="2133">
      <c r="A2133" s="2" t="s">
        <v>2138</v>
      </c>
      <c r="B2133" s="2" t="s">
        <v>2115</v>
      </c>
      <c r="C2133" s="1"/>
      <c r="D2133" s="2"/>
      <c r="E2133" s="2"/>
      <c r="F2133" s="2"/>
      <c r="G2133" s="2"/>
      <c r="H2133" s="2"/>
      <c r="I2133" s="2"/>
    </row>
    <row r="2134">
      <c r="A2134" s="2" t="s">
        <v>2139</v>
      </c>
      <c r="B2134" s="2" t="s">
        <v>2115</v>
      </c>
      <c r="C2134" s="1"/>
      <c r="D2134" s="2"/>
      <c r="E2134" s="2"/>
      <c r="F2134" s="2"/>
      <c r="G2134" s="2"/>
      <c r="H2134" s="2"/>
      <c r="I2134" s="2"/>
    </row>
    <row r="2135">
      <c r="A2135" s="2" t="s">
        <v>2140</v>
      </c>
      <c r="B2135" s="2" t="s">
        <v>2115</v>
      </c>
      <c r="C2135" s="1"/>
      <c r="D2135" s="2"/>
      <c r="E2135" s="2"/>
      <c r="F2135" s="2"/>
      <c r="G2135" s="2"/>
      <c r="H2135" s="2"/>
      <c r="I2135" s="2"/>
    </row>
    <row r="2136">
      <c r="A2136" s="2" t="s">
        <v>2141</v>
      </c>
      <c r="B2136" s="2" t="s">
        <v>2115</v>
      </c>
      <c r="C2136" s="1"/>
      <c r="D2136" s="2"/>
      <c r="E2136" s="2"/>
      <c r="F2136" s="2"/>
      <c r="G2136" s="2"/>
      <c r="H2136" s="2"/>
      <c r="I2136" s="2"/>
    </row>
    <row r="2137">
      <c r="A2137" s="2" t="s">
        <v>2142</v>
      </c>
      <c r="B2137" s="2" t="s">
        <v>2115</v>
      </c>
      <c r="C2137" s="1"/>
      <c r="D2137" s="2"/>
      <c r="E2137" s="2"/>
      <c r="F2137" s="2"/>
      <c r="G2137" s="2"/>
      <c r="H2137" s="2"/>
      <c r="I2137" s="2"/>
    </row>
    <row r="2138">
      <c r="A2138" s="2" t="s">
        <v>2143</v>
      </c>
      <c r="B2138" s="2" t="s">
        <v>2144</v>
      </c>
      <c r="C2138" s="1"/>
      <c r="D2138" s="2"/>
      <c r="E2138" s="2"/>
      <c r="F2138" s="2"/>
      <c r="G2138" s="2"/>
      <c r="H2138" s="2"/>
      <c r="I2138" s="2"/>
    </row>
    <row r="2139">
      <c r="A2139" s="1" t="s">
        <v>2145</v>
      </c>
      <c r="B2139" s="2" t="s">
        <v>2144</v>
      </c>
      <c r="C2139" s="1"/>
      <c r="D2139" s="2"/>
      <c r="E2139" s="2"/>
      <c r="F2139" s="2"/>
      <c r="G2139" s="2"/>
      <c r="H2139" s="2"/>
      <c r="I2139" s="2"/>
    </row>
    <row r="2140">
      <c r="A2140" s="2" t="s">
        <v>2146</v>
      </c>
      <c r="B2140" s="2" t="s">
        <v>2144</v>
      </c>
      <c r="C2140" s="1"/>
      <c r="D2140" s="2"/>
      <c r="E2140" s="2"/>
      <c r="F2140" s="2"/>
      <c r="G2140" s="2"/>
      <c r="H2140" s="2"/>
      <c r="I2140" s="2"/>
    </row>
    <row r="2141">
      <c r="A2141" s="2" t="s">
        <v>2147</v>
      </c>
      <c r="B2141" s="2" t="s">
        <v>2144</v>
      </c>
      <c r="C2141" s="1"/>
      <c r="D2141" s="2"/>
      <c r="E2141" s="2"/>
      <c r="F2141" s="2"/>
      <c r="G2141" s="2"/>
      <c r="H2141" s="2"/>
      <c r="I2141" s="2"/>
    </row>
    <row r="2142">
      <c r="A2142" s="2" t="s">
        <v>2148</v>
      </c>
      <c r="B2142" s="2" t="s">
        <v>2144</v>
      </c>
      <c r="C2142" s="2"/>
      <c r="D2142" s="1" t="s">
        <v>22</v>
      </c>
      <c r="E2142" s="2">
        <v>1.0</v>
      </c>
      <c r="F2142" s="2" t="s">
        <v>22</v>
      </c>
      <c r="G2142" s="2"/>
      <c r="H2142" s="2"/>
      <c r="I2142" s="2"/>
    </row>
    <row r="2143">
      <c r="A2143" s="2" t="s">
        <v>2149</v>
      </c>
      <c r="B2143" s="2" t="s">
        <v>2144</v>
      </c>
      <c r="C2143" s="2"/>
      <c r="D2143" s="1" t="s">
        <v>22</v>
      </c>
      <c r="E2143" s="2">
        <v>1.0</v>
      </c>
      <c r="F2143" s="2" t="s">
        <v>22</v>
      </c>
      <c r="G2143" s="2"/>
      <c r="H2143" s="2"/>
      <c r="I2143" s="2"/>
    </row>
    <row r="2144">
      <c r="A2144" s="2" t="s">
        <v>2150</v>
      </c>
      <c r="B2144" s="2" t="s">
        <v>2144</v>
      </c>
      <c r="C2144" s="1"/>
      <c r="D2144" s="2"/>
      <c r="E2144" s="2"/>
      <c r="F2144" s="2"/>
      <c r="G2144" s="2"/>
      <c r="H2144" s="2"/>
      <c r="I2144" s="2"/>
    </row>
    <row r="2145">
      <c r="A2145" s="2" t="s">
        <v>2151</v>
      </c>
      <c r="B2145" s="2" t="s">
        <v>2144</v>
      </c>
      <c r="C2145" s="1"/>
      <c r="D2145" s="2"/>
      <c r="E2145" s="2"/>
      <c r="F2145" s="2"/>
      <c r="G2145" s="2"/>
      <c r="H2145" s="2"/>
      <c r="I2145" s="2"/>
    </row>
    <row r="2146">
      <c r="A2146" s="2" t="s">
        <v>2152</v>
      </c>
      <c r="B2146" s="2" t="s">
        <v>2144</v>
      </c>
      <c r="C2146" s="1"/>
      <c r="D2146" s="2"/>
      <c r="E2146" s="2"/>
      <c r="F2146" s="2"/>
      <c r="G2146" s="2"/>
      <c r="H2146" s="2"/>
      <c r="I2146" s="2"/>
    </row>
    <row r="2147">
      <c r="A2147" s="2" t="s">
        <v>2153</v>
      </c>
      <c r="B2147" s="2" t="s">
        <v>2144</v>
      </c>
      <c r="C2147" s="1"/>
      <c r="D2147" s="2"/>
      <c r="E2147" s="2"/>
      <c r="F2147" s="2"/>
      <c r="G2147" s="2"/>
      <c r="H2147" s="2"/>
      <c r="I2147" s="2"/>
    </row>
    <row r="2148">
      <c r="A2148" s="2" t="s">
        <v>2154</v>
      </c>
      <c r="B2148" s="2" t="s">
        <v>2144</v>
      </c>
      <c r="C2148" s="1"/>
      <c r="D2148" s="2"/>
      <c r="E2148" s="2"/>
      <c r="F2148" s="2"/>
      <c r="G2148" s="2"/>
      <c r="H2148" s="2"/>
      <c r="I2148" s="2"/>
    </row>
    <row r="2149">
      <c r="A2149" s="2" t="s">
        <v>2155</v>
      </c>
      <c r="B2149" s="2" t="s">
        <v>2144</v>
      </c>
      <c r="C2149" s="1"/>
      <c r="D2149" s="2"/>
      <c r="E2149" s="2"/>
      <c r="F2149" s="2"/>
      <c r="G2149" s="2"/>
      <c r="H2149" s="2"/>
      <c r="I2149" s="2"/>
    </row>
    <row r="2150">
      <c r="A2150" s="2" t="s">
        <v>2156</v>
      </c>
      <c r="B2150" s="2" t="s">
        <v>2144</v>
      </c>
      <c r="C2150" s="1"/>
      <c r="D2150" s="2"/>
      <c r="E2150" s="2"/>
      <c r="F2150" s="2"/>
      <c r="G2150" s="2"/>
      <c r="H2150" s="2"/>
      <c r="I2150" s="2"/>
    </row>
    <row r="2151">
      <c r="A2151" s="2" t="s">
        <v>2157</v>
      </c>
      <c r="B2151" s="2" t="s">
        <v>2144</v>
      </c>
      <c r="C2151" s="1"/>
      <c r="D2151" s="2"/>
      <c r="E2151" s="2"/>
      <c r="F2151" s="2"/>
      <c r="G2151" s="2"/>
      <c r="H2151" s="2"/>
      <c r="I2151" s="2"/>
    </row>
    <row r="2152">
      <c r="A2152" s="2" t="s">
        <v>2158</v>
      </c>
      <c r="B2152" s="2" t="s">
        <v>2144</v>
      </c>
      <c r="C2152" s="1"/>
      <c r="D2152" s="2"/>
      <c r="E2152" s="2"/>
      <c r="F2152" s="2"/>
      <c r="G2152" s="2"/>
      <c r="H2152" s="2"/>
      <c r="I2152" s="2"/>
    </row>
    <row r="2153">
      <c r="A2153" s="2" t="s">
        <v>2159</v>
      </c>
      <c r="B2153" s="2" t="s">
        <v>2144</v>
      </c>
      <c r="C2153" s="1"/>
      <c r="D2153" s="2"/>
      <c r="E2153" s="2"/>
      <c r="F2153" s="2"/>
      <c r="G2153" s="2"/>
      <c r="H2153" s="2"/>
      <c r="I2153" s="2"/>
    </row>
    <row r="2154">
      <c r="A2154" s="2" t="s">
        <v>2160</v>
      </c>
      <c r="B2154" s="2" t="s">
        <v>2144</v>
      </c>
      <c r="C2154" s="1"/>
      <c r="D2154" s="2"/>
      <c r="E2154" s="2"/>
      <c r="F2154" s="2"/>
      <c r="G2154" s="2"/>
      <c r="H2154" s="2"/>
      <c r="I2154" s="2"/>
    </row>
    <row r="2155">
      <c r="A2155" s="2" t="s">
        <v>2161</v>
      </c>
      <c r="B2155" s="2" t="s">
        <v>2144</v>
      </c>
      <c r="C2155" s="1"/>
      <c r="D2155" s="2"/>
      <c r="E2155" s="2"/>
      <c r="F2155" s="2"/>
      <c r="G2155" s="2"/>
      <c r="H2155" s="2"/>
      <c r="I2155" s="2"/>
    </row>
    <row r="2156">
      <c r="A2156" s="2" t="s">
        <v>2162</v>
      </c>
      <c r="B2156" s="2" t="s">
        <v>2163</v>
      </c>
      <c r="C2156" s="1"/>
      <c r="D2156" s="2"/>
      <c r="E2156" s="2"/>
      <c r="F2156" s="2"/>
      <c r="G2156" s="2"/>
      <c r="H2156" s="2"/>
      <c r="I2156" s="2"/>
    </row>
    <row r="2157">
      <c r="A2157" s="2" t="s">
        <v>2164</v>
      </c>
      <c r="B2157" s="2" t="s">
        <v>2163</v>
      </c>
      <c r="C2157" s="1"/>
      <c r="D2157" s="2"/>
      <c r="E2157" s="2"/>
      <c r="F2157" s="2"/>
      <c r="G2157" s="2"/>
      <c r="H2157" s="2"/>
      <c r="I2157" s="2"/>
    </row>
    <row r="2158">
      <c r="A2158" s="2" t="s">
        <v>2165</v>
      </c>
      <c r="B2158" s="2" t="s">
        <v>2163</v>
      </c>
      <c r="C2158" s="1"/>
      <c r="D2158" s="2"/>
      <c r="E2158" s="2"/>
      <c r="F2158" s="2"/>
      <c r="G2158" s="2"/>
      <c r="H2158" s="2"/>
      <c r="I2158" s="2"/>
    </row>
    <row r="2159">
      <c r="A2159" s="2" t="s">
        <v>2166</v>
      </c>
      <c r="B2159" s="2" t="s">
        <v>2163</v>
      </c>
      <c r="C2159" s="2"/>
      <c r="D2159" s="2" t="s">
        <v>11</v>
      </c>
      <c r="E2159" s="2">
        <v>10.0</v>
      </c>
      <c r="F2159" s="2" t="s">
        <v>12</v>
      </c>
      <c r="G2159" s="2"/>
      <c r="H2159" s="2"/>
      <c r="I2159" s="2"/>
    </row>
    <row r="2160">
      <c r="A2160" s="2" t="s">
        <v>2167</v>
      </c>
      <c r="B2160" s="2" t="s">
        <v>2163</v>
      </c>
      <c r="C2160" s="2"/>
      <c r="D2160" s="2" t="s">
        <v>37</v>
      </c>
      <c r="E2160" s="2">
        <v>15.0</v>
      </c>
      <c r="F2160" s="2" t="s">
        <v>12</v>
      </c>
      <c r="G2160" s="2"/>
      <c r="H2160" s="2"/>
      <c r="I2160" s="2"/>
    </row>
    <row r="2161">
      <c r="A2161" s="1" t="s">
        <v>2168</v>
      </c>
      <c r="B2161" s="2" t="s">
        <v>2163</v>
      </c>
      <c r="C2161" s="1"/>
      <c r="D2161" s="2"/>
      <c r="E2161" s="2"/>
      <c r="F2161" s="2"/>
      <c r="G2161" s="2"/>
      <c r="H2161" s="2"/>
      <c r="I2161" s="2"/>
    </row>
    <row r="2162">
      <c r="A2162" s="1" t="s">
        <v>2169</v>
      </c>
      <c r="B2162" s="2" t="s">
        <v>2163</v>
      </c>
      <c r="C2162" s="2"/>
      <c r="D2162" s="2" t="s">
        <v>11</v>
      </c>
      <c r="E2162" s="2">
        <v>10.0</v>
      </c>
      <c r="F2162" s="2" t="s">
        <v>12</v>
      </c>
      <c r="G2162" s="2"/>
      <c r="H2162" s="2"/>
      <c r="I2162" s="2"/>
    </row>
    <row r="2163">
      <c r="A2163" s="2" t="s">
        <v>2170</v>
      </c>
      <c r="B2163" s="2" t="s">
        <v>2163</v>
      </c>
      <c r="C2163" s="1"/>
      <c r="D2163" s="2"/>
      <c r="E2163" s="2"/>
      <c r="F2163" s="2"/>
      <c r="G2163" s="2"/>
      <c r="H2163" s="2"/>
      <c r="I2163" s="2"/>
    </row>
    <row r="2164">
      <c r="A2164" s="2" t="s">
        <v>2171</v>
      </c>
      <c r="B2164" s="2" t="s">
        <v>2163</v>
      </c>
      <c r="C2164" s="1"/>
      <c r="D2164" s="2"/>
      <c r="E2164" s="2"/>
      <c r="F2164" s="2"/>
      <c r="G2164" s="2"/>
      <c r="H2164" s="2"/>
      <c r="I2164" s="2"/>
    </row>
    <row r="2165">
      <c r="A2165" s="2" t="s">
        <v>2172</v>
      </c>
      <c r="B2165" s="2" t="s">
        <v>2163</v>
      </c>
      <c r="C2165" s="2"/>
      <c r="D2165" s="2" t="s">
        <v>1023</v>
      </c>
      <c r="E2165" s="2">
        <v>4.0</v>
      </c>
      <c r="F2165" s="2"/>
      <c r="G2165" s="2"/>
      <c r="H2165" s="2"/>
      <c r="I2165" s="2"/>
    </row>
    <row r="2166">
      <c r="A2166" s="2" t="s">
        <v>2173</v>
      </c>
      <c r="B2166" s="2" t="s">
        <v>2163</v>
      </c>
      <c r="C2166" s="1"/>
      <c r="D2166" s="2"/>
      <c r="E2166" s="2"/>
      <c r="F2166" s="2"/>
      <c r="G2166" s="2"/>
      <c r="H2166" s="2"/>
      <c r="I2166" s="2"/>
    </row>
    <row r="2167">
      <c r="A2167" s="2" t="s">
        <v>2174</v>
      </c>
      <c r="B2167" s="2" t="s">
        <v>2163</v>
      </c>
      <c r="C2167" s="2"/>
      <c r="D2167" s="2" t="s">
        <v>11</v>
      </c>
      <c r="E2167" s="2">
        <v>10.0</v>
      </c>
      <c r="F2167" s="2" t="s">
        <v>12</v>
      </c>
      <c r="G2167" s="2"/>
      <c r="H2167" s="2"/>
      <c r="I2167" s="2"/>
    </row>
    <row r="2168">
      <c r="A2168" s="2" t="s">
        <v>2175</v>
      </c>
      <c r="B2168" s="2" t="s">
        <v>2163</v>
      </c>
      <c r="C2168" s="1"/>
      <c r="D2168" s="2"/>
      <c r="E2168" s="2"/>
      <c r="F2168" s="2"/>
      <c r="G2168" s="2"/>
      <c r="H2168" s="2"/>
      <c r="I2168" s="2"/>
    </row>
    <row r="2169">
      <c r="A2169" s="2" t="s">
        <v>2176</v>
      </c>
      <c r="B2169" s="2" t="s">
        <v>2163</v>
      </c>
      <c r="C2169" s="1"/>
      <c r="D2169" s="2"/>
      <c r="E2169" s="2"/>
      <c r="F2169" s="2"/>
      <c r="G2169" s="2"/>
      <c r="H2169" s="2"/>
      <c r="I2169" s="2"/>
    </row>
    <row r="2170">
      <c r="A2170" s="2" t="s">
        <v>2177</v>
      </c>
      <c r="B2170" s="2" t="s">
        <v>2163</v>
      </c>
      <c r="C2170" s="2"/>
      <c r="D2170" s="2" t="s">
        <v>11</v>
      </c>
      <c r="E2170" s="2">
        <v>10.0</v>
      </c>
      <c r="F2170" s="2" t="s">
        <v>12</v>
      </c>
      <c r="G2170" s="2"/>
      <c r="H2170" s="2"/>
      <c r="I2170" s="2"/>
    </row>
    <row r="2171">
      <c r="A2171" s="2" t="s">
        <v>2178</v>
      </c>
      <c r="B2171" s="2" t="s">
        <v>2163</v>
      </c>
      <c r="C2171" s="1"/>
      <c r="D2171" s="2"/>
      <c r="E2171" s="2"/>
      <c r="F2171" s="2"/>
      <c r="G2171" s="2"/>
      <c r="H2171" s="2"/>
      <c r="I2171" s="2"/>
    </row>
    <row r="2172">
      <c r="A2172" s="2" t="s">
        <v>2179</v>
      </c>
      <c r="B2172" s="2" t="s">
        <v>2163</v>
      </c>
      <c r="C2172" s="1"/>
      <c r="D2172" s="2"/>
      <c r="E2172" s="2"/>
      <c r="F2172" s="2"/>
      <c r="G2172" s="2"/>
      <c r="H2172" s="2"/>
      <c r="I2172" s="2"/>
    </row>
    <row r="2173">
      <c r="A2173" s="1" t="s">
        <v>2180</v>
      </c>
      <c r="B2173" s="2" t="s">
        <v>2163</v>
      </c>
      <c r="C2173" s="2"/>
      <c r="D2173" s="2" t="s">
        <v>73</v>
      </c>
      <c r="E2173" s="2">
        <v>1.0</v>
      </c>
      <c r="F2173" s="2" t="s">
        <v>74</v>
      </c>
      <c r="G2173" s="2"/>
      <c r="H2173" s="2"/>
      <c r="I2173" s="2"/>
    </row>
    <row r="2174">
      <c r="A2174" s="2" t="s">
        <v>2181</v>
      </c>
      <c r="B2174" s="2" t="s">
        <v>2163</v>
      </c>
      <c r="C2174" s="1"/>
      <c r="D2174" s="2"/>
      <c r="E2174" s="2"/>
      <c r="F2174" s="2"/>
      <c r="G2174" s="2"/>
      <c r="H2174" s="2"/>
      <c r="I2174" s="2"/>
    </row>
    <row r="2175">
      <c r="A2175" s="1" t="s">
        <v>2182</v>
      </c>
      <c r="B2175" s="2" t="s">
        <v>2163</v>
      </c>
      <c r="C2175" s="2"/>
      <c r="D2175" s="2" t="s">
        <v>73</v>
      </c>
      <c r="E2175" s="2">
        <v>1.0</v>
      </c>
      <c r="F2175" s="2" t="s">
        <v>74</v>
      </c>
      <c r="G2175" s="2"/>
      <c r="H2175" s="2"/>
      <c r="I2175" s="2"/>
    </row>
    <row r="2176">
      <c r="A2176" s="1" t="s">
        <v>2183</v>
      </c>
      <c r="B2176" s="2" t="s">
        <v>2163</v>
      </c>
      <c r="C2176" s="2"/>
      <c r="D2176" s="2" t="s">
        <v>73</v>
      </c>
      <c r="E2176" s="2">
        <v>1.0</v>
      </c>
      <c r="F2176" s="2" t="s">
        <v>74</v>
      </c>
      <c r="G2176" s="2"/>
      <c r="H2176" s="2"/>
      <c r="I2176" s="2"/>
    </row>
    <row r="2177">
      <c r="A2177" s="2" t="s">
        <v>2184</v>
      </c>
      <c r="B2177" s="2" t="s">
        <v>2163</v>
      </c>
      <c r="C2177" s="2"/>
      <c r="D2177" s="2" t="s">
        <v>11</v>
      </c>
      <c r="E2177" s="2">
        <v>10.0</v>
      </c>
      <c r="F2177" s="2" t="s">
        <v>12</v>
      </c>
      <c r="G2177" s="2"/>
      <c r="H2177" s="2"/>
      <c r="I2177" s="2"/>
    </row>
    <row r="2178">
      <c r="A2178" s="1" t="s">
        <v>2185</v>
      </c>
      <c r="B2178" s="2" t="s">
        <v>2163</v>
      </c>
      <c r="C2178" s="2"/>
      <c r="D2178" s="2" t="s">
        <v>11</v>
      </c>
      <c r="E2178" s="2">
        <v>10.0</v>
      </c>
      <c r="F2178" s="2" t="s">
        <v>12</v>
      </c>
      <c r="G2178" s="2"/>
      <c r="H2178" s="2"/>
      <c r="I2178" s="2"/>
    </row>
    <row r="2179">
      <c r="A2179" s="1" t="s">
        <v>2186</v>
      </c>
      <c r="B2179" s="2" t="s">
        <v>2163</v>
      </c>
      <c r="C2179" s="2"/>
      <c r="D2179" s="2" t="s">
        <v>11</v>
      </c>
      <c r="E2179" s="2">
        <v>10.0</v>
      </c>
      <c r="F2179" s="2" t="s">
        <v>12</v>
      </c>
      <c r="G2179" s="2"/>
      <c r="H2179" s="2"/>
      <c r="I2179" s="2"/>
    </row>
    <row r="2180">
      <c r="A2180" s="2" t="s">
        <v>2187</v>
      </c>
      <c r="B2180" s="2" t="s">
        <v>2163</v>
      </c>
      <c r="C2180" s="1"/>
      <c r="D2180" s="2"/>
      <c r="E2180" s="2"/>
      <c r="F2180" s="2"/>
      <c r="G2180" s="2"/>
      <c r="H2180" s="2"/>
      <c r="I2180" s="2"/>
    </row>
    <row r="2181">
      <c r="A2181" s="2" t="s">
        <v>2188</v>
      </c>
      <c r="B2181" s="2" t="s">
        <v>2163</v>
      </c>
      <c r="C2181" s="1"/>
      <c r="D2181" s="2"/>
      <c r="E2181" s="2"/>
      <c r="F2181" s="2"/>
      <c r="G2181" s="2"/>
      <c r="H2181" s="2"/>
      <c r="I2181" s="2"/>
    </row>
    <row r="2182">
      <c r="A2182" s="1" t="s">
        <v>2189</v>
      </c>
      <c r="B2182" s="2" t="s">
        <v>2163</v>
      </c>
      <c r="C2182" s="2"/>
      <c r="D2182" s="2" t="s">
        <v>73</v>
      </c>
      <c r="E2182" s="2">
        <v>1.0</v>
      </c>
      <c r="F2182" s="2" t="s">
        <v>74</v>
      </c>
      <c r="G2182" s="2"/>
      <c r="H2182" s="2"/>
      <c r="I2182" s="2"/>
    </row>
    <row r="2183">
      <c r="A2183" s="2" t="s">
        <v>2190</v>
      </c>
      <c r="B2183" s="2" t="s">
        <v>2163</v>
      </c>
      <c r="C2183" s="2"/>
      <c r="D2183" s="2" t="s">
        <v>37</v>
      </c>
      <c r="E2183" s="2">
        <v>10.0</v>
      </c>
      <c r="F2183" s="2" t="s">
        <v>12</v>
      </c>
      <c r="G2183" s="2"/>
      <c r="H2183" s="2"/>
      <c r="I2183" s="2"/>
    </row>
    <row r="2184">
      <c r="A2184" s="2" t="s">
        <v>2191</v>
      </c>
      <c r="B2184" s="2" t="s">
        <v>2163</v>
      </c>
      <c r="C2184" s="2"/>
      <c r="D2184" s="2" t="s">
        <v>37</v>
      </c>
      <c r="E2184" s="2">
        <v>10.0</v>
      </c>
      <c r="F2184" s="2" t="s">
        <v>12</v>
      </c>
      <c r="G2184" s="2"/>
      <c r="H2184" s="2"/>
      <c r="I2184" s="2"/>
    </row>
    <row r="2185">
      <c r="A2185" s="2" t="s">
        <v>2192</v>
      </c>
      <c r="B2185" s="2" t="s">
        <v>2163</v>
      </c>
      <c r="C2185" s="2"/>
      <c r="D2185" s="2" t="s">
        <v>11</v>
      </c>
      <c r="E2185" s="2">
        <v>10.0</v>
      </c>
      <c r="F2185" s="2" t="s">
        <v>12</v>
      </c>
      <c r="G2185" s="2"/>
      <c r="H2185" s="2"/>
      <c r="I2185" s="2"/>
    </row>
    <row r="2186">
      <c r="A2186" s="2" t="s">
        <v>2193</v>
      </c>
      <c r="B2186" s="2" t="s">
        <v>2163</v>
      </c>
      <c r="C2186" s="2"/>
      <c r="D2186" s="2" t="s">
        <v>11</v>
      </c>
      <c r="E2186" s="2">
        <v>10.0</v>
      </c>
      <c r="F2186" s="2" t="s">
        <v>12</v>
      </c>
      <c r="G2186" s="2"/>
      <c r="H2186" s="2"/>
      <c r="I2186" s="2"/>
    </row>
    <row r="2187">
      <c r="A2187" s="2" t="s">
        <v>2194</v>
      </c>
      <c r="B2187" s="2" t="s">
        <v>2163</v>
      </c>
      <c r="C2187" s="2"/>
      <c r="D2187" s="2" t="s">
        <v>11</v>
      </c>
      <c r="E2187" s="2">
        <v>10.0</v>
      </c>
      <c r="F2187" s="2" t="s">
        <v>12</v>
      </c>
      <c r="G2187" s="2"/>
      <c r="H2187" s="2"/>
      <c r="I2187" s="2"/>
    </row>
    <row r="2188">
      <c r="A2188" s="2" t="s">
        <v>2195</v>
      </c>
      <c r="B2188" s="2" t="s">
        <v>2196</v>
      </c>
      <c r="C2188" s="1"/>
      <c r="D2188" s="2"/>
      <c r="E2188" s="2"/>
      <c r="F2188" s="2"/>
      <c r="G2188" s="2"/>
      <c r="H2188" s="2"/>
      <c r="I2188" s="2"/>
    </row>
    <row r="2189">
      <c r="A2189" s="2" t="s">
        <v>2197</v>
      </c>
      <c r="B2189" s="2" t="s">
        <v>2196</v>
      </c>
      <c r="C2189" s="1"/>
      <c r="D2189" s="2"/>
      <c r="E2189" s="2"/>
      <c r="F2189" s="2"/>
      <c r="G2189" s="2"/>
      <c r="H2189" s="2"/>
      <c r="I2189" s="2"/>
    </row>
    <row r="2190">
      <c r="A2190" s="2" t="s">
        <v>2198</v>
      </c>
      <c r="B2190" s="2" t="s">
        <v>2196</v>
      </c>
      <c r="C2190" s="2"/>
      <c r="D2190" s="2" t="s">
        <v>493</v>
      </c>
      <c r="E2190" s="2">
        <v>1.0</v>
      </c>
      <c r="F2190" s="2"/>
      <c r="G2190" s="2"/>
      <c r="H2190" s="2"/>
      <c r="I2190" s="2"/>
    </row>
    <row r="2191">
      <c r="A2191" s="2" t="s">
        <v>2199</v>
      </c>
      <c r="B2191" s="2" t="s">
        <v>2196</v>
      </c>
      <c r="C2191" s="1"/>
      <c r="D2191" s="2"/>
      <c r="E2191" s="2"/>
      <c r="F2191" s="2"/>
      <c r="G2191" s="2"/>
      <c r="H2191" s="2"/>
      <c r="I2191" s="2"/>
    </row>
    <row r="2192">
      <c r="A2192" s="2" t="s">
        <v>2200</v>
      </c>
      <c r="B2192" s="2" t="s">
        <v>2196</v>
      </c>
      <c r="C2192" s="1"/>
      <c r="D2192" s="2"/>
      <c r="E2192" s="2"/>
      <c r="F2192" s="2"/>
      <c r="G2192" s="2"/>
      <c r="H2192" s="2"/>
      <c r="I2192" s="2"/>
    </row>
    <row r="2193">
      <c r="A2193" s="2" t="s">
        <v>2201</v>
      </c>
      <c r="B2193" s="2" t="s">
        <v>2196</v>
      </c>
      <c r="C2193" s="1"/>
      <c r="D2193" s="2"/>
      <c r="E2193" s="2"/>
      <c r="F2193" s="2"/>
      <c r="G2193" s="2"/>
      <c r="H2193" s="2"/>
      <c r="I2193" s="2"/>
    </row>
    <row r="2194">
      <c r="A2194" s="2" t="s">
        <v>2202</v>
      </c>
      <c r="B2194" s="2" t="s">
        <v>2196</v>
      </c>
      <c r="C2194" s="1"/>
      <c r="D2194" s="2"/>
      <c r="E2194" s="2"/>
      <c r="F2194" s="2"/>
      <c r="G2194" s="2"/>
      <c r="H2194" s="2"/>
      <c r="I2194" s="2"/>
    </row>
    <row r="2195">
      <c r="A2195" s="2" t="s">
        <v>2203</v>
      </c>
      <c r="B2195" s="2" t="s">
        <v>2196</v>
      </c>
      <c r="C2195" s="1"/>
      <c r="D2195" s="1" t="s">
        <v>300</v>
      </c>
      <c r="E2195" s="1" t="s">
        <v>301</v>
      </c>
      <c r="F2195" s="1" t="s">
        <v>302</v>
      </c>
      <c r="G2195" s="2"/>
      <c r="H2195" s="2"/>
      <c r="I2195" s="2"/>
    </row>
    <row r="2196">
      <c r="A2196" s="2" t="s">
        <v>2204</v>
      </c>
      <c r="B2196" s="2" t="s">
        <v>2196</v>
      </c>
      <c r="C2196" s="1"/>
      <c r="D2196" s="2"/>
      <c r="E2196" s="2"/>
      <c r="F2196" s="2"/>
      <c r="G2196" s="2"/>
      <c r="H2196" s="2"/>
      <c r="I2196" s="2"/>
    </row>
    <row r="2197">
      <c r="A2197" s="2" t="s">
        <v>2205</v>
      </c>
      <c r="B2197" s="2" t="s">
        <v>2196</v>
      </c>
      <c r="C2197" s="1"/>
      <c r="D2197" s="2"/>
      <c r="E2197" s="2"/>
      <c r="F2197" s="2"/>
      <c r="G2197" s="2"/>
      <c r="H2197" s="2"/>
      <c r="I2197" s="2"/>
    </row>
    <row r="2198">
      <c r="A2198" s="2" t="s">
        <v>2206</v>
      </c>
      <c r="B2198" s="2" t="s">
        <v>2196</v>
      </c>
      <c r="C2198" s="1"/>
      <c r="D2198" s="2"/>
      <c r="E2198" s="2"/>
      <c r="F2198" s="2"/>
      <c r="G2198" s="2"/>
      <c r="H2198" s="2"/>
      <c r="I2198" s="2"/>
    </row>
    <row r="2199">
      <c r="A2199" s="2" t="s">
        <v>2207</v>
      </c>
      <c r="B2199" s="2" t="s">
        <v>2196</v>
      </c>
      <c r="C2199" s="1"/>
      <c r="D2199" s="2"/>
      <c r="E2199" s="2"/>
      <c r="F2199" s="2"/>
      <c r="G2199" s="2"/>
      <c r="H2199" s="2"/>
      <c r="I2199" s="2"/>
    </row>
    <row r="2200">
      <c r="A2200" s="2" t="s">
        <v>2208</v>
      </c>
      <c r="B2200" s="2" t="s">
        <v>2196</v>
      </c>
      <c r="C2200" s="1"/>
      <c r="D2200" s="2"/>
      <c r="E2200" s="2"/>
      <c r="F2200" s="2"/>
      <c r="G2200" s="2"/>
      <c r="H2200" s="2"/>
      <c r="I2200" s="2"/>
    </row>
    <row r="2201">
      <c r="A2201" s="2" t="s">
        <v>2209</v>
      </c>
      <c r="B2201" s="2" t="s">
        <v>2210</v>
      </c>
      <c r="C2201" s="1"/>
      <c r="D2201" s="2"/>
      <c r="E2201" s="2"/>
      <c r="F2201" s="2"/>
      <c r="G2201" s="2"/>
      <c r="H2201" s="2"/>
      <c r="I2201" s="2"/>
    </row>
    <row r="2202">
      <c r="A2202" s="1" t="s">
        <v>2211</v>
      </c>
      <c r="B2202" s="2" t="s">
        <v>2210</v>
      </c>
      <c r="C2202" s="2"/>
      <c r="D2202" s="2" t="s">
        <v>11</v>
      </c>
      <c r="E2202" s="2">
        <v>15.0</v>
      </c>
      <c r="F2202" s="2" t="s">
        <v>12</v>
      </c>
      <c r="G2202" s="2"/>
      <c r="H2202" s="2"/>
      <c r="I2202" s="2"/>
    </row>
    <row r="2203">
      <c r="A2203" s="2" t="s">
        <v>2212</v>
      </c>
      <c r="B2203" s="2" t="s">
        <v>2210</v>
      </c>
      <c r="C2203" s="2"/>
      <c r="D2203" s="2" t="s">
        <v>11</v>
      </c>
      <c r="E2203" s="2">
        <v>15.0</v>
      </c>
      <c r="F2203" s="2" t="s">
        <v>12</v>
      </c>
      <c r="G2203" s="2"/>
      <c r="H2203" s="2"/>
      <c r="I2203" s="2"/>
    </row>
    <row r="2204">
      <c r="A2204" s="2" t="s">
        <v>2213</v>
      </c>
      <c r="B2204" s="2" t="s">
        <v>2210</v>
      </c>
      <c r="C2204" s="2"/>
      <c r="D2204" s="2" t="s">
        <v>11</v>
      </c>
      <c r="E2204" s="2">
        <v>12.0</v>
      </c>
      <c r="F2204" s="2" t="s">
        <v>12</v>
      </c>
      <c r="G2204" s="2"/>
      <c r="H2204" s="2"/>
      <c r="I2204" s="2"/>
    </row>
    <row r="2205">
      <c r="A2205" s="2" t="s">
        <v>2214</v>
      </c>
      <c r="B2205" s="2" t="s">
        <v>2210</v>
      </c>
      <c r="C2205" s="1"/>
      <c r="D2205" s="2"/>
      <c r="E2205" s="2"/>
      <c r="F2205" s="2"/>
      <c r="G2205" s="2"/>
      <c r="H2205" s="2"/>
      <c r="I2205" s="2"/>
    </row>
    <row r="2206">
      <c r="A2206" s="2" t="s">
        <v>2215</v>
      </c>
      <c r="B2206" s="2" t="s">
        <v>2210</v>
      </c>
      <c r="C2206" s="1"/>
      <c r="D2206" s="2"/>
      <c r="E2206" s="2"/>
      <c r="F2206" s="2"/>
      <c r="G2206" s="2"/>
      <c r="H2206" s="2"/>
      <c r="I2206" s="2"/>
    </row>
    <row r="2207">
      <c r="A2207" s="2" t="s">
        <v>2216</v>
      </c>
      <c r="B2207" s="2" t="s">
        <v>2210</v>
      </c>
      <c r="C2207" s="2"/>
      <c r="D2207" s="2" t="s">
        <v>11</v>
      </c>
      <c r="E2207" s="2">
        <v>15.0</v>
      </c>
      <c r="F2207" s="2" t="s">
        <v>12</v>
      </c>
      <c r="G2207" s="2"/>
      <c r="H2207" s="2"/>
      <c r="I2207" s="2"/>
    </row>
    <row r="2208">
      <c r="A2208" s="2" t="s">
        <v>2217</v>
      </c>
      <c r="B2208" s="2" t="s">
        <v>2210</v>
      </c>
      <c r="C2208" s="1"/>
      <c r="D2208" s="2"/>
      <c r="E2208" s="2"/>
      <c r="F2208" s="2"/>
      <c r="G2208" s="2"/>
      <c r="H2208" s="2"/>
      <c r="I2208" s="2"/>
    </row>
    <row r="2209">
      <c r="A2209" s="2" t="s">
        <v>2218</v>
      </c>
      <c r="B2209" s="2" t="s">
        <v>2210</v>
      </c>
      <c r="C2209" s="2"/>
      <c r="D2209" s="2" t="s">
        <v>11</v>
      </c>
      <c r="E2209" s="2">
        <v>15.0</v>
      </c>
      <c r="F2209" s="2" t="s">
        <v>12</v>
      </c>
      <c r="G2209" s="2"/>
      <c r="H2209" s="2"/>
      <c r="I2209" s="2"/>
    </row>
    <row r="2210">
      <c r="A2210" s="2" t="s">
        <v>2219</v>
      </c>
      <c r="B2210" s="2" t="s">
        <v>2210</v>
      </c>
      <c r="C2210" s="2"/>
      <c r="D2210" s="2" t="s">
        <v>11</v>
      </c>
      <c r="E2210" s="2"/>
      <c r="F2210" s="2"/>
      <c r="G2210" s="2"/>
      <c r="H2210" s="2"/>
      <c r="I2210" s="2"/>
    </row>
    <row r="2211">
      <c r="A2211" s="2" t="s">
        <v>2220</v>
      </c>
      <c r="B2211" s="2" t="s">
        <v>2210</v>
      </c>
      <c r="C2211" s="1"/>
      <c r="D2211" s="2"/>
      <c r="E2211" s="2"/>
      <c r="F2211" s="2"/>
      <c r="G2211" s="2"/>
      <c r="H2211" s="2"/>
      <c r="I2211" s="2"/>
    </row>
    <row r="2212">
      <c r="A2212" s="2" t="s">
        <v>2221</v>
      </c>
      <c r="B2212" s="2" t="s">
        <v>2210</v>
      </c>
      <c r="C2212" s="1"/>
      <c r="D2212" s="2"/>
      <c r="E2212" s="2"/>
      <c r="F2212" s="2"/>
      <c r="G2212" s="2"/>
      <c r="H2212" s="2"/>
      <c r="I2212" s="2"/>
    </row>
    <row r="2213">
      <c r="A2213" s="2" t="s">
        <v>2222</v>
      </c>
      <c r="B2213" s="2" t="s">
        <v>2210</v>
      </c>
      <c r="C2213" s="1"/>
      <c r="D2213" s="2"/>
      <c r="E2213" s="2"/>
      <c r="F2213" s="2"/>
      <c r="G2213" s="2"/>
      <c r="H2213" s="2"/>
      <c r="I2213" s="2"/>
    </row>
    <row r="2214">
      <c r="A2214" s="2" t="s">
        <v>2223</v>
      </c>
      <c r="B2214" s="2" t="s">
        <v>2210</v>
      </c>
      <c r="C2214" s="1"/>
      <c r="D2214" s="2"/>
      <c r="E2214" s="2"/>
      <c r="F2214" s="2"/>
      <c r="G2214" s="2"/>
      <c r="H2214" s="2"/>
      <c r="I2214" s="2"/>
    </row>
    <row r="2215">
      <c r="A2215" s="2" t="s">
        <v>2224</v>
      </c>
      <c r="B2215" s="2" t="s">
        <v>2210</v>
      </c>
      <c r="C2215" s="1"/>
      <c r="D2215" s="2"/>
      <c r="E2215" s="2"/>
      <c r="F2215" s="2"/>
      <c r="G2215" s="2"/>
      <c r="H2215" s="2"/>
      <c r="I2215" s="2"/>
    </row>
    <row r="2216">
      <c r="A2216" s="2" t="s">
        <v>2225</v>
      </c>
      <c r="B2216" s="2" t="s">
        <v>2210</v>
      </c>
      <c r="C2216" s="1"/>
      <c r="D2216" s="2"/>
      <c r="E2216" s="2"/>
      <c r="F2216" s="2"/>
      <c r="G2216" s="2"/>
      <c r="H2216" s="2"/>
      <c r="I2216" s="2"/>
    </row>
    <row r="2217">
      <c r="A2217" s="2" t="s">
        <v>2226</v>
      </c>
      <c r="B2217" s="2" t="s">
        <v>2210</v>
      </c>
      <c r="C2217" s="1"/>
      <c r="D2217" s="2"/>
      <c r="E2217" s="2"/>
      <c r="F2217" s="2"/>
      <c r="G2217" s="2"/>
      <c r="H2217" s="2"/>
      <c r="I2217" s="2"/>
    </row>
    <row r="2218">
      <c r="A2218" s="2" t="s">
        <v>2227</v>
      </c>
      <c r="B2218" s="2" t="s">
        <v>2210</v>
      </c>
      <c r="C2218" s="1"/>
      <c r="D2218" s="2"/>
      <c r="E2218" s="2"/>
      <c r="F2218" s="2"/>
      <c r="G2218" s="2"/>
      <c r="H2218" s="2"/>
      <c r="I2218" s="2"/>
    </row>
    <row r="2219">
      <c r="A2219" s="2" t="s">
        <v>2228</v>
      </c>
      <c r="B2219" s="2" t="s">
        <v>2210</v>
      </c>
      <c r="C2219" s="1"/>
      <c r="D2219" s="2"/>
      <c r="E2219" s="2"/>
      <c r="F2219" s="2"/>
      <c r="G2219" s="2"/>
      <c r="H2219" s="2"/>
      <c r="I2219" s="2"/>
    </row>
    <row r="2220">
      <c r="A2220" s="2" t="s">
        <v>2229</v>
      </c>
      <c r="B2220" s="2" t="s">
        <v>2210</v>
      </c>
      <c r="C2220" s="1"/>
      <c r="D2220" s="2"/>
      <c r="E2220" s="2"/>
      <c r="F2220" s="2"/>
      <c r="G2220" s="2"/>
      <c r="H2220" s="2"/>
      <c r="I2220" s="2"/>
    </row>
    <row r="2221">
      <c r="A2221" s="2" t="s">
        <v>2230</v>
      </c>
      <c r="B2221" s="2" t="s">
        <v>2210</v>
      </c>
      <c r="C2221" s="1"/>
      <c r="D2221" s="2"/>
      <c r="E2221" s="2"/>
      <c r="F2221" s="2"/>
      <c r="G2221" s="2"/>
      <c r="H2221" s="2"/>
      <c r="I2221" s="2"/>
    </row>
    <row r="2222">
      <c r="A2222" s="2" t="s">
        <v>2231</v>
      </c>
      <c r="B2222" s="2" t="s">
        <v>2210</v>
      </c>
      <c r="C2222" s="1"/>
      <c r="D2222" s="2"/>
      <c r="E2222" s="2"/>
      <c r="F2222" s="2"/>
      <c r="G2222" s="2"/>
      <c r="H2222" s="2"/>
      <c r="I2222" s="2"/>
    </row>
    <row r="2223">
      <c r="A2223" s="2" t="s">
        <v>2232</v>
      </c>
      <c r="B2223" s="2" t="s">
        <v>2210</v>
      </c>
      <c r="C2223" s="1"/>
      <c r="D2223" s="2"/>
      <c r="E2223" s="2"/>
      <c r="F2223" s="2"/>
      <c r="G2223" s="2"/>
      <c r="H2223" s="2"/>
      <c r="I2223" s="2"/>
    </row>
    <row r="2224">
      <c r="A2224" s="2" t="s">
        <v>2233</v>
      </c>
      <c r="B2224" s="2" t="s">
        <v>2210</v>
      </c>
      <c r="C2224" s="1"/>
      <c r="D2224" s="2"/>
      <c r="E2224" s="2"/>
      <c r="F2224" s="2"/>
      <c r="G2224" s="2"/>
      <c r="H2224" s="2"/>
      <c r="I2224" s="2"/>
    </row>
    <row r="2225">
      <c r="A2225" s="2" t="s">
        <v>2234</v>
      </c>
      <c r="B2225" s="2" t="s">
        <v>2210</v>
      </c>
      <c r="C2225" s="1"/>
      <c r="D2225" s="2"/>
      <c r="E2225" s="2"/>
      <c r="F2225" s="2"/>
      <c r="G2225" s="2"/>
      <c r="H2225" s="2"/>
      <c r="I2225" s="2"/>
    </row>
    <row r="2226">
      <c r="A2226" s="2" t="s">
        <v>2235</v>
      </c>
      <c r="B2226" s="2" t="s">
        <v>2210</v>
      </c>
      <c r="C2226" s="1"/>
      <c r="D2226" s="2"/>
      <c r="E2226" s="2"/>
      <c r="F2226" s="2"/>
      <c r="G2226" s="2"/>
      <c r="H2226" s="2"/>
      <c r="I2226" s="2"/>
    </row>
    <row r="2227">
      <c r="A2227" s="2" t="s">
        <v>2236</v>
      </c>
      <c r="B2227" s="2" t="s">
        <v>2210</v>
      </c>
      <c r="C2227" s="1"/>
      <c r="D2227" s="2"/>
      <c r="E2227" s="2"/>
      <c r="F2227" s="2"/>
      <c r="G2227" s="2"/>
      <c r="H2227" s="2"/>
      <c r="I2227" s="2"/>
    </row>
    <row r="2228">
      <c r="A2228" s="1" t="s">
        <v>2237</v>
      </c>
      <c r="B2228" s="2" t="s">
        <v>2238</v>
      </c>
      <c r="C2228" s="2"/>
      <c r="D2228" s="2" t="s">
        <v>11</v>
      </c>
      <c r="E2228" s="2">
        <v>10.0</v>
      </c>
      <c r="F2228" s="2" t="s">
        <v>12</v>
      </c>
      <c r="G2228" s="2"/>
      <c r="H2228" s="2"/>
      <c r="I2228" s="2"/>
    </row>
    <row r="2229">
      <c r="A2229" s="1" t="s">
        <v>2239</v>
      </c>
      <c r="B2229" s="2" t="s">
        <v>2238</v>
      </c>
      <c r="C2229" s="2"/>
      <c r="D2229" s="2" t="s">
        <v>11</v>
      </c>
      <c r="E2229" s="2">
        <v>10.0</v>
      </c>
      <c r="F2229" s="2" t="s">
        <v>12</v>
      </c>
      <c r="G2229" s="2"/>
      <c r="H2229" s="2"/>
      <c r="I2229" s="2"/>
    </row>
    <row r="2230">
      <c r="A2230" s="2" t="s">
        <v>2240</v>
      </c>
      <c r="B2230" s="2" t="s">
        <v>2238</v>
      </c>
      <c r="C2230" s="2"/>
      <c r="D2230" s="2" t="s">
        <v>11</v>
      </c>
      <c r="E2230" s="2">
        <v>10.0</v>
      </c>
      <c r="F2230" s="2" t="s">
        <v>12</v>
      </c>
      <c r="G2230" s="2"/>
      <c r="H2230" s="2"/>
      <c r="I2230" s="2"/>
    </row>
    <row r="2231">
      <c r="A2231" s="1" t="s">
        <v>2241</v>
      </c>
      <c r="B2231" s="2" t="s">
        <v>2238</v>
      </c>
      <c r="C2231" s="2"/>
      <c r="D2231" s="2" t="s">
        <v>11</v>
      </c>
      <c r="E2231" s="2">
        <v>10.0</v>
      </c>
      <c r="F2231" s="2" t="s">
        <v>12</v>
      </c>
      <c r="G2231" s="2"/>
      <c r="H2231" s="2"/>
      <c r="I2231" s="2"/>
    </row>
    <row r="2232">
      <c r="A2232" s="1" t="s">
        <v>2242</v>
      </c>
      <c r="B2232" s="2" t="s">
        <v>2238</v>
      </c>
      <c r="C2232" s="2"/>
      <c r="D2232" s="2" t="s">
        <v>11</v>
      </c>
      <c r="E2232" s="2">
        <v>10.0</v>
      </c>
      <c r="F2232" s="2" t="s">
        <v>12</v>
      </c>
      <c r="G2232" s="2"/>
      <c r="H2232" s="2"/>
      <c r="I2232" s="2"/>
    </row>
    <row r="2233">
      <c r="A2233" s="1" t="s">
        <v>2243</v>
      </c>
      <c r="B2233" s="2" t="s">
        <v>2238</v>
      </c>
      <c r="C2233" s="2"/>
      <c r="D2233" s="2" t="s">
        <v>11</v>
      </c>
      <c r="E2233" s="2">
        <v>14.0</v>
      </c>
      <c r="F2233" s="2" t="s">
        <v>12</v>
      </c>
      <c r="G2233" s="2"/>
      <c r="H2233" s="2"/>
      <c r="I2233" s="2"/>
    </row>
    <row r="2234">
      <c r="A2234" s="1" t="s">
        <v>2244</v>
      </c>
      <c r="B2234" s="2" t="s">
        <v>2238</v>
      </c>
      <c r="C2234" s="2"/>
      <c r="D2234" s="2" t="s">
        <v>11</v>
      </c>
      <c r="E2234" s="2">
        <v>14.0</v>
      </c>
      <c r="F2234" s="2" t="s">
        <v>12</v>
      </c>
      <c r="G2234" s="2"/>
      <c r="H2234" s="2"/>
      <c r="I2234" s="2"/>
    </row>
    <row r="2235">
      <c r="A2235" s="1" t="s">
        <v>2245</v>
      </c>
      <c r="B2235" s="2" t="s">
        <v>2238</v>
      </c>
      <c r="C2235" s="2"/>
      <c r="D2235" s="2" t="s">
        <v>11</v>
      </c>
      <c r="E2235" s="2">
        <v>10.0</v>
      </c>
      <c r="F2235" s="2" t="s">
        <v>12</v>
      </c>
      <c r="G2235" s="2"/>
      <c r="H2235" s="2"/>
      <c r="I2235" s="2"/>
    </row>
    <row r="2236">
      <c r="A2236" s="1" t="s">
        <v>2246</v>
      </c>
      <c r="B2236" s="2" t="s">
        <v>2238</v>
      </c>
      <c r="C2236" s="2"/>
      <c r="D2236" s="2" t="s">
        <v>11</v>
      </c>
      <c r="E2236" s="2"/>
      <c r="F2236" s="2"/>
      <c r="G2236" s="2"/>
      <c r="H2236" s="2"/>
      <c r="I2236" s="2"/>
    </row>
    <row r="2237">
      <c r="A2237" s="1" t="s">
        <v>2247</v>
      </c>
      <c r="B2237" s="2" t="s">
        <v>2238</v>
      </c>
      <c r="C2237" s="2"/>
      <c r="D2237" s="2" t="s">
        <v>11</v>
      </c>
      <c r="E2237" s="2"/>
      <c r="F2237" s="2"/>
      <c r="G2237" s="2"/>
      <c r="H2237" s="2"/>
      <c r="I2237" s="2"/>
    </row>
    <row r="2238">
      <c r="A2238" s="1" t="s">
        <v>2248</v>
      </c>
      <c r="B2238" s="2" t="s">
        <v>2238</v>
      </c>
      <c r="C2238" s="2"/>
      <c r="D2238" s="2" t="s">
        <v>11</v>
      </c>
      <c r="E2238" s="2"/>
      <c r="F2238" s="2"/>
      <c r="G2238" s="2"/>
      <c r="H2238" s="2"/>
      <c r="I2238" s="2"/>
    </row>
    <row r="2239">
      <c r="A2239" s="2" t="s">
        <v>2249</v>
      </c>
      <c r="B2239" s="2" t="s">
        <v>2238</v>
      </c>
      <c r="C2239" s="1"/>
      <c r="D2239" s="2"/>
      <c r="E2239" s="2"/>
      <c r="F2239" s="2"/>
      <c r="G2239" s="2"/>
      <c r="H2239" s="2"/>
      <c r="I2239" s="2"/>
    </row>
    <row r="2240">
      <c r="A2240" s="2" t="s">
        <v>2250</v>
      </c>
      <c r="B2240" s="2" t="s">
        <v>2238</v>
      </c>
      <c r="C2240" s="1"/>
      <c r="D2240" s="2"/>
      <c r="E2240" s="2"/>
      <c r="F2240" s="2"/>
      <c r="G2240" s="2"/>
      <c r="H2240" s="2"/>
      <c r="I2240" s="2"/>
    </row>
    <row r="2241">
      <c r="A2241" s="2" t="s">
        <v>2251</v>
      </c>
      <c r="B2241" s="2" t="s">
        <v>2252</v>
      </c>
      <c r="C2241" s="1"/>
      <c r="D2241" s="2"/>
      <c r="E2241" s="2"/>
      <c r="F2241" s="2"/>
      <c r="G2241" s="2"/>
      <c r="H2241" s="2"/>
      <c r="I2241" s="2"/>
    </row>
    <row r="2242">
      <c r="A2242" s="2" t="s">
        <v>2253</v>
      </c>
      <c r="B2242" s="2" t="s">
        <v>2252</v>
      </c>
      <c r="C2242" s="1"/>
      <c r="D2242" s="2"/>
      <c r="E2242" s="2"/>
      <c r="F2242" s="2"/>
      <c r="G2242" s="2"/>
      <c r="H2242" s="2"/>
      <c r="I2242" s="2"/>
    </row>
    <row r="2243">
      <c r="A2243" s="2" t="s">
        <v>2254</v>
      </c>
      <c r="B2243" s="2" t="s">
        <v>2252</v>
      </c>
      <c r="C2243" s="1"/>
      <c r="D2243" s="2"/>
      <c r="E2243" s="2"/>
      <c r="F2243" s="2"/>
      <c r="G2243" s="2"/>
      <c r="H2243" s="2"/>
      <c r="I2243" s="2"/>
    </row>
    <row r="2244">
      <c r="A2244" s="2" t="s">
        <v>2255</v>
      </c>
      <c r="B2244" s="2" t="s">
        <v>2252</v>
      </c>
      <c r="C2244" s="2"/>
      <c r="D2244" s="2" t="s">
        <v>11</v>
      </c>
      <c r="E2244" s="2">
        <v>20.0</v>
      </c>
      <c r="F2244" s="2" t="s">
        <v>12</v>
      </c>
      <c r="G2244" s="2"/>
      <c r="H2244" s="2"/>
      <c r="I2244" s="2"/>
    </row>
    <row r="2245">
      <c r="A2245" s="1" t="s">
        <v>2256</v>
      </c>
      <c r="B2245" s="2" t="s">
        <v>2252</v>
      </c>
      <c r="C2245" s="1"/>
      <c r="D2245" s="2"/>
      <c r="E2245" s="2"/>
      <c r="F2245" s="2"/>
      <c r="G2245" s="2"/>
      <c r="H2245" s="2"/>
      <c r="I2245" s="2"/>
    </row>
    <row r="2246">
      <c r="A2246" s="1" t="s">
        <v>2257</v>
      </c>
      <c r="B2246" s="2" t="s">
        <v>2252</v>
      </c>
      <c r="C2246" s="2"/>
      <c r="D2246" s="2" t="s">
        <v>11</v>
      </c>
      <c r="E2246" s="2">
        <v>15.0</v>
      </c>
      <c r="F2246" s="2" t="s">
        <v>12</v>
      </c>
      <c r="G2246" s="2"/>
      <c r="H2246" s="2"/>
      <c r="I2246" s="2"/>
    </row>
    <row r="2247">
      <c r="A2247" s="1" t="s">
        <v>2258</v>
      </c>
      <c r="B2247" s="2" t="s">
        <v>2252</v>
      </c>
      <c r="C2247" s="2"/>
      <c r="D2247" s="2" t="s">
        <v>11</v>
      </c>
      <c r="E2247" s="2">
        <v>15.0</v>
      </c>
      <c r="F2247" s="2" t="s">
        <v>12</v>
      </c>
      <c r="G2247" s="2"/>
      <c r="H2247" s="2"/>
      <c r="I2247" s="2"/>
    </row>
    <row r="2248">
      <c r="A2248" s="2" t="s">
        <v>2259</v>
      </c>
      <c r="B2248" s="2" t="s">
        <v>2252</v>
      </c>
      <c r="C2248" s="1"/>
      <c r="D2248" s="2"/>
      <c r="E2248" s="2"/>
      <c r="F2248" s="2"/>
      <c r="G2248" s="2"/>
      <c r="H2248" s="2"/>
      <c r="I2248" s="2"/>
    </row>
    <row r="2249">
      <c r="A2249" s="2" t="s">
        <v>2260</v>
      </c>
      <c r="B2249" s="2" t="s">
        <v>2252</v>
      </c>
      <c r="C2249" s="1"/>
      <c r="D2249" s="2"/>
      <c r="E2249" s="2"/>
      <c r="F2249" s="2"/>
      <c r="G2249" s="2"/>
      <c r="H2249" s="2"/>
      <c r="I2249" s="2"/>
    </row>
    <row r="2250">
      <c r="A2250" s="2" t="s">
        <v>2261</v>
      </c>
      <c r="B2250" s="2" t="s">
        <v>2252</v>
      </c>
      <c r="C2250" s="2"/>
      <c r="D2250" s="2" t="s">
        <v>11</v>
      </c>
      <c r="E2250" s="2">
        <v>15.0</v>
      </c>
      <c r="F2250" s="2" t="s">
        <v>12</v>
      </c>
      <c r="G2250" s="2"/>
      <c r="H2250" s="2"/>
      <c r="I2250" s="2"/>
    </row>
    <row r="2251">
      <c r="A2251" s="2" t="s">
        <v>2262</v>
      </c>
      <c r="B2251" s="2" t="s">
        <v>2252</v>
      </c>
      <c r="C2251" s="2"/>
      <c r="D2251" s="2" t="s">
        <v>11</v>
      </c>
      <c r="E2251" s="2">
        <v>10.0</v>
      </c>
      <c r="F2251" s="2" t="s">
        <v>12</v>
      </c>
      <c r="G2251" s="2"/>
      <c r="H2251" s="2"/>
      <c r="I2251" s="2"/>
    </row>
    <row r="2252">
      <c r="A2252" s="2" t="s">
        <v>2263</v>
      </c>
      <c r="B2252" s="2" t="s">
        <v>2252</v>
      </c>
      <c r="C2252" s="1"/>
      <c r="D2252" s="2"/>
      <c r="E2252" s="2"/>
      <c r="F2252" s="2"/>
      <c r="G2252" s="2"/>
      <c r="H2252" s="2"/>
      <c r="I2252" s="2"/>
    </row>
    <row r="2253">
      <c r="A2253" s="2" t="s">
        <v>2264</v>
      </c>
      <c r="B2253" s="2" t="s">
        <v>2252</v>
      </c>
      <c r="C2253" s="2"/>
      <c r="D2253" s="2" t="s">
        <v>11</v>
      </c>
      <c r="E2253" s="2">
        <v>10.0</v>
      </c>
      <c r="F2253" s="2" t="s">
        <v>12</v>
      </c>
      <c r="G2253" s="2"/>
      <c r="H2253" s="2"/>
      <c r="I2253" s="2"/>
    </row>
    <row r="2254">
      <c r="A2254" s="2" t="s">
        <v>2265</v>
      </c>
      <c r="B2254" s="2" t="s">
        <v>2252</v>
      </c>
      <c r="C2254" s="2"/>
      <c r="D2254" s="2" t="s">
        <v>37</v>
      </c>
      <c r="E2254" s="2">
        <v>20.0</v>
      </c>
      <c r="F2254" s="2" t="s">
        <v>12</v>
      </c>
      <c r="G2254" s="2"/>
      <c r="H2254" s="2"/>
      <c r="I2254" s="2"/>
    </row>
    <row r="2255">
      <c r="A2255" s="2" t="s">
        <v>2266</v>
      </c>
      <c r="B2255" s="2" t="s">
        <v>2252</v>
      </c>
      <c r="C2255" s="2"/>
      <c r="D2255" s="2" t="s">
        <v>37</v>
      </c>
      <c r="E2255" s="2">
        <v>10.0</v>
      </c>
      <c r="F2255" s="2" t="s">
        <v>12</v>
      </c>
      <c r="G2255" s="2"/>
      <c r="H2255" s="2"/>
      <c r="I2255" s="2"/>
    </row>
    <row r="2256">
      <c r="A2256" s="2" t="s">
        <v>2267</v>
      </c>
      <c r="B2256" s="2" t="s">
        <v>2252</v>
      </c>
      <c r="C2256" s="2"/>
      <c r="D2256" s="2" t="s">
        <v>37</v>
      </c>
      <c r="E2256" s="2">
        <v>30.0</v>
      </c>
      <c r="F2256" s="2" t="s">
        <v>22</v>
      </c>
      <c r="G2256" s="2"/>
      <c r="H2256" s="2"/>
      <c r="I2256" s="2"/>
    </row>
    <row r="2257">
      <c r="A2257" s="2" t="s">
        <v>2268</v>
      </c>
      <c r="B2257" s="2" t="s">
        <v>2252</v>
      </c>
      <c r="C2257" s="2"/>
      <c r="D2257" s="2" t="s">
        <v>37</v>
      </c>
      <c r="E2257" s="2">
        <v>10.0</v>
      </c>
      <c r="F2257" s="2" t="s">
        <v>12</v>
      </c>
      <c r="G2257" s="2"/>
      <c r="H2257" s="2"/>
      <c r="I2257" s="2"/>
    </row>
    <row r="2258">
      <c r="A2258" s="2" t="s">
        <v>2269</v>
      </c>
      <c r="B2258" s="2" t="s">
        <v>2252</v>
      </c>
      <c r="C2258" s="1"/>
      <c r="D2258" s="2"/>
      <c r="E2258" s="2"/>
      <c r="F2258" s="2"/>
      <c r="G2258" s="2"/>
      <c r="H2258" s="2"/>
      <c r="I2258" s="2"/>
    </row>
    <row r="2259">
      <c r="A2259" s="2" t="s">
        <v>2270</v>
      </c>
      <c r="B2259" s="2" t="s">
        <v>2252</v>
      </c>
      <c r="C2259" s="1"/>
      <c r="D2259" s="1" t="s">
        <v>300</v>
      </c>
      <c r="E2259" s="1" t="s">
        <v>731</v>
      </c>
      <c r="F2259" s="1" t="s">
        <v>302</v>
      </c>
      <c r="G2259" s="2"/>
      <c r="H2259" s="2"/>
      <c r="I2259" s="2"/>
    </row>
    <row r="2260">
      <c r="A2260" s="2" t="s">
        <v>2271</v>
      </c>
      <c r="B2260" s="2" t="s">
        <v>2252</v>
      </c>
      <c r="C2260" s="1"/>
      <c r="D2260" s="2"/>
      <c r="E2260" s="2"/>
      <c r="F2260" s="2"/>
      <c r="G2260" s="2"/>
      <c r="H2260" s="2"/>
      <c r="I2260" s="2"/>
    </row>
    <row r="2261">
      <c r="A2261" s="2" t="s">
        <v>2272</v>
      </c>
      <c r="B2261" s="2" t="s">
        <v>2252</v>
      </c>
      <c r="C2261" s="1"/>
      <c r="D2261" s="2"/>
      <c r="E2261" s="2"/>
      <c r="F2261" s="2"/>
      <c r="G2261" s="2"/>
      <c r="H2261" s="2"/>
      <c r="I2261" s="2"/>
    </row>
    <row r="2262">
      <c r="A2262" s="2" t="s">
        <v>2273</v>
      </c>
      <c r="B2262" s="2" t="s">
        <v>2252</v>
      </c>
      <c r="C2262" s="1"/>
      <c r="D2262" s="1" t="s">
        <v>300</v>
      </c>
      <c r="E2262" s="1" t="s">
        <v>2274</v>
      </c>
      <c r="F2262" s="1" t="s">
        <v>302</v>
      </c>
      <c r="G2262" s="2"/>
      <c r="H2262" s="2"/>
      <c r="I2262" s="2"/>
    </row>
    <row r="2263">
      <c r="A2263" s="2" t="s">
        <v>2275</v>
      </c>
      <c r="B2263" s="2" t="s">
        <v>2252</v>
      </c>
      <c r="C2263" s="2"/>
      <c r="D2263" s="2" t="s">
        <v>37</v>
      </c>
      <c r="E2263" s="2">
        <v>10.0</v>
      </c>
      <c r="F2263" s="2" t="s">
        <v>12</v>
      </c>
      <c r="G2263" s="2"/>
      <c r="H2263" s="2"/>
      <c r="I2263" s="2"/>
    </row>
    <row r="2264">
      <c r="A2264" s="2" t="s">
        <v>2276</v>
      </c>
      <c r="B2264" s="2" t="s">
        <v>2252</v>
      </c>
      <c r="C2264" s="2"/>
      <c r="D2264" s="2" t="s">
        <v>11</v>
      </c>
      <c r="E2264" s="2">
        <v>10.0</v>
      </c>
      <c r="F2264" s="2" t="s">
        <v>12</v>
      </c>
      <c r="G2264" s="2"/>
      <c r="H2264" s="2"/>
      <c r="I2264" s="2"/>
    </row>
    <row r="2265">
      <c r="A2265" s="1" t="s">
        <v>2277</v>
      </c>
      <c r="B2265" s="2" t="s">
        <v>2252</v>
      </c>
      <c r="C2265" s="1"/>
      <c r="D2265" s="2"/>
      <c r="E2265" s="2"/>
      <c r="F2265" s="2"/>
      <c r="G2265" s="2"/>
      <c r="H2265" s="2"/>
      <c r="I2265" s="2"/>
    </row>
    <row r="2266">
      <c r="A2266" s="1" t="s">
        <v>2278</v>
      </c>
      <c r="B2266" s="2" t="s">
        <v>2252</v>
      </c>
      <c r="C2266" s="2"/>
      <c r="D2266" s="2" t="s">
        <v>37</v>
      </c>
      <c r="E2266" s="2">
        <v>10.0</v>
      </c>
      <c r="F2266" s="2" t="s">
        <v>12</v>
      </c>
      <c r="G2266" s="2"/>
      <c r="H2266" s="2"/>
      <c r="I2266" s="2"/>
    </row>
    <row r="2267">
      <c r="A2267" s="1" t="s">
        <v>2279</v>
      </c>
      <c r="B2267" s="2" t="s">
        <v>2252</v>
      </c>
      <c r="C2267" s="2"/>
      <c r="D2267" s="2" t="s">
        <v>11</v>
      </c>
      <c r="E2267" s="2">
        <v>10.0</v>
      </c>
      <c r="F2267" s="2" t="s">
        <v>12</v>
      </c>
      <c r="G2267" s="2"/>
      <c r="H2267" s="2"/>
      <c r="I2267" s="2"/>
    </row>
    <row r="2268">
      <c r="A2268" s="1" t="s">
        <v>2280</v>
      </c>
      <c r="B2268" s="2" t="s">
        <v>2252</v>
      </c>
      <c r="C2268" s="1"/>
      <c r="D2268" s="2"/>
      <c r="E2268" s="2"/>
      <c r="F2268" s="2"/>
      <c r="G2268" s="2"/>
      <c r="H2268" s="2"/>
      <c r="I2268" s="2"/>
    </row>
    <row r="2269">
      <c r="A2269" s="1" t="s">
        <v>2281</v>
      </c>
      <c r="B2269" s="2" t="s">
        <v>2252</v>
      </c>
      <c r="C2269" s="2"/>
      <c r="D2269" s="2" t="s">
        <v>37</v>
      </c>
      <c r="E2269" s="2">
        <v>10.0</v>
      </c>
      <c r="F2269" s="2" t="s">
        <v>12</v>
      </c>
      <c r="G2269" s="2"/>
      <c r="H2269" s="2"/>
      <c r="I2269" s="2"/>
    </row>
    <row r="2270">
      <c r="A2270" s="1" t="s">
        <v>2282</v>
      </c>
      <c r="B2270" s="2" t="s">
        <v>2252</v>
      </c>
      <c r="C2270" s="2"/>
      <c r="D2270" s="2" t="s">
        <v>11</v>
      </c>
      <c r="E2270" s="2">
        <v>10.0</v>
      </c>
      <c r="F2270" s="2" t="s">
        <v>12</v>
      </c>
      <c r="G2270" s="2"/>
      <c r="H2270" s="2"/>
      <c r="I2270" s="2"/>
    </row>
    <row r="2271">
      <c r="A2271" s="1" t="s">
        <v>2283</v>
      </c>
      <c r="B2271" s="2" t="s">
        <v>2252</v>
      </c>
      <c r="C2271" s="2"/>
      <c r="D2271" s="2" t="s">
        <v>11</v>
      </c>
      <c r="E2271" s="2">
        <v>10.0</v>
      </c>
      <c r="F2271" s="2" t="s">
        <v>12</v>
      </c>
      <c r="G2271" s="2"/>
      <c r="H2271" s="2"/>
      <c r="I2271" s="2"/>
    </row>
    <row r="2272">
      <c r="A2272" s="2" t="s">
        <v>2284</v>
      </c>
      <c r="B2272" s="2" t="s">
        <v>2252</v>
      </c>
      <c r="C2272" s="1"/>
      <c r="D2272" s="2"/>
      <c r="E2272" s="2"/>
      <c r="F2272" s="2"/>
      <c r="G2272" s="2"/>
      <c r="H2272" s="2"/>
      <c r="I2272" s="2"/>
    </row>
    <row r="2273">
      <c r="A2273" s="2" t="s">
        <v>2285</v>
      </c>
      <c r="B2273" s="2" t="s">
        <v>2252</v>
      </c>
      <c r="C2273" s="1"/>
      <c r="D2273" s="2"/>
      <c r="E2273" s="2"/>
      <c r="F2273" s="2"/>
      <c r="G2273" s="2"/>
      <c r="H2273" s="2"/>
      <c r="I2273" s="2"/>
    </row>
    <row r="2274">
      <c r="A2274" s="2" t="s">
        <v>2286</v>
      </c>
      <c r="B2274" s="2" t="s">
        <v>2252</v>
      </c>
      <c r="C2274" s="2"/>
      <c r="D2274" s="2" t="s">
        <v>11</v>
      </c>
      <c r="E2274" s="2">
        <v>10.0</v>
      </c>
      <c r="F2274" s="2" t="s">
        <v>12</v>
      </c>
      <c r="G2274" s="2"/>
      <c r="H2274" s="2"/>
      <c r="I2274" s="2"/>
    </row>
    <row r="2275">
      <c r="A2275" s="2" t="s">
        <v>2287</v>
      </c>
      <c r="B2275" s="2" t="s">
        <v>2252</v>
      </c>
      <c r="C2275" s="1"/>
      <c r="D2275" s="2"/>
      <c r="E2275" s="2"/>
      <c r="F2275" s="2"/>
      <c r="G2275" s="2"/>
      <c r="H2275" s="2"/>
      <c r="I2275" s="2"/>
    </row>
    <row r="2276">
      <c r="A2276" s="2" t="s">
        <v>2288</v>
      </c>
      <c r="B2276" s="2" t="s">
        <v>2252</v>
      </c>
      <c r="C2276" s="1"/>
      <c r="D2276" s="2"/>
      <c r="E2276" s="2"/>
      <c r="F2276" s="2"/>
      <c r="G2276" s="2"/>
      <c r="H2276" s="2"/>
      <c r="I2276" s="2"/>
    </row>
    <row r="2277">
      <c r="A2277" s="2" t="s">
        <v>2289</v>
      </c>
      <c r="B2277" s="2" t="s">
        <v>2252</v>
      </c>
      <c r="C2277" s="1"/>
      <c r="D2277" s="1" t="s">
        <v>300</v>
      </c>
      <c r="E2277" s="1" t="s">
        <v>2290</v>
      </c>
      <c r="F2277" s="1" t="s">
        <v>302</v>
      </c>
      <c r="G2277" s="2"/>
      <c r="H2277" s="2"/>
      <c r="I2277" s="2"/>
    </row>
    <row r="2278">
      <c r="A2278" s="1" t="s">
        <v>2291</v>
      </c>
      <c r="B2278" s="2" t="s">
        <v>2252</v>
      </c>
      <c r="C2278" s="2"/>
      <c r="D2278" s="2" t="s">
        <v>11</v>
      </c>
      <c r="E2278" s="2">
        <v>10.0</v>
      </c>
      <c r="F2278" s="2" t="s">
        <v>12</v>
      </c>
      <c r="G2278" s="2"/>
      <c r="H2278" s="2"/>
      <c r="I2278" s="2"/>
    </row>
    <row r="2279">
      <c r="A2279" s="1" t="s">
        <v>2292</v>
      </c>
      <c r="B2279" s="2" t="s">
        <v>2252</v>
      </c>
      <c r="C2279" s="2"/>
      <c r="D2279" s="2" t="s">
        <v>11</v>
      </c>
      <c r="E2279" s="2">
        <v>6.0</v>
      </c>
      <c r="F2279" s="2" t="s">
        <v>12</v>
      </c>
      <c r="G2279" s="2"/>
      <c r="H2279" s="2"/>
      <c r="I2279" s="2"/>
    </row>
    <row r="2280">
      <c r="A2280" s="1" t="s">
        <v>2293</v>
      </c>
      <c r="B2280" s="2" t="s">
        <v>2252</v>
      </c>
      <c r="C2280" s="2"/>
      <c r="D2280" s="2" t="s">
        <v>11</v>
      </c>
      <c r="E2280" s="2">
        <v>1.0</v>
      </c>
      <c r="F2280" s="2" t="s">
        <v>12</v>
      </c>
      <c r="G2280" s="2"/>
      <c r="H2280" s="2"/>
      <c r="I2280" s="2"/>
    </row>
    <row r="2281">
      <c r="A2281" s="2" t="s">
        <v>2294</v>
      </c>
      <c r="B2281" s="2" t="s">
        <v>2252</v>
      </c>
      <c r="C2281" s="1"/>
      <c r="D2281" s="2"/>
      <c r="E2281" s="2"/>
      <c r="F2281" s="2"/>
      <c r="G2281" s="2"/>
      <c r="H2281" s="2"/>
      <c r="I2281" s="2"/>
    </row>
    <row r="2282">
      <c r="A2282" s="2" t="s">
        <v>2295</v>
      </c>
      <c r="B2282" s="2" t="s">
        <v>2252</v>
      </c>
      <c r="C2282" s="2"/>
      <c r="D2282" s="2" t="s">
        <v>37</v>
      </c>
      <c r="E2282" s="2">
        <v>30.0</v>
      </c>
      <c r="F2282" s="2" t="s">
        <v>22</v>
      </c>
      <c r="G2282" s="2"/>
      <c r="H2282" s="2"/>
      <c r="I2282" s="2"/>
    </row>
    <row r="2283">
      <c r="A2283" s="1" t="s">
        <v>2296</v>
      </c>
      <c r="B2283" s="2" t="s">
        <v>2252</v>
      </c>
      <c r="C2283" s="2"/>
      <c r="D2283" s="2" t="s">
        <v>11</v>
      </c>
      <c r="E2283" s="2"/>
      <c r="F2283" s="2"/>
      <c r="G2283" s="2"/>
      <c r="H2283" s="2"/>
      <c r="I2283" s="2"/>
    </row>
    <row r="2284">
      <c r="A2284" s="1" t="s">
        <v>2297</v>
      </c>
      <c r="B2284" s="2" t="s">
        <v>2252</v>
      </c>
      <c r="C2284" s="2"/>
      <c r="D2284" s="2" t="s">
        <v>11</v>
      </c>
      <c r="E2284" s="2">
        <v>10.0</v>
      </c>
      <c r="F2284" s="2" t="s">
        <v>12</v>
      </c>
      <c r="G2284" s="2"/>
      <c r="H2284" s="2"/>
      <c r="I2284" s="2"/>
    </row>
    <row r="2285">
      <c r="A2285" s="2" t="s">
        <v>2298</v>
      </c>
      <c r="B2285" s="2" t="s">
        <v>2252</v>
      </c>
      <c r="C2285" s="2"/>
      <c r="D2285" s="2" t="s">
        <v>37</v>
      </c>
      <c r="E2285" s="2">
        <v>10.0</v>
      </c>
      <c r="F2285" s="2" t="s">
        <v>12</v>
      </c>
      <c r="G2285" s="2"/>
      <c r="H2285" s="2"/>
      <c r="I2285" s="2"/>
    </row>
    <row r="2286">
      <c r="A2286" s="2" t="s">
        <v>2299</v>
      </c>
      <c r="B2286" s="2" t="s">
        <v>2252</v>
      </c>
      <c r="C2286" s="2"/>
      <c r="D2286" s="2" t="s">
        <v>11</v>
      </c>
      <c r="E2286" s="2">
        <v>20.0</v>
      </c>
      <c r="F2286" s="2" t="s">
        <v>12</v>
      </c>
      <c r="G2286" s="2"/>
      <c r="H2286" s="2"/>
      <c r="I2286" s="2"/>
    </row>
    <row r="2287">
      <c r="A2287" s="1" t="s">
        <v>2300</v>
      </c>
      <c r="B2287" s="2" t="s">
        <v>2252</v>
      </c>
      <c r="C2287" s="2"/>
      <c r="D2287" s="2" t="s">
        <v>11</v>
      </c>
      <c r="E2287" s="2">
        <v>1000.0</v>
      </c>
      <c r="F2287" s="2"/>
      <c r="G2287" s="2"/>
      <c r="H2287" s="2"/>
      <c r="I2287" s="2"/>
    </row>
    <row r="2288">
      <c r="A2288" s="2" t="s">
        <v>2301</v>
      </c>
      <c r="B2288" s="2" t="s">
        <v>2252</v>
      </c>
      <c r="C2288" s="1"/>
      <c r="D2288" s="2"/>
      <c r="E2288" s="2"/>
      <c r="F2288" s="2"/>
      <c r="G2288" s="2"/>
      <c r="H2288" s="2"/>
      <c r="I2288" s="2"/>
    </row>
    <row r="2289">
      <c r="A2289" s="2" t="s">
        <v>2302</v>
      </c>
      <c r="B2289" s="2" t="s">
        <v>2252</v>
      </c>
      <c r="C2289" s="1"/>
      <c r="D2289" s="2"/>
      <c r="E2289" s="2"/>
      <c r="F2289" s="2"/>
      <c r="G2289" s="2"/>
      <c r="H2289" s="2"/>
      <c r="I2289" s="2"/>
    </row>
    <row r="2290">
      <c r="A2290" s="2" t="s">
        <v>2303</v>
      </c>
      <c r="B2290" s="2" t="s">
        <v>2252</v>
      </c>
      <c r="C2290" s="1"/>
      <c r="D2290" s="2"/>
      <c r="E2290" s="2"/>
      <c r="F2290" s="2"/>
      <c r="G2290" s="2"/>
      <c r="H2290" s="2"/>
      <c r="I2290" s="2"/>
    </row>
    <row r="2291">
      <c r="A2291" s="2" t="s">
        <v>2304</v>
      </c>
      <c r="B2291" s="2" t="s">
        <v>2252</v>
      </c>
      <c r="C2291" s="1"/>
      <c r="D2291" s="2"/>
      <c r="E2291" s="2"/>
      <c r="F2291" s="2"/>
      <c r="G2291" s="2"/>
      <c r="H2291" s="2"/>
      <c r="I2291" s="2"/>
    </row>
    <row r="2292">
      <c r="A2292" s="2" t="s">
        <v>2305</v>
      </c>
      <c r="B2292" s="2" t="s">
        <v>2252</v>
      </c>
      <c r="C2292" s="1"/>
      <c r="D2292" s="2"/>
      <c r="E2292" s="2"/>
      <c r="F2292" s="2"/>
      <c r="G2292" s="2"/>
      <c r="H2292" s="2"/>
      <c r="I2292" s="2"/>
    </row>
    <row r="2293">
      <c r="A2293" s="2" t="s">
        <v>2306</v>
      </c>
      <c r="B2293" s="2" t="s">
        <v>2252</v>
      </c>
      <c r="C2293" s="1"/>
      <c r="D2293" s="2"/>
      <c r="E2293" s="2"/>
      <c r="F2293" s="2"/>
      <c r="G2293" s="2"/>
      <c r="H2293" s="2"/>
      <c r="I2293" s="2"/>
    </row>
    <row r="2294">
      <c r="A2294" s="2" t="s">
        <v>2307</v>
      </c>
      <c r="B2294" s="2" t="s">
        <v>2252</v>
      </c>
      <c r="C2294" s="1"/>
      <c r="D2294" s="1" t="s">
        <v>300</v>
      </c>
      <c r="E2294" s="1" t="s">
        <v>1124</v>
      </c>
      <c r="F2294" s="1" t="s">
        <v>302</v>
      </c>
      <c r="G2294" s="2"/>
      <c r="H2294" s="2"/>
      <c r="I2294" s="2"/>
    </row>
    <row r="2295">
      <c r="A2295" s="2" t="s">
        <v>2308</v>
      </c>
      <c r="B2295" s="2" t="s">
        <v>2252</v>
      </c>
      <c r="C2295" s="1"/>
      <c r="D2295" s="1" t="s">
        <v>300</v>
      </c>
      <c r="E2295" s="1" t="s">
        <v>731</v>
      </c>
      <c r="F2295" s="1" t="s">
        <v>302</v>
      </c>
      <c r="G2295" s="2"/>
      <c r="H2295" s="2"/>
      <c r="I2295" s="2"/>
    </row>
    <row r="2296">
      <c r="A2296" s="2" t="s">
        <v>2309</v>
      </c>
      <c r="B2296" s="2" t="s">
        <v>2252</v>
      </c>
      <c r="C2296" s="1"/>
      <c r="D2296" s="2"/>
      <c r="E2296" s="2"/>
      <c r="F2296" s="2"/>
      <c r="G2296" s="2"/>
      <c r="H2296" s="2"/>
      <c r="I2296" s="2"/>
    </row>
    <row r="2297">
      <c r="A2297" s="2" t="s">
        <v>2310</v>
      </c>
      <c r="B2297" s="2" t="s">
        <v>2252</v>
      </c>
      <c r="C2297" s="1"/>
      <c r="D2297" s="2"/>
      <c r="E2297" s="2"/>
      <c r="F2297" s="2"/>
      <c r="G2297" s="2"/>
      <c r="H2297" s="2"/>
      <c r="I2297" s="2"/>
    </row>
    <row r="2298">
      <c r="A2298" s="2" t="s">
        <v>2311</v>
      </c>
      <c r="B2298" s="2" t="s">
        <v>2252</v>
      </c>
      <c r="C2298" s="1"/>
      <c r="D2298" s="2"/>
      <c r="E2298" s="2"/>
      <c r="F2298" s="2"/>
      <c r="G2298" s="2"/>
      <c r="H2298" s="2"/>
      <c r="I2298" s="2"/>
    </row>
    <row r="2299">
      <c r="A2299" s="2" t="s">
        <v>2312</v>
      </c>
      <c r="B2299" s="2" t="s">
        <v>2252</v>
      </c>
      <c r="C2299" s="1"/>
      <c r="D2299" s="2"/>
      <c r="E2299" s="2"/>
      <c r="F2299" s="2"/>
      <c r="G2299" s="2"/>
      <c r="H2299" s="2"/>
      <c r="I2299" s="2"/>
    </row>
    <row r="2300">
      <c r="A2300" s="1" t="s">
        <v>2313</v>
      </c>
      <c r="B2300" s="2" t="s">
        <v>2252</v>
      </c>
      <c r="C2300" s="2"/>
      <c r="D2300" s="2" t="s">
        <v>11</v>
      </c>
      <c r="E2300" s="2">
        <v>10.0</v>
      </c>
      <c r="F2300" s="2" t="s">
        <v>12</v>
      </c>
      <c r="G2300" s="2"/>
      <c r="H2300" s="2"/>
      <c r="I2300" s="2"/>
    </row>
    <row r="2301">
      <c r="A2301" s="2" t="s">
        <v>2314</v>
      </c>
      <c r="B2301" s="2" t="s">
        <v>2252</v>
      </c>
      <c r="C2301" s="2"/>
      <c r="D2301" s="2" t="s">
        <v>11</v>
      </c>
      <c r="E2301" s="2">
        <v>10.0</v>
      </c>
      <c r="F2301" s="2" t="s">
        <v>12</v>
      </c>
      <c r="G2301" s="2"/>
      <c r="H2301" s="2"/>
      <c r="I2301" s="2"/>
    </row>
    <row r="2302">
      <c r="A2302" s="2" t="s">
        <v>2315</v>
      </c>
      <c r="B2302" s="2" t="s">
        <v>2252</v>
      </c>
      <c r="C2302" s="2"/>
      <c r="D2302" s="2" t="s">
        <v>11</v>
      </c>
      <c r="E2302" s="2">
        <v>10.0</v>
      </c>
      <c r="F2302" s="2" t="s">
        <v>12</v>
      </c>
      <c r="G2302" s="2"/>
      <c r="H2302" s="2"/>
      <c r="I2302" s="2"/>
    </row>
    <row r="2303">
      <c r="A2303" s="2" t="s">
        <v>2316</v>
      </c>
      <c r="B2303" s="2" t="s">
        <v>2252</v>
      </c>
      <c r="C2303" s="1"/>
      <c r="D2303" s="2"/>
      <c r="E2303" s="2"/>
      <c r="F2303" s="2"/>
      <c r="G2303" s="2"/>
      <c r="H2303" s="2"/>
      <c r="I2303" s="2"/>
    </row>
    <row r="2304">
      <c r="A2304" s="2" t="s">
        <v>2317</v>
      </c>
      <c r="B2304" s="2" t="s">
        <v>2252</v>
      </c>
      <c r="C2304" s="1"/>
      <c r="D2304" s="2"/>
      <c r="E2304" s="2"/>
      <c r="F2304" s="2"/>
      <c r="G2304" s="2"/>
      <c r="H2304" s="2"/>
      <c r="I2304" s="2"/>
    </row>
    <row r="2305">
      <c r="A2305" s="2" t="s">
        <v>2318</v>
      </c>
      <c r="B2305" s="2" t="s">
        <v>2252</v>
      </c>
      <c r="C2305" s="1"/>
      <c r="D2305" s="2"/>
      <c r="E2305" s="2"/>
      <c r="F2305" s="2"/>
      <c r="G2305" s="2"/>
      <c r="H2305" s="2"/>
      <c r="I2305" s="2"/>
    </row>
    <row r="2306">
      <c r="A2306" s="2" t="s">
        <v>2319</v>
      </c>
      <c r="B2306" s="2" t="s">
        <v>2252</v>
      </c>
      <c r="C2306" s="1"/>
      <c r="D2306" s="2"/>
      <c r="E2306" s="2"/>
      <c r="F2306" s="2"/>
      <c r="G2306" s="2"/>
      <c r="H2306" s="2"/>
      <c r="I2306" s="2"/>
    </row>
    <row r="2307">
      <c r="A2307" s="1" t="s">
        <v>2320</v>
      </c>
      <c r="B2307" s="2" t="s">
        <v>2252</v>
      </c>
      <c r="C2307" s="2"/>
      <c r="D2307" s="2" t="s">
        <v>11</v>
      </c>
      <c r="E2307" s="2">
        <v>10.0</v>
      </c>
      <c r="F2307" s="2" t="s">
        <v>12</v>
      </c>
      <c r="G2307" s="2"/>
      <c r="H2307" s="2"/>
      <c r="I2307" s="2"/>
    </row>
    <row r="2308">
      <c r="A2308" s="2" t="s">
        <v>2321</v>
      </c>
      <c r="B2308" s="2" t="s">
        <v>2252</v>
      </c>
      <c r="C2308" s="2"/>
      <c r="D2308" s="2" t="s">
        <v>11</v>
      </c>
      <c r="E2308" s="2">
        <v>10.0</v>
      </c>
      <c r="F2308" s="2" t="s">
        <v>12</v>
      </c>
      <c r="G2308" s="2"/>
      <c r="H2308" s="2"/>
      <c r="I2308" s="2"/>
    </row>
    <row r="2309">
      <c r="A2309" s="2" t="s">
        <v>2322</v>
      </c>
      <c r="B2309" s="2" t="s">
        <v>2252</v>
      </c>
      <c r="C2309" s="1"/>
      <c r="D2309" s="2"/>
      <c r="E2309" s="2"/>
      <c r="F2309" s="2"/>
      <c r="G2309" s="2"/>
      <c r="H2309" s="2"/>
      <c r="I2309" s="2"/>
    </row>
    <row r="2310">
      <c r="A2310" s="2" t="s">
        <v>2323</v>
      </c>
      <c r="B2310" s="2" t="s">
        <v>2252</v>
      </c>
      <c r="C2310" s="1"/>
      <c r="D2310" s="2"/>
      <c r="E2310" s="2"/>
      <c r="F2310" s="2"/>
      <c r="G2310" s="2"/>
      <c r="H2310" s="2"/>
      <c r="I2310" s="2"/>
    </row>
    <row r="2311">
      <c r="A2311" s="2" t="s">
        <v>2324</v>
      </c>
      <c r="B2311" s="2" t="s">
        <v>2252</v>
      </c>
      <c r="C2311" s="1"/>
      <c r="D2311" s="1" t="s">
        <v>300</v>
      </c>
      <c r="E2311" s="1" t="s">
        <v>2290</v>
      </c>
      <c r="F2311" s="1" t="s">
        <v>302</v>
      </c>
      <c r="G2311" s="2"/>
      <c r="H2311" s="2"/>
      <c r="I2311" s="2"/>
    </row>
    <row r="2312">
      <c r="A2312" s="2" t="s">
        <v>2325</v>
      </c>
      <c r="B2312" s="2" t="s">
        <v>2252</v>
      </c>
      <c r="C2312" s="1"/>
      <c r="D2312" s="1" t="s">
        <v>300</v>
      </c>
      <c r="E2312" s="1" t="s">
        <v>731</v>
      </c>
      <c r="F2312" s="1" t="s">
        <v>302</v>
      </c>
      <c r="G2312" s="2"/>
      <c r="H2312" s="2"/>
      <c r="I2312" s="2"/>
    </row>
    <row r="2313">
      <c r="A2313" s="2" t="s">
        <v>2326</v>
      </c>
      <c r="B2313" s="2" t="s">
        <v>2252</v>
      </c>
      <c r="C2313" s="1"/>
      <c r="D2313" s="2"/>
      <c r="E2313" s="2"/>
      <c r="F2313" s="2"/>
      <c r="G2313" s="2"/>
      <c r="H2313" s="2"/>
      <c r="I2313" s="2"/>
    </row>
    <row r="2314">
      <c r="A2314" s="2" t="s">
        <v>2327</v>
      </c>
      <c r="B2314" s="2" t="s">
        <v>2252</v>
      </c>
      <c r="C2314" s="1"/>
      <c r="D2314" s="2"/>
      <c r="E2314" s="2"/>
      <c r="F2314" s="2"/>
      <c r="G2314" s="2"/>
      <c r="H2314" s="2"/>
      <c r="I2314" s="2"/>
    </row>
    <row r="2315">
      <c r="A2315" s="2" t="s">
        <v>2328</v>
      </c>
      <c r="B2315" s="2" t="s">
        <v>2252</v>
      </c>
      <c r="C2315" s="1"/>
      <c r="D2315" s="2"/>
      <c r="E2315" s="2"/>
      <c r="F2315" s="2"/>
      <c r="G2315" s="2"/>
      <c r="H2315" s="2"/>
      <c r="I2315" s="2"/>
    </row>
    <row r="2316">
      <c r="A2316" s="2" t="s">
        <v>2329</v>
      </c>
      <c r="B2316" s="2" t="s">
        <v>2252</v>
      </c>
      <c r="C2316" s="1"/>
      <c r="D2316" s="1" t="s">
        <v>300</v>
      </c>
      <c r="E2316" s="1" t="s">
        <v>2290</v>
      </c>
      <c r="F2316" s="1" t="s">
        <v>302</v>
      </c>
      <c r="G2316" s="2"/>
      <c r="H2316" s="2"/>
      <c r="I2316" s="2"/>
    </row>
    <row r="2317">
      <c r="A2317" s="2" t="s">
        <v>2330</v>
      </c>
      <c r="B2317" s="2" t="s">
        <v>2252</v>
      </c>
      <c r="C2317" s="1"/>
      <c r="D2317" s="2"/>
      <c r="E2317" s="2"/>
      <c r="F2317" s="2"/>
      <c r="G2317" s="2"/>
      <c r="H2317" s="2"/>
      <c r="I2317" s="2"/>
    </row>
    <row r="2318">
      <c r="A2318" s="1" t="s">
        <v>2331</v>
      </c>
      <c r="B2318" s="2" t="s">
        <v>2252</v>
      </c>
      <c r="C2318" s="2"/>
      <c r="D2318" s="2" t="s">
        <v>11</v>
      </c>
      <c r="E2318" s="2">
        <v>10.0</v>
      </c>
      <c r="F2318" s="2" t="s">
        <v>12</v>
      </c>
      <c r="G2318" s="2"/>
      <c r="H2318" s="2"/>
      <c r="I2318" s="2"/>
    </row>
    <row r="2319">
      <c r="A2319" s="1" t="s">
        <v>2332</v>
      </c>
      <c r="B2319" s="2" t="s">
        <v>2252</v>
      </c>
      <c r="C2319" s="2"/>
      <c r="D2319" s="2" t="s">
        <v>11</v>
      </c>
      <c r="E2319" s="2">
        <v>7.0</v>
      </c>
      <c r="F2319" s="2" t="s">
        <v>12</v>
      </c>
      <c r="G2319" s="2"/>
      <c r="H2319" s="2"/>
      <c r="I2319" s="2"/>
    </row>
    <row r="2320">
      <c r="A2320" s="2" t="s">
        <v>2333</v>
      </c>
      <c r="B2320" s="2" t="s">
        <v>2252</v>
      </c>
      <c r="C2320" s="1"/>
      <c r="D2320" s="2"/>
      <c r="E2320" s="2"/>
      <c r="F2320" s="2"/>
      <c r="G2320" s="2"/>
      <c r="H2320" s="2"/>
      <c r="I2320" s="2"/>
    </row>
    <row r="2321">
      <c r="A2321" s="1" t="s">
        <v>2334</v>
      </c>
      <c r="B2321" s="2" t="s">
        <v>2252</v>
      </c>
      <c r="C2321" s="2"/>
      <c r="D2321" s="2" t="s">
        <v>11</v>
      </c>
      <c r="E2321" s="2">
        <v>3.0</v>
      </c>
      <c r="F2321" s="2" t="s">
        <v>12</v>
      </c>
      <c r="G2321" s="2"/>
      <c r="H2321" s="2"/>
      <c r="I2321" s="2"/>
    </row>
    <row r="2322">
      <c r="A2322" s="1" t="s">
        <v>2335</v>
      </c>
      <c r="B2322" s="2" t="s">
        <v>2252</v>
      </c>
      <c r="C2322" s="2"/>
      <c r="D2322" s="2" t="s">
        <v>11</v>
      </c>
      <c r="E2322" s="2">
        <v>3.0</v>
      </c>
      <c r="F2322" s="2" t="s">
        <v>12</v>
      </c>
      <c r="G2322" s="2"/>
      <c r="H2322" s="2"/>
      <c r="I2322" s="2"/>
    </row>
    <row r="2323">
      <c r="A2323" s="2" t="s">
        <v>2336</v>
      </c>
      <c r="B2323" s="2" t="s">
        <v>2252</v>
      </c>
      <c r="C2323" s="1"/>
      <c r="D2323" s="2"/>
      <c r="E2323" s="2"/>
      <c r="F2323" s="2"/>
      <c r="G2323" s="2"/>
      <c r="H2323" s="2"/>
      <c r="I2323" s="2"/>
    </row>
    <row r="2324">
      <c r="A2324" s="1" t="s">
        <v>2337</v>
      </c>
      <c r="B2324" s="2" t="s">
        <v>2252</v>
      </c>
      <c r="C2324" s="2"/>
      <c r="D2324" s="2" t="s">
        <v>11</v>
      </c>
      <c r="E2324" s="2">
        <v>5.0</v>
      </c>
      <c r="F2324" s="2" t="s">
        <v>12</v>
      </c>
      <c r="G2324" s="2"/>
      <c r="H2324" s="2"/>
      <c r="I2324" s="2"/>
    </row>
    <row r="2325">
      <c r="A2325" s="1" t="s">
        <v>2338</v>
      </c>
      <c r="B2325" s="2" t="s">
        <v>2252</v>
      </c>
      <c r="C2325" s="2"/>
      <c r="D2325" s="2" t="s">
        <v>11</v>
      </c>
      <c r="E2325" s="2">
        <v>10.0</v>
      </c>
      <c r="F2325" s="2" t="s">
        <v>12</v>
      </c>
      <c r="G2325" s="2"/>
      <c r="H2325" s="2"/>
      <c r="I2325" s="2"/>
    </row>
    <row r="2326">
      <c r="A2326" s="1" t="s">
        <v>2339</v>
      </c>
      <c r="B2326" s="2" t="s">
        <v>2252</v>
      </c>
      <c r="C2326" s="2"/>
      <c r="D2326" s="2" t="s">
        <v>11</v>
      </c>
      <c r="E2326" s="2">
        <v>5.0</v>
      </c>
      <c r="F2326" s="2" t="s">
        <v>12</v>
      </c>
      <c r="G2326" s="2"/>
      <c r="H2326" s="2"/>
      <c r="I2326" s="2"/>
    </row>
    <row r="2327">
      <c r="A2327" s="2" t="s">
        <v>2340</v>
      </c>
      <c r="B2327" s="2" t="s">
        <v>2252</v>
      </c>
      <c r="C2327" s="1"/>
      <c r="D2327" s="2"/>
      <c r="E2327" s="2"/>
      <c r="F2327" s="2"/>
      <c r="G2327" s="2"/>
      <c r="H2327" s="2"/>
      <c r="I2327" s="2"/>
    </row>
    <row r="2328">
      <c r="A2328" s="2" t="s">
        <v>2341</v>
      </c>
      <c r="B2328" s="2" t="s">
        <v>2252</v>
      </c>
      <c r="C2328" s="1"/>
      <c r="D2328" s="2"/>
      <c r="E2328" s="2"/>
      <c r="F2328" s="2"/>
      <c r="G2328" s="2"/>
      <c r="H2328" s="2"/>
      <c r="I2328" s="2"/>
    </row>
    <row r="2329">
      <c r="A2329" s="2" t="s">
        <v>2342</v>
      </c>
      <c r="B2329" s="2" t="s">
        <v>2252</v>
      </c>
      <c r="C2329" s="1"/>
      <c r="D2329" s="2"/>
      <c r="E2329" s="2"/>
      <c r="F2329" s="2"/>
      <c r="G2329" s="2"/>
      <c r="H2329" s="2"/>
      <c r="I2329" s="2"/>
    </row>
    <row r="2330">
      <c r="A2330" s="2" t="s">
        <v>2343</v>
      </c>
      <c r="B2330" s="2" t="s">
        <v>2252</v>
      </c>
      <c r="C2330" s="1"/>
      <c r="D2330" s="2"/>
      <c r="E2330" s="2"/>
      <c r="F2330" s="2"/>
      <c r="G2330" s="2"/>
      <c r="H2330" s="2"/>
      <c r="I2330" s="2"/>
    </row>
    <row r="2331">
      <c r="A2331" s="2" t="s">
        <v>2344</v>
      </c>
      <c r="B2331" s="2" t="s">
        <v>2252</v>
      </c>
      <c r="C2331" s="1"/>
      <c r="D2331" s="2"/>
      <c r="E2331" s="2"/>
      <c r="F2331" s="2"/>
      <c r="G2331" s="2"/>
      <c r="H2331" s="2"/>
      <c r="I2331" s="2"/>
    </row>
    <row r="2332">
      <c r="A2332" s="2" t="s">
        <v>2345</v>
      </c>
      <c r="B2332" s="2" t="s">
        <v>2252</v>
      </c>
      <c r="C2332" s="1"/>
      <c r="D2332" s="2"/>
      <c r="E2332" s="2"/>
      <c r="F2332" s="2"/>
      <c r="G2332" s="2"/>
      <c r="H2332" s="2"/>
      <c r="I2332" s="2"/>
    </row>
    <row r="2333">
      <c r="A2333" s="2" t="s">
        <v>2346</v>
      </c>
      <c r="B2333" s="2" t="s">
        <v>2252</v>
      </c>
      <c r="C2333" s="1"/>
      <c r="D2333" s="2"/>
      <c r="E2333" s="2"/>
      <c r="F2333" s="2"/>
      <c r="G2333" s="2"/>
      <c r="H2333" s="2"/>
      <c r="I2333" s="2"/>
    </row>
    <row r="2334">
      <c r="A2334" s="2" t="s">
        <v>2347</v>
      </c>
      <c r="B2334" s="2" t="s">
        <v>2252</v>
      </c>
      <c r="C2334" s="1"/>
      <c r="D2334" s="2"/>
      <c r="E2334" s="2"/>
      <c r="F2334" s="2"/>
      <c r="G2334" s="2"/>
      <c r="H2334" s="2"/>
      <c r="I2334" s="2"/>
    </row>
    <row r="2335">
      <c r="A2335" s="2" t="s">
        <v>2348</v>
      </c>
      <c r="B2335" s="2" t="s">
        <v>2252</v>
      </c>
      <c r="C2335" s="1"/>
      <c r="D2335" s="2"/>
      <c r="E2335" s="2"/>
      <c r="F2335" s="2"/>
      <c r="G2335" s="2"/>
      <c r="H2335" s="2"/>
      <c r="I2335" s="2"/>
    </row>
    <row r="2336">
      <c r="A2336" s="2" t="s">
        <v>2349</v>
      </c>
      <c r="B2336" s="2" t="s">
        <v>2252</v>
      </c>
      <c r="C2336" s="1"/>
      <c r="D2336" s="2"/>
      <c r="E2336" s="2"/>
      <c r="F2336" s="2"/>
      <c r="G2336" s="2"/>
      <c r="H2336" s="2"/>
      <c r="I2336" s="2"/>
    </row>
    <row r="2337">
      <c r="A2337" s="2" t="s">
        <v>2350</v>
      </c>
      <c r="B2337" s="2" t="s">
        <v>2252</v>
      </c>
      <c r="C2337" s="1"/>
      <c r="D2337" s="2"/>
      <c r="E2337" s="2"/>
      <c r="F2337" s="2"/>
      <c r="G2337" s="2"/>
      <c r="H2337" s="2"/>
      <c r="I2337" s="2"/>
    </row>
    <row r="2338">
      <c r="A2338" s="2" t="s">
        <v>2351</v>
      </c>
      <c r="B2338" s="2" t="s">
        <v>2252</v>
      </c>
      <c r="C2338" s="1"/>
      <c r="D2338" s="2"/>
      <c r="E2338" s="2"/>
      <c r="F2338" s="2"/>
      <c r="G2338" s="2"/>
      <c r="H2338" s="2"/>
      <c r="I2338" s="2"/>
    </row>
    <row r="2339">
      <c r="A2339" s="2" t="s">
        <v>2352</v>
      </c>
      <c r="B2339" s="2" t="s">
        <v>2252</v>
      </c>
      <c r="C2339" s="1"/>
      <c r="D2339" s="2"/>
      <c r="E2339" s="2"/>
      <c r="F2339" s="2"/>
      <c r="G2339" s="2"/>
      <c r="H2339" s="2"/>
      <c r="I2339" s="2"/>
    </row>
    <row r="2340">
      <c r="A2340" s="2" t="s">
        <v>2353</v>
      </c>
      <c r="B2340" s="2" t="s">
        <v>2252</v>
      </c>
      <c r="C2340" s="1"/>
      <c r="D2340" s="2"/>
      <c r="E2340" s="2"/>
      <c r="F2340" s="2"/>
      <c r="G2340" s="2"/>
      <c r="H2340" s="2"/>
      <c r="I2340" s="2"/>
    </row>
    <row r="2341">
      <c r="A2341" s="2" t="s">
        <v>2354</v>
      </c>
      <c r="B2341" s="2" t="s">
        <v>2252</v>
      </c>
      <c r="C2341" s="1"/>
      <c r="D2341" s="2"/>
      <c r="E2341" s="2"/>
      <c r="F2341" s="2"/>
      <c r="G2341" s="2"/>
      <c r="H2341" s="2"/>
      <c r="I2341" s="2"/>
    </row>
    <row r="2342">
      <c r="A2342" s="2" t="s">
        <v>2355</v>
      </c>
      <c r="B2342" s="2" t="s">
        <v>2252</v>
      </c>
      <c r="C2342" s="1"/>
      <c r="D2342" s="2"/>
      <c r="E2342" s="2"/>
      <c r="F2342" s="2"/>
      <c r="G2342" s="2"/>
      <c r="H2342" s="2"/>
      <c r="I2342" s="2"/>
    </row>
    <row r="2343">
      <c r="A2343" s="2" t="s">
        <v>2356</v>
      </c>
      <c r="B2343" s="2" t="s">
        <v>2252</v>
      </c>
      <c r="C2343" s="1"/>
      <c r="D2343" s="2"/>
      <c r="E2343" s="2"/>
      <c r="F2343" s="2"/>
      <c r="G2343" s="2"/>
      <c r="H2343" s="2"/>
      <c r="I2343" s="2"/>
    </row>
    <row r="2344">
      <c r="A2344" s="2" t="s">
        <v>2357</v>
      </c>
      <c r="B2344" s="2" t="s">
        <v>2252</v>
      </c>
      <c r="C2344" s="1"/>
      <c r="D2344" s="2"/>
      <c r="E2344" s="2"/>
      <c r="F2344" s="2"/>
      <c r="G2344" s="2"/>
      <c r="H2344" s="2"/>
      <c r="I2344" s="2"/>
    </row>
    <row r="2345">
      <c r="A2345" s="2" t="s">
        <v>2358</v>
      </c>
      <c r="B2345" s="2" t="s">
        <v>2252</v>
      </c>
      <c r="C2345" s="1"/>
      <c r="D2345" s="2"/>
      <c r="E2345" s="2"/>
      <c r="F2345" s="2"/>
      <c r="G2345" s="2"/>
      <c r="H2345" s="2"/>
      <c r="I2345" s="2"/>
    </row>
    <row r="2346">
      <c r="A2346" s="2" t="s">
        <v>2359</v>
      </c>
      <c r="B2346" s="2" t="s">
        <v>2252</v>
      </c>
      <c r="C2346" s="1"/>
      <c r="D2346" s="2"/>
      <c r="E2346" s="2"/>
      <c r="F2346" s="2"/>
      <c r="G2346" s="2"/>
      <c r="H2346" s="2"/>
      <c r="I2346" s="2"/>
    </row>
    <row r="2347">
      <c r="A2347" s="2" t="s">
        <v>2360</v>
      </c>
      <c r="B2347" s="2" t="s">
        <v>2252</v>
      </c>
      <c r="C2347" s="2"/>
      <c r="D2347" s="2" t="s">
        <v>11</v>
      </c>
      <c r="E2347" s="2">
        <v>10.0</v>
      </c>
      <c r="F2347" s="2" t="s">
        <v>12</v>
      </c>
      <c r="G2347" s="2"/>
      <c r="H2347" s="2"/>
      <c r="I2347" s="2"/>
    </row>
    <row r="2348">
      <c r="A2348" s="2" t="s">
        <v>2361</v>
      </c>
      <c r="B2348" s="2" t="s">
        <v>2252</v>
      </c>
      <c r="C2348" s="2"/>
      <c r="D2348" s="2" t="s">
        <v>11</v>
      </c>
      <c r="E2348" s="2"/>
      <c r="F2348" s="2"/>
      <c r="G2348" s="2"/>
      <c r="H2348" s="2"/>
      <c r="I2348" s="2"/>
    </row>
    <row r="2349">
      <c r="A2349" s="2" t="s">
        <v>2362</v>
      </c>
      <c r="B2349" s="2" t="s">
        <v>2252</v>
      </c>
      <c r="C2349" s="2"/>
      <c r="D2349" s="2" t="s">
        <v>37</v>
      </c>
      <c r="E2349" s="2">
        <v>30.0</v>
      </c>
      <c r="F2349" s="2" t="s">
        <v>22</v>
      </c>
      <c r="G2349" s="2"/>
      <c r="H2349" s="2"/>
      <c r="I2349" s="2"/>
    </row>
    <row r="2350">
      <c r="A2350" s="2" t="s">
        <v>2363</v>
      </c>
      <c r="B2350" s="2" t="s">
        <v>2252</v>
      </c>
      <c r="C2350" s="1"/>
      <c r="D2350" s="2"/>
      <c r="E2350" s="2"/>
      <c r="F2350" s="2"/>
      <c r="G2350" s="2"/>
      <c r="H2350" s="2"/>
      <c r="I2350" s="2"/>
    </row>
    <row r="2351">
      <c r="A2351" s="2" t="s">
        <v>2364</v>
      </c>
      <c r="B2351" s="2" t="s">
        <v>2252</v>
      </c>
      <c r="C2351" s="1"/>
      <c r="D2351" s="2"/>
      <c r="E2351" s="2"/>
      <c r="F2351" s="2"/>
      <c r="G2351" s="2"/>
      <c r="H2351" s="2"/>
      <c r="I2351" s="2"/>
    </row>
    <row r="2352">
      <c r="A2352" s="1" t="s">
        <v>2365</v>
      </c>
      <c r="B2352" s="2" t="s">
        <v>2252</v>
      </c>
      <c r="C2352" s="1"/>
      <c r="D2352" s="2"/>
      <c r="E2352" s="2"/>
      <c r="F2352" s="2"/>
      <c r="G2352" s="2"/>
      <c r="H2352" s="2"/>
      <c r="I2352" s="2"/>
    </row>
    <row r="2353">
      <c r="A2353" s="2" t="s">
        <v>2366</v>
      </c>
      <c r="B2353" s="2" t="s">
        <v>2252</v>
      </c>
      <c r="C2353" s="1"/>
      <c r="D2353" s="2"/>
      <c r="E2353" s="2"/>
      <c r="F2353" s="2"/>
      <c r="G2353" s="2"/>
      <c r="H2353" s="2"/>
      <c r="I2353" s="2"/>
    </row>
    <row r="2354">
      <c r="A2354" s="2" t="s">
        <v>2367</v>
      </c>
      <c r="B2354" s="2" t="s">
        <v>2252</v>
      </c>
      <c r="C2354" s="1"/>
      <c r="D2354" s="2"/>
      <c r="E2354" s="2"/>
      <c r="F2354" s="2"/>
      <c r="G2354" s="2"/>
      <c r="H2354" s="2"/>
      <c r="I2354" s="2"/>
    </row>
    <row r="2355">
      <c r="A2355" s="2" t="s">
        <v>2368</v>
      </c>
      <c r="B2355" s="2" t="s">
        <v>2252</v>
      </c>
      <c r="C2355" s="2"/>
      <c r="D2355" s="2" t="s">
        <v>11</v>
      </c>
      <c r="E2355" s="2">
        <v>10.0</v>
      </c>
      <c r="F2355" s="2" t="s">
        <v>12</v>
      </c>
      <c r="G2355" s="2"/>
      <c r="H2355" s="2"/>
      <c r="I2355" s="2"/>
    </row>
    <row r="2356">
      <c r="A2356" s="2" t="s">
        <v>2369</v>
      </c>
      <c r="B2356" s="2" t="s">
        <v>2252</v>
      </c>
      <c r="C2356" s="2"/>
      <c r="D2356" s="2" t="s">
        <v>11</v>
      </c>
      <c r="E2356" s="2">
        <v>10.0</v>
      </c>
      <c r="F2356" s="2" t="s">
        <v>12</v>
      </c>
      <c r="G2356" s="2"/>
      <c r="H2356" s="2"/>
      <c r="I2356" s="2"/>
    </row>
    <row r="2357">
      <c r="A2357" s="1" t="s">
        <v>2370</v>
      </c>
      <c r="B2357" s="2" t="s">
        <v>2252</v>
      </c>
      <c r="C2357" s="2"/>
      <c r="D2357" s="2" t="s">
        <v>11</v>
      </c>
      <c r="E2357" s="2">
        <v>10.0</v>
      </c>
      <c r="F2357" s="2" t="s">
        <v>12</v>
      </c>
      <c r="G2357" s="2"/>
      <c r="H2357" s="2"/>
      <c r="I2357" s="2"/>
    </row>
    <row r="2358">
      <c r="A2358" s="1" t="s">
        <v>2371</v>
      </c>
      <c r="B2358" s="2" t="s">
        <v>2252</v>
      </c>
      <c r="C2358" s="2"/>
      <c r="D2358" s="2" t="s">
        <v>11</v>
      </c>
      <c r="E2358" s="2">
        <v>10.0</v>
      </c>
      <c r="F2358" s="2" t="s">
        <v>12</v>
      </c>
      <c r="G2358" s="2"/>
      <c r="H2358" s="2"/>
      <c r="I2358" s="2"/>
    </row>
    <row r="2359">
      <c r="A2359" s="1" t="s">
        <v>2372</v>
      </c>
      <c r="B2359" s="2" t="s">
        <v>2252</v>
      </c>
      <c r="C2359" s="2"/>
      <c r="D2359" s="1" t="s">
        <v>11</v>
      </c>
      <c r="E2359" s="2">
        <v>4.0</v>
      </c>
      <c r="F2359" s="2" t="s">
        <v>12</v>
      </c>
      <c r="G2359" s="2"/>
      <c r="H2359" s="2"/>
      <c r="I2359" s="2"/>
    </row>
    <row r="2360">
      <c r="A2360" s="1" t="s">
        <v>2373</v>
      </c>
      <c r="B2360" s="2" t="s">
        <v>2252</v>
      </c>
      <c r="C2360" s="2"/>
      <c r="D2360" s="1" t="s">
        <v>11</v>
      </c>
      <c r="E2360" s="2">
        <v>4.0</v>
      </c>
      <c r="F2360" s="2" t="s">
        <v>12</v>
      </c>
      <c r="G2360" s="2"/>
      <c r="H2360" s="2"/>
      <c r="I2360" s="2"/>
    </row>
    <row r="2361">
      <c r="A2361" s="1" t="s">
        <v>2374</v>
      </c>
      <c r="B2361" s="2" t="s">
        <v>2252</v>
      </c>
      <c r="C2361" s="2"/>
      <c r="D2361" s="2" t="s">
        <v>11</v>
      </c>
      <c r="E2361" s="2">
        <v>25.0</v>
      </c>
      <c r="F2361" s="2" t="s">
        <v>12</v>
      </c>
      <c r="G2361" s="2"/>
      <c r="H2361" s="2"/>
      <c r="I2361" s="2"/>
    </row>
    <row r="2362">
      <c r="A2362" s="2" t="s">
        <v>2375</v>
      </c>
      <c r="B2362" s="2" t="s">
        <v>2252</v>
      </c>
      <c r="C2362" s="2"/>
      <c r="D2362" s="2" t="s">
        <v>11</v>
      </c>
      <c r="E2362" s="2">
        <v>15.0</v>
      </c>
      <c r="F2362" s="2" t="s">
        <v>12</v>
      </c>
      <c r="G2362" s="2"/>
      <c r="H2362" s="2"/>
      <c r="I2362" s="2"/>
    </row>
    <row r="2363">
      <c r="A2363" s="1" t="s">
        <v>2376</v>
      </c>
      <c r="B2363" s="2" t="s">
        <v>2252</v>
      </c>
      <c r="C2363" s="2"/>
      <c r="D2363" s="2" t="s">
        <v>11</v>
      </c>
      <c r="E2363" s="2">
        <v>60.0</v>
      </c>
      <c r="F2363" s="2" t="s">
        <v>22</v>
      </c>
      <c r="G2363" s="2"/>
      <c r="H2363" s="2"/>
      <c r="I2363" s="2"/>
    </row>
    <row r="2364">
      <c r="A2364" s="1" t="s">
        <v>2377</v>
      </c>
      <c r="B2364" s="2" t="s">
        <v>2252</v>
      </c>
      <c r="C2364" s="2"/>
      <c r="D2364" s="2" t="s">
        <v>11</v>
      </c>
      <c r="E2364" s="2">
        <v>60.0</v>
      </c>
      <c r="F2364" s="2" t="s">
        <v>22</v>
      </c>
      <c r="G2364" s="2"/>
      <c r="H2364" s="2"/>
      <c r="I2364" s="2"/>
    </row>
    <row r="2365">
      <c r="A2365" s="1" t="s">
        <v>2378</v>
      </c>
      <c r="B2365" s="2" t="s">
        <v>2252</v>
      </c>
      <c r="C2365" s="2"/>
      <c r="D2365" s="2" t="s">
        <v>11</v>
      </c>
      <c r="E2365" s="2">
        <v>100.0</v>
      </c>
      <c r="F2365" s="2" t="s">
        <v>22</v>
      </c>
      <c r="G2365" s="2"/>
      <c r="H2365" s="2"/>
      <c r="I2365" s="2"/>
    </row>
    <row r="2366">
      <c r="A2366" s="1" t="s">
        <v>2379</v>
      </c>
      <c r="B2366" s="2" t="s">
        <v>2252</v>
      </c>
      <c r="C2366" s="2"/>
      <c r="D2366" s="2" t="s">
        <v>11</v>
      </c>
      <c r="E2366" s="2">
        <v>20.0</v>
      </c>
      <c r="F2366" s="2" t="s">
        <v>12</v>
      </c>
      <c r="G2366" s="2"/>
      <c r="H2366" s="2"/>
      <c r="I2366" s="2"/>
    </row>
    <row r="2367">
      <c r="A2367" s="2" t="s">
        <v>2380</v>
      </c>
      <c r="B2367" s="2" t="s">
        <v>2252</v>
      </c>
      <c r="C2367" s="2"/>
      <c r="D2367" s="2" t="s">
        <v>11</v>
      </c>
      <c r="E2367" s="2">
        <v>100.0</v>
      </c>
      <c r="F2367" s="2" t="s">
        <v>22</v>
      </c>
      <c r="G2367" s="2"/>
      <c r="H2367" s="2"/>
      <c r="I2367" s="2"/>
    </row>
    <row r="2368">
      <c r="A2368" s="1" t="s">
        <v>2381</v>
      </c>
      <c r="B2368" s="2" t="s">
        <v>2252</v>
      </c>
      <c r="C2368" s="2"/>
      <c r="D2368" s="2" t="s">
        <v>11</v>
      </c>
      <c r="E2368" s="2">
        <v>10.0</v>
      </c>
      <c r="F2368" s="2" t="s">
        <v>12</v>
      </c>
      <c r="G2368" s="2"/>
      <c r="H2368" s="2"/>
      <c r="I2368" s="2"/>
    </row>
    <row r="2369">
      <c r="A2369" s="1" t="s">
        <v>2382</v>
      </c>
      <c r="B2369" s="2" t="s">
        <v>2252</v>
      </c>
      <c r="C2369" s="2"/>
      <c r="D2369" s="2" t="s">
        <v>11</v>
      </c>
      <c r="E2369" s="2">
        <v>10.0</v>
      </c>
      <c r="F2369" s="2" t="s">
        <v>12</v>
      </c>
      <c r="G2369" s="2"/>
      <c r="H2369" s="2"/>
      <c r="I2369" s="2"/>
    </row>
    <row r="2370">
      <c r="A2370" s="1" t="s">
        <v>2383</v>
      </c>
      <c r="B2370" s="2" t="s">
        <v>2252</v>
      </c>
      <c r="C2370" s="2"/>
      <c r="D2370" s="2" t="s">
        <v>11</v>
      </c>
      <c r="E2370" s="2">
        <v>10.0</v>
      </c>
      <c r="F2370" s="2" t="s">
        <v>12</v>
      </c>
      <c r="G2370" s="2"/>
      <c r="H2370" s="2"/>
      <c r="I2370" s="2"/>
    </row>
    <row r="2371">
      <c r="A2371" s="2" t="s">
        <v>2384</v>
      </c>
      <c r="B2371" s="2" t="s">
        <v>2252</v>
      </c>
      <c r="C2371" s="1"/>
      <c r="D2371" s="2"/>
      <c r="E2371" s="2"/>
      <c r="F2371" s="2"/>
      <c r="G2371" s="2"/>
      <c r="H2371" s="2"/>
      <c r="I2371" s="2"/>
    </row>
    <row r="2372">
      <c r="A2372" s="2" t="s">
        <v>2385</v>
      </c>
      <c r="B2372" s="2" t="s">
        <v>2252</v>
      </c>
      <c r="C2372" s="2"/>
      <c r="D2372" s="2" t="s">
        <v>11</v>
      </c>
      <c r="E2372" s="2">
        <v>10.0</v>
      </c>
      <c r="F2372" s="2" t="s">
        <v>12</v>
      </c>
      <c r="G2372" s="2"/>
      <c r="H2372" s="2"/>
      <c r="I2372" s="2"/>
    </row>
    <row r="2373">
      <c r="A2373" s="2" t="s">
        <v>2386</v>
      </c>
      <c r="B2373" s="2" t="s">
        <v>2252</v>
      </c>
      <c r="C2373" s="2"/>
      <c r="D2373" s="2" t="s">
        <v>11</v>
      </c>
      <c r="E2373" s="2">
        <v>10.0</v>
      </c>
      <c r="F2373" s="2" t="s">
        <v>12</v>
      </c>
      <c r="G2373" s="2"/>
      <c r="H2373" s="2"/>
      <c r="I2373" s="2"/>
    </row>
    <row r="2374">
      <c r="A2374" s="2" t="s">
        <v>2387</v>
      </c>
      <c r="B2374" s="2" t="s">
        <v>2252</v>
      </c>
      <c r="C2374" s="1"/>
      <c r="D2374" s="2"/>
      <c r="E2374" s="2"/>
      <c r="F2374" s="2"/>
      <c r="G2374" s="2"/>
      <c r="H2374" s="2"/>
      <c r="I2374" s="2"/>
    </row>
    <row r="2375">
      <c r="A2375" s="1" t="s">
        <v>2388</v>
      </c>
      <c r="B2375" s="2" t="s">
        <v>2252</v>
      </c>
      <c r="C2375" s="2"/>
      <c r="D2375" s="2" t="s">
        <v>73</v>
      </c>
      <c r="E2375" s="2">
        <v>1.0</v>
      </c>
      <c r="F2375" s="2" t="s">
        <v>74</v>
      </c>
      <c r="G2375" s="2"/>
      <c r="H2375" s="2"/>
      <c r="I2375" s="2"/>
    </row>
    <row r="2376">
      <c r="A2376" s="1" t="s">
        <v>2389</v>
      </c>
      <c r="B2376" s="2" t="s">
        <v>2252</v>
      </c>
      <c r="C2376" s="2"/>
      <c r="D2376" s="2" t="s">
        <v>11</v>
      </c>
      <c r="E2376" s="2">
        <v>10.0</v>
      </c>
      <c r="F2376" s="2" t="s">
        <v>12</v>
      </c>
      <c r="G2376" s="2"/>
      <c r="H2376" s="2"/>
      <c r="I2376" s="2"/>
    </row>
    <row r="2377">
      <c r="A2377" s="1" t="s">
        <v>2390</v>
      </c>
      <c r="B2377" s="2" t="s">
        <v>2252</v>
      </c>
      <c r="C2377" s="2"/>
      <c r="D2377" s="2" t="s">
        <v>11</v>
      </c>
      <c r="E2377" s="2">
        <v>10.0</v>
      </c>
      <c r="F2377" s="2" t="s">
        <v>12</v>
      </c>
      <c r="G2377" s="2"/>
      <c r="H2377" s="2"/>
      <c r="I2377" s="2"/>
    </row>
    <row r="2378">
      <c r="A2378" s="1" t="s">
        <v>2391</v>
      </c>
      <c r="B2378" s="2" t="s">
        <v>2252</v>
      </c>
      <c r="C2378" s="2"/>
      <c r="D2378" s="2" t="s">
        <v>11</v>
      </c>
      <c r="E2378" s="2">
        <v>10.0</v>
      </c>
      <c r="F2378" s="2" t="s">
        <v>12</v>
      </c>
      <c r="G2378" s="2"/>
      <c r="H2378" s="2"/>
      <c r="I2378" s="2"/>
    </row>
    <row r="2379">
      <c r="A2379" s="1" t="s">
        <v>2392</v>
      </c>
      <c r="B2379" s="2" t="s">
        <v>2252</v>
      </c>
      <c r="C2379" s="2"/>
      <c r="D2379" s="2" t="s">
        <v>11</v>
      </c>
      <c r="E2379" s="2">
        <v>10.0</v>
      </c>
      <c r="F2379" s="2" t="s">
        <v>12</v>
      </c>
      <c r="G2379" s="2"/>
      <c r="H2379" s="2"/>
      <c r="I2379" s="2"/>
    </row>
    <row r="2380">
      <c r="A2380" s="1" t="s">
        <v>2393</v>
      </c>
      <c r="B2380" s="2" t="s">
        <v>2252</v>
      </c>
      <c r="C2380" s="2"/>
      <c r="D2380" s="2" t="s">
        <v>11</v>
      </c>
      <c r="E2380" s="2">
        <v>10.0</v>
      </c>
      <c r="F2380" s="2" t="s">
        <v>12</v>
      </c>
      <c r="G2380" s="2"/>
      <c r="H2380" s="2"/>
      <c r="I2380" s="2"/>
    </row>
    <row r="2381">
      <c r="A2381" s="1" t="s">
        <v>2394</v>
      </c>
      <c r="B2381" s="2" t="s">
        <v>2252</v>
      </c>
      <c r="C2381" s="2"/>
      <c r="D2381" s="2" t="s">
        <v>73</v>
      </c>
      <c r="E2381" s="2">
        <v>1.0</v>
      </c>
      <c r="F2381" s="2" t="s">
        <v>74</v>
      </c>
      <c r="G2381" s="2"/>
      <c r="H2381" s="2"/>
      <c r="I2381" s="2"/>
    </row>
    <row r="2382">
      <c r="A2382" s="1" t="s">
        <v>2395</v>
      </c>
      <c r="B2382" s="2" t="s">
        <v>2252</v>
      </c>
      <c r="C2382" s="2"/>
      <c r="D2382" s="2" t="s">
        <v>11</v>
      </c>
      <c r="E2382" s="2">
        <v>10.0</v>
      </c>
      <c r="F2382" s="2" t="s">
        <v>12</v>
      </c>
      <c r="G2382" s="2"/>
      <c r="H2382" s="2"/>
      <c r="I2382" s="2"/>
    </row>
    <row r="2383">
      <c r="A2383" s="1" t="s">
        <v>2396</v>
      </c>
      <c r="B2383" s="2" t="s">
        <v>2252</v>
      </c>
      <c r="C2383" s="2"/>
      <c r="D2383" s="2" t="s">
        <v>11</v>
      </c>
      <c r="E2383" s="2">
        <v>10.0</v>
      </c>
      <c r="F2383" s="2" t="s">
        <v>12</v>
      </c>
      <c r="G2383" s="2"/>
      <c r="H2383" s="2"/>
      <c r="I2383" s="2"/>
    </row>
    <row r="2384">
      <c r="A2384" s="2" t="s">
        <v>2397</v>
      </c>
      <c r="B2384" s="2" t="s">
        <v>2252</v>
      </c>
      <c r="C2384" s="1"/>
      <c r="D2384" s="2"/>
      <c r="E2384" s="2"/>
      <c r="F2384" s="2"/>
      <c r="G2384" s="2"/>
      <c r="H2384" s="2"/>
      <c r="I2384" s="2"/>
    </row>
    <row r="2385">
      <c r="A2385" s="2" t="s">
        <v>2398</v>
      </c>
      <c r="B2385" s="2" t="s">
        <v>2252</v>
      </c>
      <c r="C2385" s="1"/>
      <c r="D2385" s="2"/>
      <c r="E2385" s="2"/>
      <c r="F2385" s="2"/>
      <c r="G2385" s="2"/>
      <c r="H2385" s="2"/>
      <c r="I2385" s="2"/>
    </row>
    <row r="2386">
      <c r="A2386" s="2" t="s">
        <v>2399</v>
      </c>
      <c r="B2386" s="2" t="s">
        <v>2252</v>
      </c>
      <c r="C2386" s="1"/>
      <c r="D2386" s="2"/>
      <c r="E2386" s="2"/>
      <c r="F2386" s="2"/>
      <c r="G2386" s="2"/>
      <c r="H2386" s="2"/>
      <c r="I2386" s="2"/>
    </row>
    <row r="2387">
      <c r="A2387" s="1" t="s">
        <v>2400</v>
      </c>
      <c r="B2387" s="2" t="s">
        <v>2252</v>
      </c>
      <c r="C2387" s="2"/>
      <c r="D2387" s="2" t="s">
        <v>11</v>
      </c>
      <c r="E2387" s="2">
        <v>7.0</v>
      </c>
      <c r="F2387" s="2" t="s">
        <v>12</v>
      </c>
      <c r="G2387" s="2"/>
      <c r="H2387" s="2"/>
      <c r="I2387" s="2"/>
    </row>
    <row r="2388">
      <c r="A2388" s="1" t="s">
        <v>2401</v>
      </c>
      <c r="B2388" s="2" t="s">
        <v>2252</v>
      </c>
      <c r="C2388" s="2"/>
      <c r="D2388" s="2" t="s">
        <v>11</v>
      </c>
      <c r="E2388" s="2">
        <v>7.0</v>
      </c>
      <c r="F2388" s="2" t="s">
        <v>12</v>
      </c>
      <c r="G2388" s="2"/>
      <c r="H2388" s="2"/>
      <c r="I2388" s="2"/>
    </row>
    <row r="2389">
      <c r="A2389" s="2" t="s">
        <v>2402</v>
      </c>
      <c r="B2389" s="2" t="s">
        <v>2252</v>
      </c>
      <c r="C2389" s="2"/>
      <c r="D2389" s="2" t="s">
        <v>11</v>
      </c>
      <c r="E2389" s="2">
        <v>10.0</v>
      </c>
      <c r="F2389" s="2" t="s">
        <v>12</v>
      </c>
      <c r="G2389" s="2"/>
      <c r="H2389" s="2"/>
      <c r="I2389" s="2"/>
    </row>
    <row r="2390">
      <c r="A2390" s="1" t="s">
        <v>2403</v>
      </c>
      <c r="B2390" s="2" t="s">
        <v>2252</v>
      </c>
      <c r="C2390" s="2"/>
      <c r="D2390" s="2" t="s">
        <v>11</v>
      </c>
      <c r="E2390" s="2">
        <v>7.0</v>
      </c>
      <c r="F2390" s="2" t="s">
        <v>12</v>
      </c>
      <c r="G2390" s="2"/>
      <c r="H2390" s="2"/>
      <c r="I2390" s="2"/>
    </row>
    <row r="2391">
      <c r="A2391" s="1" t="s">
        <v>2404</v>
      </c>
      <c r="B2391" s="2" t="s">
        <v>2252</v>
      </c>
      <c r="C2391" s="2"/>
      <c r="D2391" s="2" t="s">
        <v>11</v>
      </c>
      <c r="E2391" s="2">
        <v>7.0</v>
      </c>
      <c r="F2391" s="2" t="s">
        <v>12</v>
      </c>
      <c r="G2391" s="2"/>
      <c r="H2391" s="2"/>
      <c r="I2391" s="2"/>
    </row>
    <row r="2392">
      <c r="A2392" s="2" t="s">
        <v>2405</v>
      </c>
      <c r="B2392" s="2" t="s">
        <v>2252</v>
      </c>
      <c r="C2392" s="2"/>
      <c r="D2392" s="2" t="s">
        <v>11</v>
      </c>
      <c r="E2392" s="2"/>
      <c r="F2392" s="2"/>
      <c r="G2392" s="2"/>
      <c r="H2392" s="2"/>
      <c r="I2392" s="2"/>
    </row>
    <row r="2393">
      <c r="A2393" s="2" t="s">
        <v>2405</v>
      </c>
      <c r="B2393" s="2" t="s">
        <v>2252</v>
      </c>
      <c r="C2393" s="2"/>
      <c r="D2393" s="2" t="s">
        <v>11</v>
      </c>
      <c r="E2393" s="2">
        <v>40.0</v>
      </c>
      <c r="F2393" s="2" t="s">
        <v>22</v>
      </c>
      <c r="G2393" s="2"/>
      <c r="H2393" s="2"/>
      <c r="I2393" s="2"/>
    </row>
    <row r="2394">
      <c r="A2394" s="2" t="s">
        <v>2406</v>
      </c>
      <c r="B2394" s="2" t="s">
        <v>2252</v>
      </c>
      <c r="C2394" s="2"/>
      <c r="D2394" s="2" t="s">
        <v>37</v>
      </c>
      <c r="E2394" s="2">
        <v>15.0</v>
      </c>
      <c r="F2394" s="2" t="s">
        <v>12</v>
      </c>
      <c r="G2394" s="2"/>
      <c r="H2394" s="2"/>
      <c r="I2394" s="2"/>
    </row>
    <row r="2395">
      <c r="A2395" s="2" t="s">
        <v>2407</v>
      </c>
      <c r="B2395" s="2" t="s">
        <v>2252</v>
      </c>
      <c r="C2395" s="2"/>
      <c r="D2395" s="2" t="s">
        <v>37</v>
      </c>
      <c r="E2395" s="2">
        <v>15.0</v>
      </c>
      <c r="F2395" s="2" t="s">
        <v>12</v>
      </c>
      <c r="G2395" s="2"/>
      <c r="H2395" s="2"/>
      <c r="I2395" s="2"/>
    </row>
    <row r="2396">
      <c r="A2396" s="2" t="s">
        <v>2408</v>
      </c>
      <c r="B2396" s="2" t="s">
        <v>2252</v>
      </c>
      <c r="C2396" s="1"/>
      <c r="D2396" s="2"/>
      <c r="E2396" s="2"/>
      <c r="F2396" s="2"/>
      <c r="G2396" s="2"/>
      <c r="H2396" s="2"/>
      <c r="I2396" s="2"/>
    </row>
    <row r="2397">
      <c r="A2397" s="1" t="s">
        <v>2409</v>
      </c>
      <c r="B2397" s="2" t="s">
        <v>2252</v>
      </c>
      <c r="C2397" s="2"/>
      <c r="D2397" s="2" t="s">
        <v>73</v>
      </c>
      <c r="E2397" s="2">
        <v>1.0</v>
      </c>
      <c r="F2397" s="2" t="s">
        <v>74</v>
      </c>
      <c r="G2397" s="2"/>
      <c r="H2397" s="2"/>
      <c r="I2397" s="2"/>
    </row>
    <row r="2398">
      <c r="A2398" s="2" t="s">
        <v>2410</v>
      </c>
      <c r="B2398" s="2" t="s">
        <v>2252</v>
      </c>
      <c r="C2398" s="2"/>
      <c r="D2398" s="2" t="s">
        <v>11</v>
      </c>
      <c r="E2398" s="2">
        <v>10.0</v>
      </c>
      <c r="F2398" s="2" t="s">
        <v>12</v>
      </c>
      <c r="G2398" s="2"/>
      <c r="H2398" s="2"/>
      <c r="I2398" s="2"/>
    </row>
    <row r="2399">
      <c r="A2399" s="1" t="s">
        <v>2411</v>
      </c>
      <c r="B2399" s="2" t="s">
        <v>2252</v>
      </c>
      <c r="C2399" s="2"/>
      <c r="D2399" s="2" t="s">
        <v>11</v>
      </c>
      <c r="E2399" s="2">
        <v>10.0</v>
      </c>
      <c r="F2399" s="2" t="s">
        <v>12</v>
      </c>
      <c r="G2399" s="2"/>
      <c r="H2399" s="2"/>
      <c r="I2399" s="2"/>
    </row>
    <row r="2400">
      <c r="A2400" s="1" t="s">
        <v>2412</v>
      </c>
      <c r="B2400" s="2" t="s">
        <v>2252</v>
      </c>
      <c r="C2400" s="2"/>
      <c r="D2400" s="2" t="s">
        <v>11</v>
      </c>
      <c r="E2400" s="2">
        <v>10.0</v>
      </c>
      <c r="F2400" s="2" t="s">
        <v>12</v>
      </c>
      <c r="G2400" s="2"/>
      <c r="H2400" s="2"/>
      <c r="I2400" s="2"/>
    </row>
    <row r="2401">
      <c r="A2401" s="1" t="s">
        <v>2413</v>
      </c>
      <c r="B2401" s="2" t="s">
        <v>2252</v>
      </c>
      <c r="C2401" s="2"/>
      <c r="D2401" s="2" t="s">
        <v>11</v>
      </c>
      <c r="E2401" s="2">
        <v>10.0</v>
      </c>
      <c r="F2401" s="2" t="s">
        <v>12</v>
      </c>
      <c r="G2401" s="2"/>
      <c r="H2401" s="2"/>
      <c r="I2401" s="2"/>
    </row>
    <row r="2402">
      <c r="A2402" s="1" t="s">
        <v>2414</v>
      </c>
      <c r="B2402" s="2" t="s">
        <v>2252</v>
      </c>
      <c r="C2402" s="2"/>
      <c r="D2402" s="2" t="s">
        <v>11</v>
      </c>
      <c r="E2402" s="2">
        <v>10.0</v>
      </c>
      <c r="F2402" s="2" t="s">
        <v>12</v>
      </c>
      <c r="G2402" s="2"/>
      <c r="H2402" s="2"/>
      <c r="I2402" s="2"/>
    </row>
    <row r="2403">
      <c r="A2403" s="1" t="s">
        <v>2415</v>
      </c>
      <c r="B2403" s="2" t="s">
        <v>2252</v>
      </c>
      <c r="C2403" s="2"/>
      <c r="D2403" s="2" t="s">
        <v>11</v>
      </c>
      <c r="E2403" s="2">
        <v>10.0</v>
      </c>
      <c r="F2403" s="2" t="s">
        <v>12</v>
      </c>
      <c r="G2403" s="2"/>
      <c r="H2403" s="2"/>
      <c r="I2403" s="2"/>
    </row>
    <row r="2404">
      <c r="A2404" s="1" t="s">
        <v>2416</v>
      </c>
      <c r="B2404" s="2" t="s">
        <v>2252</v>
      </c>
      <c r="C2404" s="2"/>
      <c r="D2404" s="1" t="s">
        <v>22</v>
      </c>
      <c r="E2404" s="2">
        <v>1.0</v>
      </c>
      <c r="F2404" s="2" t="s">
        <v>22</v>
      </c>
      <c r="G2404" s="2"/>
      <c r="H2404" s="2"/>
      <c r="I2404" s="2"/>
    </row>
    <row r="2405">
      <c r="A2405" s="1" t="s">
        <v>2417</v>
      </c>
      <c r="B2405" s="2" t="s">
        <v>2252</v>
      </c>
      <c r="C2405" s="2"/>
      <c r="D2405" s="1" t="s">
        <v>22</v>
      </c>
      <c r="E2405" s="2">
        <v>1.0</v>
      </c>
      <c r="F2405" s="2" t="s">
        <v>22</v>
      </c>
      <c r="G2405" s="2"/>
      <c r="H2405" s="2"/>
      <c r="I2405" s="2"/>
    </row>
    <row r="2406">
      <c r="A2406" s="2" t="s">
        <v>2418</v>
      </c>
      <c r="B2406" s="2" t="s">
        <v>2252</v>
      </c>
      <c r="C2406" s="1"/>
      <c r="D2406" s="2"/>
      <c r="E2406" s="2"/>
      <c r="F2406" s="2"/>
      <c r="G2406" s="2"/>
      <c r="H2406" s="2"/>
      <c r="I2406" s="2"/>
    </row>
    <row r="2407">
      <c r="A2407" s="2" t="s">
        <v>2419</v>
      </c>
      <c r="B2407" s="2" t="s">
        <v>2252</v>
      </c>
      <c r="C2407" s="1"/>
      <c r="D2407" s="2"/>
      <c r="E2407" s="2"/>
      <c r="F2407" s="2"/>
      <c r="G2407" s="2"/>
      <c r="H2407" s="2"/>
      <c r="I2407" s="2"/>
    </row>
    <row r="2408">
      <c r="A2408" s="2" t="s">
        <v>2420</v>
      </c>
      <c r="B2408" s="2" t="s">
        <v>2252</v>
      </c>
      <c r="C2408" s="1"/>
      <c r="D2408" s="2"/>
      <c r="E2408" s="2"/>
      <c r="F2408" s="2"/>
      <c r="G2408" s="2"/>
      <c r="H2408" s="2"/>
      <c r="I2408" s="2"/>
    </row>
    <row r="2409">
      <c r="A2409" s="2" t="s">
        <v>2421</v>
      </c>
      <c r="B2409" s="2" t="s">
        <v>2252</v>
      </c>
      <c r="C2409" s="1"/>
      <c r="D2409" s="2"/>
      <c r="E2409" s="2"/>
      <c r="F2409" s="2"/>
      <c r="G2409" s="2"/>
      <c r="H2409" s="2"/>
      <c r="I2409" s="2"/>
    </row>
    <row r="2410">
      <c r="A2410" s="2" t="s">
        <v>2422</v>
      </c>
      <c r="B2410" s="2" t="s">
        <v>2252</v>
      </c>
      <c r="C2410" s="1"/>
      <c r="D2410" s="2"/>
      <c r="E2410" s="2"/>
      <c r="F2410" s="2"/>
      <c r="G2410" s="2"/>
      <c r="H2410" s="2"/>
      <c r="I2410" s="2"/>
    </row>
    <row r="2411">
      <c r="A2411" s="2" t="s">
        <v>2423</v>
      </c>
      <c r="B2411" s="2" t="s">
        <v>2252</v>
      </c>
      <c r="C2411" s="1"/>
      <c r="D2411" s="2"/>
      <c r="E2411" s="2"/>
      <c r="F2411" s="2"/>
      <c r="G2411" s="2"/>
      <c r="H2411" s="2"/>
      <c r="I2411" s="2"/>
    </row>
    <row r="2412">
      <c r="A2412" s="2" t="s">
        <v>2424</v>
      </c>
      <c r="B2412" s="2" t="s">
        <v>2252</v>
      </c>
      <c r="C2412" s="1"/>
      <c r="D2412" s="2"/>
      <c r="E2412" s="2"/>
      <c r="F2412" s="2"/>
      <c r="G2412" s="2"/>
      <c r="H2412" s="2"/>
      <c r="I2412" s="2"/>
    </row>
    <row r="2413">
      <c r="A2413" s="2" t="s">
        <v>2425</v>
      </c>
      <c r="B2413" s="2" t="s">
        <v>2252</v>
      </c>
      <c r="C2413" s="2"/>
      <c r="D2413" s="1" t="s">
        <v>22</v>
      </c>
      <c r="E2413" s="2">
        <v>1.0</v>
      </c>
      <c r="F2413" s="2" t="s">
        <v>22</v>
      </c>
      <c r="G2413" s="2"/>
      <c r="H2413" s="2"/>
      <c r="I2413" s="2"/>
    </row>
    <row r="2414">
      <c r="A2414" s="2" t="s">
        <v>2426</v>
      </c>
      <c r="B2414" s="2" t="s">
        <v>2252</v>
      </c>
      <c r="C2414" s="1"/>
      <c r="D2414" s="2"/>
      <c r="E2414" s="2"/>
      <c r="F2414" s="2"/>
      <c r="G2414" s="2"/>
      <c r="H2414" s="2"/>
      <c r="I2414" s="2"/>
    </row>
    <row r="2415">
      <c r="A2415" s="2" t="s">
        <v>2427</v>
      </c>
      <c r="B2415" s="2" t="s">
        <v>2428</v>
      </c>
      <c r="C2415" s="2"/>
      <c r="D2415" s="2" t="s">
        <v>11</v>
      </c>
      <c r="E2415" s="2">
        <v>8.0</v>
      </c>
      <c r="F2415" s="2" t="s">
        <v>12</v>
      </c>
      <c r="G2415" s="2"/>
      <c r="H2415" s="2"/>
      <c r="I2415" s="2"/>
    </row>
    <row r="2416">
      <c r="A2416" s="2" t="s">
        <v>2429</v>
      </c>
      <c r="B2416" s="2" t="s">
        <v>2428</v>
      </c>
      <c r="C2416" s="2"/>
      <c r="D2416" s="2" t="s">
        <v>11</v>
      </c>
      <c r="E2416" s="2">
        <v>15.0</v>
      </c>
      <c r="F2416" s="2" t="s">
        <v>12</v>
      </c>
      <c r="G2416" s="2"/>
      <c r="H2416" s="2"/>
      <c r="I2416" s="2"/>
    </row>
    <row r="2417">
      <c r="A2417" s="1" t="s">
        <v>2430</v>
      </c>
      <c r="B2417" s="2" t="s">
        <v>2428</v>
      </c>
      <c r="C2417" s="2"/>
      <c r="D2417" s="2" t="s">
        <v>37</v>
      </c>
      <c r="E2417" s="2">
        <v>10.0</v>
      </c>
      <c r="F2417" s="2" t="s">
        <v>12</v>
      </c>
      <c r="G2417" s="2"/>
      <c r="H2417" s="2"/>
      <c r="I2417" s="2"/>
    </row>
    <row r="2418">
      <c r="A2418" s="2" t="s">
        <v>2431</v>
      </c>
      <c r="B2418" s="2" t="s">
        <v>2428</v>
      </c>
      <c r="C2418" s="2"/>
      <c r="D2418" s="2" t="s">
        <v>11</v>
      </c>
      <c r="E2418" s="2">
        <v>10.0</v>
      </c>
      <c r="F2418" s="2" t="s">
        <v>12</v>
      </c>
      <c r="G2418" s="2"/>
      <c r="H2418" s="2"/>
      <c r="I2418" s="2"/>
    </row>
    <row r="2419">
      <c r="A2419" s="1" t="s">
        <v>2432</v>
      </c>
      <c r="B2419" s="2" t="s">
        <v>2428</v>
      </c>
      <c r="C2419" s="2"/>
      <c r="D2419" s="2" t="s">
        <v>11</v>
      </c>
      <c r="E2419" s="2">
        <v>15.0</v>
      </c>
      <c r="F2419" s="2" t="s">
        <v>12</v>
      </c>
      <c r="G2419" s="2"/>
      <c r="H2419" s="2"/>
      <c r="I2419" s="2"/>
    </row>
    <row r="2420">
      <c r="A2420" s="1" t="s">
        <v>2433</v>
      </c>
      <c r="B2420" s="2" t="s">
        <v>2428</v>
      </c>
      <c r="C2420" s="2"/>
      <c r="D2420" s="2" t="s">
        <v>11</v>
      </c>
      <c r="E2420" s="2">
        <v>15.0</v>
      </c>
      <c r="F2420" s="2" t="s">
        <v>12</v>
      </c>
      <c r="G2420" s="2"/>
      <c r="H2420" s="2"/>
      <c r="I2420" s="2"/>
    </row>
    <row r="2421">
      <c r="A2421" s="1" t="s">
        <v>2434</v>
      </c>
      <c r="B2421" s="2" t="s">
        <v>2428</v>
      </c>
      <c r="C2421" s="2"/>
      <c r="D2421" s="2" t="s">
        <v>11</v>
      </c>
      <c r="E2421" s="2">
        <v>15.0</v>
      </c>
      <c r="F2421" s="2" t="s">
        <v>12</v>
      </c>
      <c r="G2421" s="2"/>
      <c r="H2421" s="2"/>
      <c r="I2421" s="2"/>
    </row>
    <row r="2422">
      <c r="A2422" s="1" t="s">
        <v>2435</v>
      </c>
      <c r="B2422" s="2" t="s">
        <v>2428</v>
      </c>
      <c r="C2422" s="2"/>
      <c r="D2422" s="2" t="s">
        <v>11</v>
      </c>
      <c r="E2422" s="2">
        <v>10.0</v>
      </c>
      <c r="F2422" s="2" t="s">
        <v>12</v>
      </c>
      <c r="G2422" s="2"/>
      <c r="H2422" s="2"/>
      <c r="I2422" s="2"/>
    </row>
    <row r="2423">
      <c r="A2423" s="1" t="s">
        <v>2436</v>
      </c>
      <c r="B2423" s="2" t="s">
        <v>2428</v>
      </c>
      <c r="C2423" s="2"/>
      <c r="D2423" s="2" t="s">
        <v>11</v>
      </c>
      <c r="E2423" s="2">
        <v>15.0</v>
      </c>
      <c r="F2423" s="2" t="s">
        <v>12</v>
      </c>
      <c r="G2423" s="2"/>
      <c r="H2423" s="2"/>
      <c r="I2423" s="2"/>
    </row>
    <row r="2424">
      <c r="A2424" s="1" t="s">
        <v>2437</v>
      </c>
      <c r="B2424" s="2" t="s">
        <v>2428</v>
      </c>
      <c r="C2424" s="2"/>
      <c r="D2424" s="2" t="s">
        <v>11</v>
      </c>
      <c r="E2424" s="2">
        <v>10.0</v>
      </c>
      <c r="F2424" s="2" t="s">
        <v>12</v>
      </c>
      <c r="G2424" s="2"/>
      <c r="H2424" s="2"/>
      <c r="I2424" s="2"/>
    </row>
    <row r="2425">
      <c r="A2425" s="1" t="s">
        <v>2438</v>
      </c>
      <c r="B2425" s="2" t="s">
        <v>2428</v>
      </c>
      <c r="C2425" s="2"/>
      <c r="D2425" s="2" t="s">
        <v>11</v>
      </c>
      <c r="E2425" s="2">
        <v>10.0</v>
      </c>
      <c r="F2425" s="2" t="s">
        <v>12</v>
      </c>
      <c r="G2425" s="2"/>
      <c r="H2425" s="2"/>
      <c r="I2425" s="2"/>
    </row>
    <row r="2426">
      <c r="A2426" s="1" t="s">
        <v>2439</v>
      </c>
      <c r="B2426" s="2" t="s">
        <v>2428</v>
      </c>
      <c r="C2426" s="2"/>
      <c r="D2426" s="2" t="s">
        <v>11</v>
      </c>
      <c r="E2426" s="2">
        <v>10.0</v>
      </c>
      <c r="F2426" s="2" t="s">
        <v>12</v>
      </c>
      <c r="G2426" s="2"/>
      <c r="H2426" s="2"/>
      <c r="I2426" s="2"/>
    </row>
    <row r="2427">
      <c r="A2427" s="1" t="s">
        <v>2440</v>
      </c>
      <c r="B2427" s="2" t="s">
        <v>2428</v>
      </c>
      <c r="C2427" s="2"/>
      <c r="D2427" s="2" t="s">
        <v>11</v>
      </c>
      <c r="E2427" s="2">
        <v>10.0</v>
      </c>
      <c r="F2427" s="2" t="s">
        <v>12</v>
      </c>
      <c r="G2427" s="2"/>
      <c r="H2427" s="2"/>
      <c r="I2427" s="2"/>
    </row>
    <row r="2428">
      <c r="A2428" s="1" t="s">
        <v>2441</v>
      </c>
      <c r="B2428" s="2" t="s">
        <v>2428</v>
      </c>
      <c r="C2428" s="2"/>
      <c r="D2428" s="2" t="s">
        <v>11</v>
      </c>
      <c r="E2428" s="2">
        <v>10.0</v>
      </c>
      <c r="F2428" s="2" t="s">
        <v>12</v>
      </c>
      <c r="G2428" s="2"/>
      <c r="H2428" s="2"/>
      <c r="I2428" s="2"/>
    </row>
    <row r="2429">
      <c r="A2429" s="1" t="s">
        <v>2442</v>
      </c>
      <c r="B2429" s="2" t="s">
        <v>2428</v>
      </c>
      <c r="C2429" s="2"/>
      <c r="D2429" s="2" t="s">
        <v>37</v>
      </c>
      <c r="E2429" s="2">
        <v>10.0</v>
      </c>
      <c r="F2429" s="2" t="s">
        <v>12</v>
      </c>
      <c r="G2429" s="2"/>
      <c r="H2429" s="2"/>
      <c r="I2429" s="2"/>
    </row>
    <row r="2430">
      <c r="A2430" s="1" t="s">
        <v>2443</v>
      </c>
      <c r="B2430" s="2" t="s">
        <v>2428</v>
      </c>
      <c r="C2430" s="2"/>
      <c r="D2430" s="2" t="s">
        <v>11</v>
      </c>
      <c r="E2430" s="2">
        <v>10.0</v>
      </c>
      <c r="F2430" s="2" t="s">
        <v>12</v>
      </c>
      <c r="G2430" s="2"/>
      <c r="H2430" s="2"/>
      <c r="I2430" s="2"/>
    </row>
    <row r="2431">
      <c r="A2431" s="1" t="s">
        <v>2444</v>
      </c>
      <c r="B2431" s="2" t="s">
        <v>2428</v>
      </c>
      <c r="C2431" s="2"/>
      <c r="D2431" s="2" t="s">
        <v>11</v>
      </c>
      <c r="E2431" s="2">
        <v>10.0</v>
      </c>
      <c r="F2431" s="2" t="s">
        <v>12</v>
      </c>
      <c r="G2431" s="2"/>
      <c r="H2431" s="2"/>
      <c r="I2431" s="2"/>
    </row>
    <row r="2432">
      <c r="A2432" s="1" t="s">
        <v>2445</v>
      </c>
      <c r="B2432" s="2" t="s">
        <v>2428</v>
      </c>
      <c r="C2432" s="2"/>
      <c r="D2432" s="2" t="s">
        <v>11</v>
      </c>
      <c r="E2432" s="2">
        <v>10.0</v>
      </c>
      <c r="F2432" s="2" t="s">
        <v>12</v>
      </c>
      <c r="G2432" s="2"/>
      <c r="H2432" s="2"/>
      <c r="I2432" s="2"/>
    </row>
    <row r="2433">
      <c r="A2433" s="1" t="s">
        <v>2446</v>
      </c>
      <c r="B2433" s="2" t="s">
        <v>2428</v>
      </c>
      <c r="C2433" s="2"/>
      <c r="D2433" s="2" t="s">
        <v>11</v>
      </c>
      <c r="E2433" s="2">
        <v>15.0</v>
      </c>
      <c r="F2433" s="2" t="s">
        <v>12</v>
      </c>
      <c r="G2433" s="2"/>
      <c r="H2433" s="2"/>
      <c r="I2433" s="2"/>
    </row>
    <row r="2434">
      <c r="A2434" s="1" t="s">
        <v>2447</v>
      </c>
      <c r="B2434" s="2" t="s">
        <v>2428</v>
      </c>
      <c r="C2434" s="2"/>
      <c r="D2434" s="2" t="s">
        <v>11</v>
      </c>
      <c r="E2434" s="2">
        <v>15.0</v>
      </c>
      <c r="F2434" s="2" t="s">
        <v>12</v>
      </c>
      <c r="G2434" s="2"/>
      <c r="H2434" s="2"/>
      <c r="I2434" s="2"/>
    </row>
    <row r="2435">
      <c r="A2435" s="1" t="s">
        <v>2448</v>
      </c>
      <c r="B2435" s="2" t="s">
        <v>2428</v>
      </c>
      <c r="C2435" s="2"/>
      <c r="D2435" s="2" t="s">
        <v>11</v>
      </c>
      <c r="E2435" s="2">
        <v>15.0</v>
      </c>
      <c r="F2435" s="2" t="s">
        <v>12</v>
      </c>
      <c r="G2435" s="2"/>
      <c r="H2435" s="2"/>
      <c r="I2435" s="2"/>
    </row>
    <row r="2436">
      <c r="A2436" s="1" t="s">
        <v>2449</v>
      </c>
      <c r="B2436" s="2" t="s">
        <v>2428</v>
      </c>
      <c r="C2436" s="2"/>
      <c r="D2436" s="2" t="s">
        <v>11</v>
      </c>
      <c r="E2436" s="2">
        <v>15.0</v>
      </c>
      <c r="F2436" s="2" t="s">
        <v>12</v>
      </c>
      <c r="G2436" s="2"/>
      <c r="H2436" s="2"/>
      <c r="I2436" s="2"/>
    </row>
    <row r="2437">
      <c r="A2437" s="1" t="s">
        <v>2450</v>
      </c>
      <c r="B2437" s="2" t="s">
        <v>2428</v>
      </c>
      <c r="C2437" s="2"/>
      <c r="D2437" s="2" t="s">
        <v>37</v>
      </c>
      <c r="E2437" s="2">
        <v>10.0</v>
      </c>
      <c r="F2437" s="2" t="s">
        <v>12</v>
      </c>
      <c r="G2437" s="2"/>
      <c r="H2437" s="2"/>
      <c r="I2437" s="2"/>
    </row>
    <row r="2438">
      <c r="A2438" s="1" t="s">
        <v>2451</v>
      </c>
      <c r="B2438" s="2" t="s">
        <v>2428</v>
      </c>
      <c r="C2438" s="2"/>
      <c r="D2438" s="2" t="s">
        <v>37</v>
      </c>
      <c r="E2438" s="2">
        <v>10.0</v>
      </c>
      <c r="F2438" s="2" t="s">
        <v>12</v>
      </c>
      <c r="G2438" s="2"/>
      <c r="H2438" s="2"/>
      <c r="I2438" s="2"/>
    </row>
    <row r="2439">
      <c r="A2439" s="1" t="s">
        <v>2452</v>
      </c>
      <c r="B2439" s="2" t="s">
        <v>2428</v>
      </c>
      <c r="C2439" s="2"/>
      <c r="D2439" s="2" t="s">
        <v>11</v>
      </c>
      <c r="E2439" s="2">
        <v>15.0</v>
      </c>
      <c r="F2439" s="2" t="s">
        <v>12</v>
      </c>
      <c r="G2439" s="2"/>
      <c r="H2439" s="2"/>
      <c r="I2439" s="2"/>
    </row>
    <row r="2440">
      <c r="A2440" s="1" t="s">
        <v>2453</v>
      </c>
      <c r="B2440" s="2" t="s">
        <v>2428</v>
      </c>
      <c r="C2440" s="2"/>
      <c r="D2440" s="2" t="s">
        <v>11</v>
      </c>
      <c r="E2440" s="2">
        <v>15.0</v>
      </c>
      <c r="F2440" s="2" t="s">
        <v>12</v>
      </c>
      <c r="G2440" s="2"/>
      <c r="H2440" s="2"/>
      <c r="I2440" s="2"/>
    </row>
    <row r="2441">
      <c r="A2441" s="1" t="s">
        <v>2454</v>
      </c>
      <c r="B2441" s="2" t="s">
        <v>2428</v>
      </c>
      <c r="C2441" s="2"/>
      <c r="D2441" s="2" t="s">
        <v>11</v>
      </c>
      <c r="E2441" s="2">
        <v>15.0</v>
      </c>
      <c r="F2441" s="2" t="s">
        <v>12</v>
      </c>
      <c r="G2441" s="2"/>
      <c r="H2441" s="2"/>
      <c r="I2441" s="2"/>
    </row>
    <row r="2442">
      <c r="A2442" s="1" t="s">
        <v>2455</v>
      </c>
      <c r="B2442" s="2" t="s">
        <v>2428</v>
      </c>
      <c r="C2442" s="2"/>
      <c r="D2442" s="2" t="s">
        <v>11</v>
      </c>
      <c r="E2442" s="2">
        <v>10.0</v>
      </c>
      <c r="F2442" s="2" t="s">
        <v>12</v>
      </c>
      <c r="G2442" s="2"/>
      <c r="H2442" s="2"/>
      <c r="I2442" s="2"/>
    </row>
    <row r="2443">
      <c r="A2443" s="1" t="s">
        <v>2456</v>
      </c>
      <c r="B2443" s="2" t="s">
        <v>2428</v>
      </c>
      <c r="C2443" s="2"/>
      <c r="D2443" s="2" t="s">
        <v>11</v>
      </c>
      <c r="E2443" s="2">
        <v>15.0</v>
      </c>
      <c r="F2443" s="2" t="s">
        <v>12</v>
      </c>
      <c r="G2443" s="2"/>
      <c r="H2443" s="2"/>
      <c r="I2443" s="2"/>
    </row>
    <row r="2444">
      <c r="A2444" s="1" t="s">
        <v>2457</v>
      </c>
      <c r="B2444" s="2" t="s">
        <v>2428</v>
      </c>
      <c r="C2444" s="2"/>
      <c r="D2444" s="2" t="s">
        <v>11</v>
      </c>
      <c r="E2444" s="2">
        <v>10.0</v>
      </c>
      <c r="F2444" s="2" t="s">
        <v>12</v>
      </c>
      <c r="G2444" s="2"/>
      <c r="H2444" s="2"/>
      <c r="I2444" s="2"/>
    </row>
    <row r="2445">
      <c r="A2445" s="1" t="s">
        <v>2458</v>
      </c>
      <c r="B2445" s="2" t="s">
        <v>2428</v>
      </c>
      <c r="C2445" s="2"/>
      <c r="D2445" s="2" t="s">
        <v>11</v>
      </c>
      <c r="E2445" s="2">
        <v>10.0</v>
      </c>
      <c r="F2445" s="2" t="s">
        <v>12</v>
      </c>
      <c r="G2445" s="2"/>
      <c r="H2445" s="2"/>
      <c r="I2445" s="2"/>
    </row>
    <row r="2446">
      <c r="A2446" s="1" t="s">
        <v>2459</v>
      </c>
      <c r="B2446" s="2" t="s">
        <v>2428</v>
      </c>
      <c r="C2446" s="2"/>
      <c r="D2446" s="2" t="s">
        <v>11</v>
      </c>
      <c r="E2446" s="2">
        <v>15.0</v>
      </c>
      <c r="F2446" s="2" t="s">
        <v>12</v>
      </c>
      <c r="G2446" s="2"/>
      <c r="H2446" s="2"/>
      <c r="I2446" s="2"/>
    </row>
    <row r="2447">
      <c r="A2447" s="1" t="s">
        <v>2460</v>
      </c>
      <c r="B2447" s="2" t="s">
        <v>2428</v>
      </c>
      <c r="C2447" s="2"/>
      <c r="D2447" s="2" t="s">
        <v>11</v>
      </c>
      <c r="E2447" s="2">
        <v>15.0</v>
      </c>
      <c r="F2447" s="2" t="s">
        <v>12</v>
      </c>
      <c r="G2447" s="2"/>
      <c r="H2447" s="2"/>
      <c r="I2447" s="2"/>
    </row>
    <row r="2448">
      <c r="A2448" s="1" t="s">
        <v>2461</v>
      </c>
      <c r="B2448" s="2" t="s">
        <v>2428</v>
      </c>
      <c r="C2448" s="2"/>
      <c r="D2448" s="2" t="s">
        <v>11</v>
      </c>
      <c r="E2448" s="2">
        <v>10.0</v>
      </c>
      <c r="F2448" s="2" t="s">
        <v>12</v>
      </c>
      <c r="G2448" s="2"/>
      <c r="H2448" s="2"/>
      <c r="I2448" s="2"/>
    </row>
    <row r="2449">
      <c r="A2449" s="2" t="s">
        <v>2462</v>
      </c>
      <c r="B2449" s="2" t="s">
        <v>2463</v>
      </c>
      <c r="C2449" s="2"/>
      <c r="D2449" s="2" t="s">
        <v>11</v>
      </c>
      <c r="E2449" s="2">
        <v>10.0</v>
      </c>
      <c r="F2449" s="2" t="s">
        <v>12</v>
      </c>
      <c r="G2449" s="2"/>
      <c r="H2449" s="2"/>
      <c r="I2449" s="2"/>
    </row>
    <row r="2450">
      <c r="A2450" s="2" t="s">
        <v>2464</v>
      </c>
      <c r="B2450" s="2" t="s">
        <v>2463</v>
      </c>
      <c r="C2450" s="2"/>
      <c r="D2450" s="1" t="s">
        <v>22</v>
      </c>
      <c r="E2450" s="2">
        <v>1.0</v>
      </c>
      <c r="F2450" s="2" t="s">
        <v>22</v>
      </c>
      <c r="G2450" s="2"/>
      <c r="H2450" s="2"/>
      <c r="I2450" s="2"/>
    </row>
    <row r="2451">
      <c r="A2451" s="2" t="s">
        <v>2465</v>
      </c>
      <c r="B2451" s="2" t="s">
        <v>2463</v>
      </c>
      <c r="C2451" s="2"/>
      <c r="D2451" s="2" t="s">
        <v>11</v>
      </c>
      <c r="E2451" s="2">
        <v>10.0</v>
      </c>
      <c r="F2451" s="2" t="s">
        <v>12</v>
      </c>
      <c r="G2451" s="2"/>
      <c r="H2451" s="2"/>
      <c r="I2451" s="2"/>
    </row>
    <row r="2452">
      <c r="A2452" s="2" t="s">
        <v>2466</v>
      </c>
      <c r="B2452" s="2" t="s">
        <v>2463</v>
      </c>
      <c r="C2452" s="2"/>
      <c r="D2452" s="2" t="s">
        <v>11</v>
      </c>
      <c r="E2452" s="2">
        <v>10.0</v>
      </c>
      <c r="F2452" s="2" t="s">
        <v>12</v>
      </c>
      <c r="G2452" s="2"/>
      <c r="H2452" s="2"/>
      <c r="I2452" s="2"/>
    </row>
    <row r="2453">
      <c r="A2453" s="1" t="s">
        <v>2467</v>
      </c>
      <c r="B2453" s="2" t="s">
        <v>2463</v>
      </c>
      <c r="C2453" s="2"/>
      <c r="D2453" s="2" t="s">
        <v>37</v>
      </c>
      <c r="E2453" s="2">
        <v>10.0</v>
      </c>
      <c r="F2453" s="2" t="s">
        <v>12</v>
      </c>
      <c r="G2453" s="2"/>
      <c r="H2453" s="2"/>
      <c r="I2453" s="2"/>
    </row>
    <row r="2454">
      <c r="A2454" s="1" t="s">
        <v>2468</v>
      </c>
      <c r="B2454" s="2" t="s">
        <v>2463</v>
      </c>
      <c r="C2454" s="2"/>
      <c r="D2454" s="2" t="s">
        <v>37</v>
      </c>
      <c r="E2454" s="2">
        <v>10.0</v>
      </c>
      <c r="F2454" s="2" t="s">
        <v>12</v>
      </c>
      <c r="G2454" s="2"/>
      <c r="H2454" s="2"/>
      <c r="I2454" s="2"/>
    </row>
    <row r="2455">
      <c r="A2455" s="1" t="s">
        <v>2469</v>
      </c>
      <c r="B2455" s="2" t="s">
        <v>2463</v>
      </c>
      <c r="C2455" s="2"/>
      <c r="D2455" s="2" t="s">
        <v>37</v>
      </c>
      <c r="E2455" s="2">
        <v>10.0</v>
      </c>
      <c r="F2455" s="2" t="s">
        <v>12</v>
      </c>
      <c r="G2455" s="2"/>
      <c r="H2455" s="2"/>
      <c r="I2455" s="2"/>
    </row>
    <row r="2456">
      <c r="A2456" s="1" t="s">
        <v>2470</v>
      </c>
      <c r="B2456" s="2" t="s">
        <v>2463</v>
      </c>
      <c r="C2456" s="2"/>
      <c r="D2456" s="2" t="s">
        <v>11</v>
      </c>
      <c r="E2456" s="2">
        <v>10.0</v>
      </c>
      <c r="F2456" s="2" t="s">
        <v>12</v>
      </c>
      <c r="G2456" s="2"/>
      <c r="H2456" s="2"/>
      <c r="I2456" s="2"/>
    </row>
    <row r="2457">
      <c r="A2457" s="1" t="s">
        <v>2471</v>
      </c>
      <c r="B2457" s="2" t="s">
        <v>2463</v>
      </c>
      <c r="C2457" s="2"/>
      <c r="D2457" s="2" t="s">
        <v>37</v>
      </c>
      <c r="E2457" s="2">
        <v>10.0</v>
      </c>
      <c r="F2457" s="2" t="s">
        <v>12</v>
      </c>
      <c r="G2457" s="2"/>
      <c r="H2457" s="2"/>
      <c r="I2457" s="2"/>
    </row>
    <row r="2458">
      <c r="A2458" s="2" t="s">
        <v>2472</v>
      </c>
      <c r="B2458" s="2" t="s">
        <v>2463</v>
      </c>
      <c r="C2458" s="2"/>
      <c r="D2458" s="2" t="s">
        <v>11</v>
      </c>
      <c r="E2458" s="2">
        <v>10.0</v>
      </c>
      <c r="F2458" s="2" t="s">
        <v>12</v>
      </c>
      <c r="G2458" s="2"/>
      <c r="H2458" s="2"/>
      <c r="I2458" s="2"/>
    </row>
    <row r="2459">
      <c r="A2459" s="2" t="s">
        <v>2473</v>
      </c>
      <c r="B2459" s="2" t="s">
        <v>2463</v>
      </c>
      <c r="C2459" s="2"/>
      <c r="D2459" s="2" t="s">
        <v>11</v>
      </c>
      <c r="E2459" s="2">
        <v>10.0</v>
      </c>
      <c r="F2459" s="2" t="s">
        <v>12</v>
      </c>
      <c r="G2459" s="2"/>
      <c r="H2459" s="2"/>
      <c r="I2459" s="2"/>
    </row>
    <row r="2460">
      <c r="A2460" s="2" t="s">
        <v>2474</v>
      </c>
      <c r="B2460" s="2" t="s">
        <v>2463</v>
      </c>
      <c r="C2460" s="2"/>
      <c r="D2460" s="2" t="s">
        <v>11</v>
      </c>
      <c r="E2460" s="2">
        <v>10.0</v>
      </c>
      <c r="F2460" s="2" t="s">
        <v>12</v>
      </c>
      <c r="G2460" s="2"/>
      <c r="H2460" s="2"/>
      <c r="I2460" s="2"/>
    </row>
    <row r="2461">
      <c r="A2461" s="2" t="s">
        <v>2475</v>
      </c>
      <c r="B2461" s="2" t="s">
        <v>2463</v>
      </c>
      <c r="C2461" s="2"/>
      <c r="D2461" s="2" t="s">
        <v>21</v>
      </c>
      <c r="E2461" s="2">
        <v>1.0</v>
      </c>
      <c r="F2461" s="2" t="s">
        <v>22</v>
      </c>
      <c r="G2461" s="2"/>
      <c r="H2461" s="2"/>
      <c r="I2461" s="2"/>
    </row>
    <row r="2462">
      <c r="A2462" s="2" t="s">
        <v>2476</v>
      </c>
      <c r="B2462" s="2" t="s">
        <v>2463</v>
      </c>
      <c r="C2462" s="2"/>
      <c r="D2462" s="2" t="s">
        <v>11</v>
      </c>
      <c r="E2462" s="2">
        <v>10.0</v>
      </c>
      <c r="F2462" s="2" t="s">
        <v>12</v>
      </c>
      <c r="G2462" s="2"/>
      <c r="H2462" s="2"/>
      <c r="I2462" s="2"/>
    </row>
    <row r="2463">
      <c r="A2463" s="2" t="s">
        <v>2477</v>
      </c>
      <c r="B2463" s="2" t="s">
        <v>2463</v>
      </c>
      <c r="C2463" s="2"/>
      <c r="D2463" s="2" t="s">
        <v>11</v>
      </c>
      <c r="E2463" s="2">
        <v>10.0</v>
      </c>
      <c r="F2463" s="2" t="s">
        <v>12</v>
      </c>
      <c r="G2463" s="2"/>
      <c r="H2463" s="2"/>
      <c r="I2463" s="2"/>
    </row>
    <row r="2464">
      <c r="A2464" s="2" t="s">
        <v>2478</v>
      </c>
      <c r="B2464" s="2" t="s">
        <v>2463</v>
      </c>
      <c r="C2464" s="2"/>
      <c r="D2464" s="2" t="s">
        <v>11</v>
      </c>
      <c r="E2464" s="2">
        <v>10.0</v>
      </c>
      <c r="F2464" s="2" t="s">
        <v>12</v>
      </c>
      <c r="G2464" s="2"/>
      <c r="H2464" s="2"/>
      <c r="I2464" s="2"/>
    </row>
    <row r="2465">
      <c r="A2465" s="2" t="s">
        <v>2479</v>
      </c>
      <c r="B2465" s="2" t="s">
        <v>2463</v>
      </c>
      <c r="C2465" s="1"/>
      <c r="D2465" s="2"/>
      <c r="E2465" s="2"/>
      <c r="F2465" s="2"/>
      <c r="G2465" s="2"/>
      <c r="H2465" s="2"/>
      <c r="I2465" s="2"/>
    </row>
    <row r="2466">
      <c r="A2466" s="2" t="s">
        <v>2480</v>
      </c>
      <c r="B2466" s="2" t="s">
        <v>2463</v>
      </c>
      <c r="C2466" s="2"/>
      <c r="D2466" s="2" t="s">
        <v>37</v>
      </c>
      <c r="E2466" s="2">
        <v>10.0</v>
      </c>
      <c r="F2466" s="2" t="s">
        <v>12</v>
      </c>
      <c r="G2466" s="2"/>
      <c r="H2466" s="2"/>
      <c r="I2466" s="2"/>
    </row>
    <row r="2467">
      <c r="A2467" s="2" t="s">
        <v>2481</v>
      </c>
      <c r="B2467" s="2" t="s">
        <v>2463</v>
      </c>
      <c r="C2467" s="2"/>
      <c r="D2467" s="2" t="s">
        <v>37</v>
      </c>
      <c r="E2467" s="2">
        <v>15.0</v>
      </c>
      <c r="F2467" s="2" t="s">
        <v>12</v>
      </c>
      <c r="G2467" s="2"/>
      <c r="H2467" s="2"/>
      <c r="I2467" s="2"/>
    </row>
    <row r="2468">
      <c r="A2468" s="1" t="s">
        <v>2482</v>
      </c>
      <c r="B2468" s="2" t="s">
        <v>2483</v>
      </c>
      <c r="C2468" s="2"/>
      <c r="D2468" s="2" t="s">
        <v>11</v>
      </c>
      <c r="E2468" s="2">
        <v>10.0</v>
      </c>
      <c r="F2468" s="2" t="s">
        <v>12</v>
      </c>
      <c r="G2468" s="2"/>
      <c r="H2468" s="2"/>
      <c r="I2468" s="2"/>
    </row>
    <row r="2469">
      <c r="A2469" s="1" t="s">
        <v>2484</v>
      </c>
      <c r="B2469" s="2" t="s">
        <v>2483</v>
      </c>
      <c r="C2469" s="2"/>
      <c r="D2469" s="2" t="s">
        <v>11</v>
      </c>
      <c r="E2469" s="2">
        <v>10.0</v>
      </c>
      <c r="F2469" s="2" t="s">
        <v>12</v>
      </c>
      <c r="G2469" s="2"/>
      <c r="H2469" s="2"/>
      <c r="I2469" s="2"/>
    </row>
    <row r="2470">
      <c r="A2470" s="1" t="s">
        <v>2485</v>
      </c>
      <c r="B2470" s="2" t="s">
        <v>2483</v>
      </c>
      <c r="C2470" s="2"/>
      <c r="D2470" s="2" t="s">
        <v>11</v>
      </c>
      <c r="E2470" s="2">
        <v>10.0</v>
      </c>
      <c r="F2470" s="2" t="s">
        <v>12</v>
      </c>
      <c r="G2470" s="2"/>
      <c r="H2470" s="2"/>
      <c r="I2470" s="2"/>
    </row>
    <row r="2471">
      <c r="A2471" s="1" t="s">
        <v>2486</v>
      </c>
      <c r="B2471" s="2" t="s">
        <v>2483</v>
      </c>
      <c r="C2471" s="2"/>
      <c r="D2471" s="2" t="s">
        <v>11</v>
      </c>
      <c r="E2471" s="2">
        <v>10.0</v>
      </c>
      <c r="F2471" s="2" t="s">
        <v>12</v>
      </c>
      <c r="G2471" s="2"/>
      <c r="H2471" s="2"/>
      <c r="I2471" s="2"/>
    </row>
    <row r="2472">
      <c r="A2472" s="1" t="s">
        <v>2487</v>
      </c>
      <c r="B2472" s="2" t="s">
        <v>2483</v>
      </c>
      <c r="C2472" s="2"/>
      <c r="D2472" s="2" t="s">
        <v>11</v>
      </c>
      <c r="E2472" s="2">
        <v>10.0</v>
      </c>
      <c r="F2472" s="2" t="s">
        <v>12</v>
      </c>
      <c r="G2472" s="2"/>
      <c r="H2472" s="2"/>
      <c r="I2472" s="2"/>
    </row>
    <row r="2473">
      <c r="A2473" s="1" t="s">
        <v>2488</v>
      </c>
      <c r="B2473" s="2" t="s">
        <v>2483</v>
      </c>
      <c r="C2473" s="2"/>
      <c r="D2473" s="2" t="s">
        <v>37</v>
      </c>
      <c r="E2473" s="2">
        <v>10.0</v>
      </c>
      <c r="F2473" s="2" t="s">
        <v>12</v>
      </c>
      <c r="G2473" s="2"/>
      <c r="H2473" s="2"/>
      <c r="I2473" s="2"/>
    </row>
    <row r="2474">
      <c r="A2474" s="1" t="s">
        <v>2489</v>
      </c>
      <c r="B2474" s="2" t="s">
        <v>2483</v>
      </c>
      <c r="C2474" s="2"/>
      <c r="D2474" s="2" t="s">
        <v>37</v>
      </c>
      <c r="E2474" s="2"/>
      <c r="F2474" s="2" t="s">
        <v>12</v>
      </c>
      <c r="G2474" s="2"/>
      <c r="H2474" s="2"/>
      <c r="I2474" s="2"/>
    </row>
    <row r="2475">
      <c r="A2475" s="2" t="s">
        <v>2490</v>
      </c>
      <c r="B2475" s="2" t="s">
        <v>2483</v>
      </c>
      <c r="C2475" s="2"/>
      <c r="D2475" s="2" t="s">
        <v>11</v>
      </c>
      <c r="E2475" s="2">
        <v>10.0</v>
      </c>
      <c r="F2475" s="2" t="s">
        <v>12</v>
      </c>
      <c r="G2475" s="2"/>
      <c r="H2475" s="2"/>
      <c r="I2475" s="2"/>
    </row>
    <row r="2476">
      <c r="A2476" s="1" t="s">
        <v>2491</v>
      </c>
      <c r="B2476" s="2" t="s">
        <v>2483</v>
      </c>
      <c r="C2476" s="2"/>
      <c r="D2476" s="2" t="s">
        <v>11</v>
      </c>
      <c r="E2476" s="2">
        <v>10.0</v>
      </c>
      <c r="F2476" s="2" t="s">
        <v>12</v>
      </c>
      <c r="G2476" s="2"/>
      <c r="H2476" s="2"/>
      <c r="I2476" s="2"/>
    </row>
    <row r="2477">
      <c r="A2477" s="1" t="s">
        <v>2492</v>
      </c>
      <c r="B2477" s="2" t="s">
        <v>2483</v>
      </c>
      <c r="C2477" s="2"/>
      <c r="D2477" s="2" t="s">
        <v>11</v>
      </c>
      <c r="E2477" s="2">
        <v>10.0</v>
      </c>
      <c r="F2477" s="2" t="s">
        <v>12</v>
      </c>
      <c r="G2477" s="2"/>
      <c r="H2477" s="2"/>
      <c r="I2477" s="2"/>
    </row>
    <row r="2478">
      <c r="A2478" s="1" t="s">
        <v>2493</v>
      </c>
      <c r="B2478" s="2" t="s">
        <v>2483</v>
      </c>
      <c r="C2478" s="2"/>
      <c r="D2478" s="2" t="s">
        <v>11</v>
      </c>
      <c r="E2478" s="2">
        <v>10.0</v>
      </c>
      <c r="F2478" s="2" t="s">
        <v>12</v>
      </c>
      <c r="G2478" s="2"/>
      <c r="H2478" s="2"/>
      <c r="I2478" s="2"/>
    </row>
    <row r="2479">
      <c r="A2479" s="1" t="s">
        <v>2494</v>
      </c>
      <c r="B2479" s="2" t="s">
        <v>2483</v>
      </c>
      <c r="C2479" s="2"/>
      <c r="D2479" s="2" t="s">
        <v>11</v>
      </c>
      <c r="E2479" s="2">
        <v>10.0</v>
      </c>
      <c r="F2479" s="2" t="s">
        <v>12</v>
      </c>
      <c r="G2479" s="2"/>
      <c r="H2479" s="2"/>
      <c r="I2479" s="2"/>
    </row>
    <row r="2480">
      <c r="A2480" s="1" t="s">
        <v>2495</v>
      </c>
      <c r="B2480" s="2" t="s">
        <v>2483</v>
      </c>
      <c r="C2480" s="2"/>
      <c r="D2480" s="2" t="s">
        <v>11</v>
      </c>
      <c r="E2480" s="2">
        <v>10.0</v>
      </c>
      <c r="F2480" s="2" t="s">
        <v>12</v>
      </c>
      <c r="G2480" s="2"/>
      <c r="H2480" s="2"/>
      <c r="I2480" s="2"/>
    </row>
    <row r="2481">
      <c r="A2481" s="1" t="s">
        <v>2496</v>
      </c>
      <c r="B2481" s="2" t="s">
        <v>2483</v>
      </c>
      <c r="C2481" s="2"/>
      <c r="D2481" s="2" t="s">
        <v>11</v>
      </c>
      <c r="E2481" s="2">
        <v>10.0</v>
      </c>
      <c r="F2481" s="2" t="s">
        <v>12</v>
      </c>
      <c r="G2481" s="2"/>
      <c r="H2481" s="2"/>
      <c r="I2481" s="2"/>
    </row>
    <row r="2482">
      <c r="A2482" s="1" t="s">
        <v>2497</v>
      </c>
      <c r="B2482" s="2" t="s">
        <v>2483</v>
      </c>
      <c r="C2482" s="2"/>
      <c r="D2482" s="2" t="s">
        <v>11</v>
      </c>
      <c r="E2482" s="2">
        <v>10.0</v>
      </c>
      <c r="F2482" s="2" t="s">
        <v>12</v>
      </c>
      <c r="G2482" s="2"/>
      <c r="H2482" s="2"/>
      <c r="I2482" s="2"/>
    </row>
    <row r="2483">
      <c r="A2483" s="1" t="s">
        <v>2498</v>
      </c>
      <c r="B2483" s="2" t="s">
        <v>2483</v>
      </c>
      <c r="C2483" s="2"/>
      <c r="D2483" s="2" t="s">
        <v>11</v>
      </c>
      <c r="E2483" s="2">
        <v>10.0</v>
      </c>
      <c r="F2483" s="2" t="s">
        <v>12</v>
      </c>
      <c r="G2483" s="2"/>
      <c r="H2483" s="2"/>
      <c r="I2483" s="2"/>
    </row>
    <row r="2484">
      <c r="A2484" s="1" t="s">
        <v>2499</v>
      </c>
      <c r="B2484" s="2" t="s">
        <v>2483</v>
      </c>
      <c r="C2484" s="2"/>
      <c r="D2484" s="2" t="s">
        <v>11</v>
      </c>
      <c r="E2484" s="2">
        <v>10.0</v>
      </c>
      <c r="F2484" s="2" t="s">
        <v>12</v>
      </c>
      <c r="G2484" s="2"/>
      <c r="H2484" s="2"/>
      <c r="I2484" s="2"/>
    </row>
    <row r="2485">
      <c r="A2485" s="1" t="s">
        <v>2500</v>
      </c>
      <c r="B2485" s="2" t="s">
        <v>2483</v>
      </c>
      <c r="C2485" s="2"/>
      <c r="D2485" s="2" t="s">
        <v>11</v>
      </c>
      <c r="E2485" s="2">
        <v>10.0</v>
      </c>
      <c r="F2485" s="2" t="s">
        <v>12</v>
      </c>
      <c r="G2485" s="2"/>
      <c r="H2485" s="2"/>
      <c r="I2485" s="2"/>
    </row>
    <row r="2486">
      <c r="A2486" s="1" t="s">
        <v>2501</v>
      </c>
      <c r="B2486" s="2" t="s">
        <v>2483</v>
      </c>
      <c r="C2486" s="2"/>
      <c r="D2486" s="2" t="s">
        <v>11</v>
      </c>
      <c r="E2486" s="2">
        <v>10.0</v>
      </c>
      <c r="F2486" s="2" t="s">
        <v>12</v>
      </c>
      <c r="G2486" s="2"/>
      <c r="H2486" s="2"/>
      <c r="I2486" s="2"/>
    </row>
    <row r="2487">
      <c r="A2487" s="1" t="s">
        <v>2502</v>
      </c>
      <c r="B2487" s="2" t="s">
        <v>2483</v>
      </c>
      <c r="C2487" s="2"/>
      <c r="D2487" s="2" t="s">
        <v>11</v>
      </c>
      <c r="E2487" s="2">
        <v>10.0</v>
      </c>
      <c r="F2487" s="2" t="s">
        <v>12</v>
      </c>
      <c r="G2487" s="2"/>
      <c r="H2487" s="2"/>
      <c r="I2487" s="2"/>
    </row>
    <row r="2488">
      <c r="A2488" s="1" t="s">
        <v>2503</v>
      </c>
      <c r="B2488" s="2" t="s">
        <v>2483</v>
      </c>
      <c r="C2488" s="2"/>
      <c r="D2488" s="2" t="s">
        <v>11</v>
      </c>
      <c r="E2488" s="2">
        <v>10.0</v>
      </c>
      <c r="F2488" s="2" t="s">
        <v>12</v>
      </c>
      <c r="G2488" s="2"/>
      <c r="H2488" s="2"/>
      <c r="I2488" s="2"/>
    </row>
    <row r="2489">
      <c r="A2489" s="1" t="s">
        <v>2504</v>
      </c>
      <c r="B2489" s="2" t="s">
        <v>2483</v>
      </c>
      <c r="C2489" s="2"/>
      <c r="D2489" s="2" t="s">
        <v>11</v>
      </c>
      <c r="E2489" s="2">
        <v>10.0</v>
      </c>
      <c r="F2489" s="2" t="s">
        <v>12</v>
      </c>
      <c r="G2489" s="2"/>
      <c r="H2489" s="2"/>
      <c r="I2489" s="2"/>
    </row>
    <row r="2490">
      <c r="A2490" s="2" t="s">
        <v>2505</v>
      </c>
      <c r="B2490" s="2" t="s">
        <v>2483</v>
      </c>
      <c r="C2490" s="2"/>
      <c r="D2490" s="2" t="s">
        <v>11</v>
      </c>
      <c r="E2490" s="2">
        <v>10.0</v>
      </c>
      <c r="F2490" s="2" t="s">
        <v>12</v>
      </c>
      <c r="G2490" s="2"/>
      <c r="H2490" s="2"/>
      <c r="I2490" s="2"/>
    </row>
    <row r="2491">
      <c r="A2491" s="2" t="s">
        <v>2506</v>
      </c>
      <c r="B2491" s="2" t="s">
        <v>2483</v>
      </c>
      <c r="C2491" s="2"/>
      <c r="D2491" s="2" t="s">
        <v>11</v>
      </c>
      <c r="E2491" s="2">
        <v>10.0</v>
      </c>
      <c r="F2491" s="2" t="s">
        <v>12</v>
      </c>
      <c r="G2491" s="2"/>
      <c r="H2491" s="2"/>
      <c r="I2491" s="2"/>
    </row>
    <row r="2492">
      <c r="A2492" s="1" t="s">
        <v>2507</v>
      </c>
      <c r="B2492" s="2" t="s">
        <v>2483</v>
      </c>
      <c r="C2492" s="2"/>
      <c r="D2492" s="2" t="s">
        <v>11</v>
      </c>
      <c r="E2492" s="2">
        <v>10.0</v>
      </c>
      <c r="F2492" s="2" t="s">
        <v>12</v>
      </c>
      <c r="G2492" s="2"/>
      <c r="H2492" s="2"/>
      <c r="I2492" s="2"/>
    </row>
    <row r="2493">
      <c r="A2493" s="1" t="s">
        <v>2508</v>
      </c>
      <c r="B2493" s="2" t="s">
        <v>2483</v>
      </c>
      <c r="C2493" s="2"/>
      <c r="D2493" s="2" t="s">
        <v>11</v>
      </c>
      <c r="E2493" s="2">
        <v>10.0</v>
      </c>
      <c r="F2493" s="2" t="s">
        <v>12</v>
      </c>
      <c r="G2493" s="2"/>
      <c r="H2493" s="2"/>
      <c r="I2493" s="2"/>
    </row>
    <row r="2494">
      <c r="A2494" s="1" t="s">
        <v>2509</v>
      </c>
      <c r="B2494" s="2" t="s">
        <v>2483</v>
      </c>
      <c r="C2494" s="2"/>
      <c r="D2494" s="2" t="s">
        <v>11</v>
      </c>
      <c r="E2494" s="2">
        <v>10.0</v>
      </c>
      <c r="F2494" s="2" t="s">
        <v>12</v>
      </c>
      <c r="G2494" s="2"/>
      <c r="H2494" s="2"/>
      <c r="I2494" s="2"/>
    </row>
    <row r="2495">
      <c r="A2495" s="1" t="s">
        <v>2510</v>
      </c>
      <c r="B2495" s="2" t="s">
        <v>2483</v>
      </c>
      <c r="C2495" s="2"/>
      <c r="D2495" s="2" t="s">
        <v>11</v>
      </c>
      <c r="E2495" s="2">
        <v>10.0</v>
      </c>
      <c r="F2495" s="2" t="s">
        <v>12</v>
      </c>
      <c r="G2495" s="2"/>
      <c r="H2495" s="2"/>
      <c r="I2495" s="2"/>
    </row>
    <row r="2496">
      <c r="A2496" s="1" t="s">
        <v>2511</v>
      </c>
      <c r="B2496" s="2" t="s">
        <v>2483</v>
      </c>
      <c r="C2496" s="2"/>
      <c r="D2496" s="2" t="s">
        <v>11</v>
      </c>
      <c r="E2496" s="2">
        <v>10.0</v>
      </c>
      <c r="F2496" s="2" t="s">
        <v>12</v>
      </c>
      <c r="G2496" s="2"/>
      <c r="H2496" s="2"/>
      <c r="I2496" s="2"/>
    </row>
    <row r="2497">
      <c r="A2497" s="2" t="s">
        <v>2512</v>
      </c>
      <c r="B2497" s="2" t="s">
        <v>2483</v>
      </c>
      <c r="C2497" s="2"/>
      <c r="D2497" s="2" t="s">
        <v>11</v>
      </c>
      <c r="E2497" s="2">
        <v>10.0</v>
      </c>
      <c r="F2497" s="2" t="s">
        <v>12</v>
      </c>
      <c r="G2497" s="2"/>
      <c r="H2497" s="2"/>
      <c r="I2497" s="2"/>
    </row>
    <row r="2498">
      <c r="A2498" s="2" t="s">
        <v>2513</v>
      </c>
      <c r="B2498" s="2" t="s">
        <v>2483</v>
      </c>
      <c r="C2498" s="2"/>
      <c r="D2498" s="2" t="s">
        <v>11</v>
      </c>
      <c r="E2498" s="2">
        <v>10.0</v>
      </c>
      <c r="F2498" s="2" t="s">
        <v>12</v>
      </c>
      <c r="G2498" s="2"/>
      <c r="H2498" s="2"/>
      <c r="I2498" s="2"/>
    </row>
    <row r="2499">
      <c r="A2499" s="1" t="s">
        <v>2514</v>
      </c>
      <c r="B2499" s="2" t="s">
        <v>2483</v>
      </c>
      <c r="C2499" s="2"/>
      <c r="D2499" s="2" t="s">
        <v>11</v>
      </c>
      <c r="E2499" s="2">
        <v>10.0</v>
      </c>
      <c r="F2499" s="2" t="s">
        <v>12</v>
      </c>
      <c r="G2499" s="2"/>
      <c r="H2499" s="2"/>
      <c r="I2499" s="2"/>
    </row>
    <row r="2500">
      <c r="A2500" s="1" t="s">
        <v>2515</v>
      </c>
      <c r="B2500" s="2" t="s">
        <v>2483</v>
      </c>
      <c r="C2500" s="2"/>
      <c r="D2500" s="2" t="s">
        <v>11</v>
      </c>
      <c r="E2500" s="2">
        <v>10.0</v>
      </c>
      <c r="F2500" s="2" t="s">
        <v>12</v>
      </c>
      <c r="G2500" s="2"/>
      <c r="H2500" s="2"/>
      <c r="I2500" s="2"/>
    </row>
    <row r="2501">
      <c r="A2501" s="1" t="s">
        <v>2516</v>
      </c>
      <c r="B2501" s="2" t="s">
        <v>2483</v>
      </c>
      <c r="C2501" s="2"/>
      <c r="D2501" s="2" t="s">
        <v>11</v>
      </c>
      <c r="E2501" s="2">
        <v>10.0</v>
      </c>
      <c r="F2501" s="2" t="s">
        <v>12</v>
      </c>
      <c r="G2501" s="2"/>
      <c r="H2501" s="2"/>
      <c r="I2501" s="2"/>
    </row>
    <row r="2502">
      <c r="A2502" s="1" t="s">
        <v>2517</v>
      </c>
      <c r="B2502" s="2" t="s">
        <v>2483</v>
      </c>
      <c r="C2502" s="2"/>
      <c r="D2502" s="2" t="s">
        <v>11</v>
      </c>
      <c r="E2502" s="2">
        <v>10.0</v>
      </c>
      <c r="F2502" s="2" t="s">
        <v>12</v>
      </c>
      <c r="G2502" s="2"/>
      <c r="H2502" s="2"/>
      <c r="I2502" s="2"/>
    </row>
    <row r="2503">
      <c r="A2503" s="1" t="s">
        <v>2518</v>
      </c>
      <c r="B2503" s="2" t="s">
        <v>2483</v>
      </c>
      <c r="C2503" s="2"/>
      <c r="D2503" s="2" t="s">
        <v>37</v>
      </c>
      <c r="E2503" s="2">
        <v>10.0</v>
      </c>
      <c r="F2503" s="2" t="s">
        <v>12</v>
      </c>
      <c r="G2503" s="2"/>
      <c r="H2503" s="2"/>
      <c r="I2503" s="2"/>
    </row>
    <row r="2504">
      <c r="A2504" s="1" t="s">
        <v>2519</v>
      </c>
      <c r="B2504" s="2" t="s">
        <v>2483</v>
      </c>
      <c r="C2504" s="2"/>
      <c r="D2504" s="2" t="s">
        <v>37</v>
      </c>
      <c r="E2504" s="2">
        <v>10.0</v>
      </c>
      <c r="F2504" s="2" t="s">
        <v>12</v>
      </c>
      <c r="G2504" s="2"/>
      <c r="H2504" s="2"/>
      <c r="I2504" s="2"/>
    </row>
    <row r="2505">
      <c r="A2505" s="1" t="s">
        <v>2520</v>
      </c>
      <c r="B2505" s="2" t="s">
        <v>2483</v>
      </c>
      <c r="C2505" s="2"/>
      <c r="D2505" s="2" t="s">
        <v>11</v>
      </c>
      <c r="E2505" s="2">
        <v>10.0</v>
      </c>
      <c r="F2505" s="2" t="s">
        <v>12</v>
      </c>
      <c r="G2505" s="2"/>
      <c r="H2505" s="2"/>
      <c r="I2505" s="2"/>
    </row>
    <row r="2506">
      <c r="A2506" s="2" t="s">
        <v>2521</v>
      </c>
      <c r="B2506" s="2" t="s">
        <v>2483</v>
      </c>
      <c r="C2506" s="2"/>
      <c r="D2506" s="2" t="s">
        <v>11</v>
      </c>
      <c r="E2506" s="2">
        <v>10.0</v>
      </c>
      <c r="F2506" s="2" t="s">
        <v>12</v>
      </c>
      <c r="G2506" s="2"/>
      <c r="H2506" s="2"/>
      <c r="I2506" s="2"/>
    </row>
    <row r="2507">
      <c r="A2507" s="1" t="s">
        <v>2522</v>
      </c>
      <c r="B2507" s="2" t="s">
        <v>2483</v>
      </c>
      <c r="C2507" s="2"/>
      <c r="D2507" s="2" t="s">
        <v>11</v>
      </c>
      <c r="E2507" s="2">
        <v>10.0</v>
      </c>
      <c r="F2507" s="2" t="s">
        <v>12</v>
      </c>
      <c r="G2507" s="2"/>
      <c r="H2507" s="2"/>
      <c r="I2507" s="2"/>
    </row>
    <row r="2508">
      <c r="A2508" s="1" t="s">
        <v>2523</v>
      </c>
      <c r="B2508" s="2" t="s">
        <v>2483</v>
      </c>
      <c r="C2508" s="2"/>
      <c r="D2508" s="2" t="s">
        <v>11</v>
      </c>
      <c r="E2508" s="2">
        <v>10.0</v>
      </c>
      <c r="F2508" s="2" t="s">
        <v>12</v>
      </c>
      <c r="G2508" s="2"/>
      <c r="H2508" s="2"/>
      <c r="I2508" s="2"/>
    </row>
    <row r="2509">
      <c r="A2509" s="1" t="s">
        <v>2524</v>
      </c>
      <c r="B2509" s="2" t="s">
        <v>2483</v>
      </c>
      <c r="C2509" s="2"/>
      <c r="D2509" s="2" t="s">
        <v>11</v>
      </c>
      <c r="E2509" s="2">
        <v>10.0</v>
      </c>
      <c r="F2509" s="2" t="s">
        <v>12</v>
      </c>
      <c r="G2509" s="2"/>
      <c r="H2509" s="2"/>
      <c r="I2509" s="2"/>
    </row>
    <row r="2510">
      <c r="A2510" s="1" t="s">
        <v>2525</v>
      </c>
      <c r="B2510" s="2" t="s">
        <v>2483</v>
      </c>
      <c r="C2510" s="2"/>
      <c r="D2510" s="2" t="s">
        <v>11</v>
      </c>
      <c r="E2510" s="2">
        <v>10.0</v>
      </c>
      <c r="F2510" s="2" t="s">
        <v>12</v>
      </c>
      <c r="G2510" s="2"/>
      <c r="H2510" s="2"/>
      <c r="I2510" s="2"/>
    </row>
    <row r="2511">
      <c r="A2511" s="1" t="s">
        <v>2526</v>
      </c>
      <c r="B2511" s="2" t="s">
        <v>2483</v>
      </c>
      <c r="C2511" s="2"/>
      <c r="D2511" s="2" t="s">
        <v>11</v>
      </c>
      <c r="E2511" s="2">
        <v>10.0</v>
      </c>
      <c r="F2511" s="2" t="s">
        <v>12</v>
      </c>
      <c r="G2511" s="2"/>
      <c r="H2511" s="2"/>
      <c r="I2511" s="2"/>
    </row>
    <row r="2512">
      <c r="A2512" s="1" t="s">
        <v>2527</v>
      </c>
      <c r="B2512" s="2" t="s">
        <v>2483</v>
      </c>
      <c r="C2512" s="2"/>
      <c r="D2512" s="2" t="s">
        <v>11</v>
      </c>
      <c r="E2512" s="2">
        <v>10.0</v>
      </c>
      <c r="F2512" s="2" t="s">
        <v>12</v>
      </c>
      <c r="G2512" s="2"/>
      <c r="H2512" s="2"/>
      <c r="I2512" s="2"/>
    </row>
    <row r="2513">
      <c r="A2513" s="1" t="s">
        <v>2528</v>
      </c>
      <c r="B2513" s="2" t="s">
        <v>2483</v>
      </c>
      <c r="C2513" s="2"/>
      <c r="D2513" s="2" t="s">
        <v>11</v>
      </c>
      <c r="E2513" s="2">
        <v>10.0</v>
      </c>
      <c r="F2513" s="2" t="s">
        <v>12</v>
      </c>
      <c r="G2513" s="2"/>
      <c r="H2513" s="2"/>
      <c r="I2513" s="2"/>
    </row>
    <row r="2514">
      <c r="A2514" s="1" t="s">
        <v>2529</v>
      </c>
      <c r="B2514" s="2" t="s">
        <v>2483</v>
      </c>
      <c r="C2514" s="2"/>
      <c r="D2514" s="2" t="s">
        <v>11</v>
      </c>
      <c r="E2514" s="2">
        <v>10.0</v>
      </c>
      <c r="F2514" s="2" t="s">
        <v>12</v>
      </c>
      <c r="G2514" s="2"/>
      <c r="H2514" s="2"/>
      <c r="I2514" s="2"/>
    </row>
    <row r="2515">
      <c r="A2515" s="1" t="s">
        <v>2530</v>
      </c>
      <c r="B2515" s="2" t="s">
        <v>2483</v>
      </c>
      <c r="C2515" s="2"/>
      <c r="D2515" s="2" t="s">
        <v>11</v>
      </c>
      <c r="E2515" s="2">
        <v>10.0</v>
      </c>
      <c r="F2515" s="2" t="s">
        <v>12</v>
      </c>
      <c r="G2515" s="2"/>
      <c r="H2515" s="2"/>
      <c r="I2515" s="2"/>
    </row>
    <row r="2516">
      <c r="A2516" s="1" t="s">
        <v>2531</v>
      </c>
      <c r="B2516" s="2" t="s">
        <v>2483</v>
      </c>
      <c r="C2516" s="2"/>
      <c r="D2516" s="2" t="s">
        <v>11</v>
      </c>
      <c r="E2516" s="2">
        <v>10.0</v>
      </c>
      <c r="F2516" s="2" t="s">
        <v>12</v>
      </c>
      <c r="G2516" s="2"/>
      <c r="H2516" s="2"/>
      <c r="I2516" s="2"/>
    </row>
    <row r="2517">
      <c r="A2517" s="1" t="s">
        <v>2532</v>
      </c>
      <c r="B2517" s="2" t="s">
        <v>2483</v>
      </c>
      <c r="C2517" s="2"/>
      <c r="D2517" s="2" t="s">
        <v>11</v>
      </c>
      <c r="E2517" s="2">
        <v>10.0</v>
      </c>
      <c r="F2517" s="2" t="s">
        <v>12</v>
      </c>
      <c r="G2517" s="2"/>
      <c r="H2517" s="2"/>
      <c r="I2517" s="2"/>
    </row>
    <row r="2518">
      <c r="A2518" s="1" t="s">
        <v>2533</v>
      </c>
      <c r="B2518" s="2" t="s">
        <v>2483</v>
      </c>
      <c r="C2518" s="2"/>
      <c r="D2518" s="2" t="s">
        <v>11</v>
      </c>
      <c r="E2518" s="2">
        <v>10.0</v>
      </c>
      <c r="F2518" s="2" t="s">
        <v>12</v>
      </c>
      <c r="G2518" s="2"/>
      <c r="H2518" s="2"/>
      <c r="I2518" s="2"/>
    </row>
    <row r="2519">
      <c r="A2519" s="1" t="s">
        <v>2534</v>
      </c>
      <c r="B2519" s="2" t="s">
        <v>2483</v>
      </c>
      <c r="C2519" s="2"/>
      <c r="D2519" s="1" t="s">
        <v>11</v>
      </c>
      <c r="E2519" s="2">
        <v>4.0</v>
      </c>
      <c r="F2519" s="2" t="s">
        <v>12</v>
      </c>
      <c r="G2519" s="2"/>
      <c r="H2519" s="2"/>
      <c r="I2519" s="2"/>
    </row>
    <row r="2520">
      <c r="A2520" s="1" t="s">
        <v>2535</v>
      </c>
      <c r="B2520" s="2" t="s">
        <v>2483</v>
      </c>
      <c r="C2520" s="2"/>
      <c r="D2520" s="2" t="s">
        <v>11</v>
      </c>
      <c r="E2520" s="2">
        <v>15.0</v>
      </c>
      <c r="F2520" s="2" t="s">
        <v>12</v>
      </c>
      <c r="G2520" s="2"/>
      <c r="H2520" s="2"/>
      <c r="I2520" s="2"/>
    </row>
    <row r="2521">
      <c r="A2521" s="1" t="s">
        <v>2536</v>
      </c>
      <c r="B2521" s="2" t="s">
        <v>2483</v>
      </c>
      <c r="C2521" s="2"/>
      <c r="D2521" s="2" t="s">
        <v>11</v>
      </c>
      <c r="E2521" s="2">
        <v>15.0</v>
      </c>
      <c r="F2521" s="2" t="s">
        <v>12</v>
      </c>
      <c r="G2521" s="2"/>
      <c r="H2521" s="2"/>
      <c r="I2521" s="2"/>
    </row>
    <row r="2522">
      <c r="A2522" s="1" t="s">
        <v>2537</v>
      </c>
      <c r="B2522" s="2" t="s">
        <v>2483</v>
      </c>
      <c r="C2522" s="2"/>
      <c r="D2522" s="2" t="s">
        <v>11</v>
      </c>
      <c r="E2522" s="2">
        <v>15.0</v>
      </c>
      <c r="F2522" s="2" t="s">
        <v>12</v>
      </c>
      <c r="G2522" s="2"/>
      <c r="H2522" s="2"/>
      <c r="I2522" s="2"/>
    </row>
    <row r="2523">
      <c r="A2523" s="1" t="s">
        <v>2538</v>
      </c>
      <c r="B2523" s="2" t="s">
        <v>2483</v>
      </c>
      <c r="C2523" s="2"/>
      <c r="D2523" s="2" t="s">
        <v>11</v>
      </c>
      <c r="E2523" s="2">
        <v>10.0</v>
      </c>
      <c r="F2523" s="2" t="s">
        <v>12</v>
      </c>
      <c r="G2523" s="2"/>
      <c r="H2523" s="2"/>
      <c r="I2523" s="2"/>
    </row>
    <row r="2524">
      <c r="A2524" s="1" t="s">
        <v>2539</v>
      </c>
      <c r="B2524" s="2" t="s">
        <v>2483</v>
      </c>
      <c r="C2524" s="2"/>
      <c r="D2524" s="2" t="s">
        <v>11</v>
      </c>
      <c r="E2524" s="2">
        <v>10.0</v>
      </c>
      <c r="F2524" s="2" t="s">
        <v>12</v>
      </c>
      <c r="G2524" s="2"/>
      <c r="H2524" s="2"/>
      <c r="I2524" s="2"/>
    </row>
    <row r="2525">
      <c r="A2525" s="1" t="s">
        <v>2540</v>
      </c>
      <c r="B2525" s="2" t="s">
        <v>2483</v>
      </c>
      <c r="C2525" s="2"/>
      <c r="D2525" s="2" t="s">
        <v>11</v>
      </c>
      <c r="E2525" s="2">
        <v>10.0</v>
      </c>
      <c r="F2525" s="2" t="s">
        <v>12</v>
      </c>
      <c r="G2525" s="2"/>
      <c r="H2525" s="2"/>
      <c r="I2525" s="2"/>
    </row>
    <row r="2526">
      <c r="A2526" s="2" t="s">
        <v>2541</v>
      </c>
      <c r="B2526" s="2" t="s">
        <v>2483</v>
      </c>
      <c r="C2526" s="2"/>
      <c r="D2526" s="2" t="s">
        <v>11</v>
      </c>
      <c r="E2526" s="2">
        <v>10.0</v>
      </c>
      <c r="F2526" s="2" t="s">
        <v>12</v>
      </c>
      <c r="G2526" s="2"/>
      <c r="H2526" s="2"/>
      <c r="I2526" s="2"/>
    </row>
    <row r="2527">
      <c r="A2527" s="1" t="s">
        <v>2542</v>
      </c>
      <c r="B2527" s="2" t="s">
        <v>2483</v>
      </c>
      <c r="C2527" s="2"/>
      <c r="D2527" s="2" t="s">
        <v>11</v>
      </c>
      <c r="E2527" s="2">
        <v>10.0</v>
      </c>
      <c r="F2527" s="2" t="s">
        <v>12</v>
      </c>
      <c r="G2527" s="2"/>
      <c r="H2527" s="2"/>
      <c r="I2527" s="2"/>
    </row>
    <row r="2528">
      <c r="A2528" s="1" t="s">
        <v>2543</v>
      </c>
      <c r="B2528" s="2" t="s">
        <v>2483</v>
      </c>
      <c r="C2528" s="2"/>
      <c r="D2528" s="2" t="s">
        <v>11</v>
      </c>
      <c r="E2528" s="2">
        <v>10.0</v>
      </c>
      <c r="F2528" s="2" t="s">
        <v>12</v>
      </c>
      <c r="G2528" s="2"/>
      <c r="H2528" s="2"/>
      <c r="I2528" s="2"/>
    </row>
    <row r="2529">
      <c r="A2529" s="2" t="s">
        <v>2544</v>
      </c>
      <c r="B2529" s="2" t="s">
        <v>2483</v>
      </c>
      <c r="C2529" s="2"/>
      <c r="D2529" s="2" t="s">
        <v>11</v>
      </c>
      <c r="E2529" s="2">
        <v>10.0</v>
      </c>
      <c r="F2529" s="2" t="s">
        <v>12</v>
      </c>
      <c r="G2529" s="2"/>
      <c r="H2529" s="2"/>
      <c r="I2529" s="2"/>
    </row>
    <row r="2530">
      <c r="A2530" s="2" t="s">
        <v>2545</v>
      </c>
      <c r="B2530" s="2" t="s">
        <v>2483</v>
      </c>
      <c r="C2530" s="2"/>
      <c r="D2530" s="2" t="s">
        <v>11</v>
      </c>
      <c r="E2530" s="2">
        <v>10.0</v>
      </c>
      <c r="F2530" s="2" t="s">
        <v>12</v>
      </c>
      <c r="G2530" s="2"/>
      <c r="H2530" s="2"/>
      <c r="I2530" s="2"/>
    </row>
    <row r="2531">
      <c r="A2531" s="2" t="s">
        <v>2546</v>
      </c>
      <c r="B2531" s="2" t="s">
        <v>2547</v>
      </c>
      <c r="C2531" s="1"/>
      <c r="D2531" s="2"/>
      <c r="E2531" s="2"/>
      <c r="F2531" s="2"/>
      <c r="G2531" s="2"/>
      <c r="H2531" s="2"/>
      <c r="I2531" s="2"/>
    </row>
    <row r="2532">
      <c r="A2532" s="2" t="s">
        <v>2548</v>
      </c>
      <c r="B2532" s="2" t="s">
        <v>2547</v>
      </c>
      <c r="C2532" s="1"/>
      <c r="D2532" s="2"/>
      <c r="E2532" s="2"/>
      <c r="F2532" s="2"/>
      <c r="G2532" s="2"/>
      <c r="H2532" s="2"/>
      <c r="I2532" s="2"/>
    </row>
    <row r="2533">
      <c r="A2533" s="2" t="s">
        <v>2549</v>
      </c>
      <c r="B2533" s="2" t="s">
        <v>2547</v>
      </c>
      <c r="C2533" s="1"/>
      <c r="D2533" s="2"/>
      <c r="E2533" s="2"/>
      <c r="F2533" s="2"/>
      <c r="G2533" s="2"/>
      <c r="H2533" s="2"/>
      <c r="I2533" s="2"/>
    </row>
    <row r="2534">
      <c r="A2534" s="1" t="s">
        <v>2550</v>
      </c>
      <c r="B2534" s="2" t="s">
        <v>2547</v>
      </c>
      <c r="C2534" s="2"/>
      <c r="D2534" s="2" t="s">
        <v>37</v>
      </c>
      <c r="E2534" s="2">
        <v>10.0</v>
      </c>
      <c r="F2534" s="2" t="s">
        <v>12</v>
      </c>
      <c r="G2534" s="2"/>
      <c r="H2534" s="2"/>
      <c r="I2534" s="2"/>
    </row>
    <row r="2535">
      <c r="A2535" s="1" t="s">
        <v>2551</v>
      </c>
      <c r="B2535" s="2" t="s">
        <v>2547</v>
      </c>
      <c r="C2535" s="2"/>
      <c r="D2535" s="2" t="s">
        <v>37</v>
      </c>
      <c r="E2535" s="2">
        <v>10.0</v>
      </c>
      <c r="F2535" s="2" t="s">
        <v>12</v>
      </c>
      <c r="G2535" s="2"/>
      <c r="H2535" s="2"/>
      <c r="I2535" s="2"/>
    </row>
    <row r="2536">
      <c r="A2536" s="2" t="s">
        <v>2552</v>
      </c>
      <c r="B2536" s="2" t="s">
        <v>2547</v>
      </c>
      <c r="C2536" s="1"/>
      <c r="D2536" s="2"/>
      <c r="E2536" s="2"/>
      <c r="F2536" s="2"/>
      <c r="G2536" s="2"/>
      <c r="H2536" s="2"/>
      <c r="I2536" s="2"/>
    </row>
    <row r="2537">
      <c r="A2537" s="2" t="s">
        <v>2553</v>
      </c>
      <c r="B2537" s="2" t="s">
        <v>2547</v>
      </c>
      <c r="C2537" s="1"/>
      <c r="D2537" s="2"/>
      <c r="E2537" s="2"/>
      <c r="F2537" s="2"/>
      <c r="G2537" s="2"/>
      <c r="H2537" s="2"/>
      <c r="I2537" s="2"/>
    </row>
    <row r="2538">
      <c r="A2538" s="2" t="s">
        <v>2554</v>
      </c>
      <c r="B2538" s="2" t="s">
        <v>2547</v>
      </c>
      <c r="C2538" s="1"/>
      <c r="D2538" s="2"/>
      <c r="E2538" s="2"/>
      <c r="F2538" s="2"/>
      <c r="G2538" s="2"/>
      <c r="H2538" s="2"/>
      <c r="I2538" s="2"/>
    </row>
    <row r="2539">
      <c r="A2539" s="2" t="s">
        <v>2555</v>
      </c>
      <c r="B2539" s="2" t="s">
        <v>2547</v>
      </c>
      <c r="C2539" s="1"/>
      <c r="D2539" s="2"/>
      <c r="E2539" s="2"/>
      <c r="F2539" s="2"/>
      <c r="G2539" s="2"/>
      <c r="H2539" s="2"/>
      <c r="I2539" s="2"/>
    </row>
    <row r="2540">
      <c r="A2540" s="2" t="s">
        <v>2556</v>
      </c>
      <c r="B2540" s="2" t="s">
        <v>2547</v>
      </c>
      <c r="C2540" s="1"/>
      <c r="D2540" s="2"/>
      <c r="E2540" s="2"/>
      <c r="F2540" s="2"/>
      <c r="G2540" s="2"/>
      <c r="H2540" s="2"/>
      <c r="I2540" s="2"/>
    </row>
    <row r="2541">
      <c r="A2541" s="2" t="s">
        <v>2557</v>
      </c>
      <c r="B2541" s="2" t="s">
        <v>2547</v>
      </c>
      <c r="C2541" s="1"/>
      <c r="D2541" s="2"/>
      <c r="E2541" s="2"/>
      <c r="F2541" s="2"/>
      <c r="G2541" s="2"/>
      <c r="H2541" s="2"/>
      <c r="I2541" s="2"/>
    </row>
    <row r="2542">
      <c r="A2542" s="2" t="s">
        <v>2558</v>
      </c>
      <c r="B2542" s="2" t="s">
        <v>2547</v>
      </c>
      <c r="C2542" s="1"/>
      <c r="D2542" s="2"/>
      <c r="E2542" s="2"/>
      <c r="F2542" s="2"/>
      <c r="G2542" s="2"/>
      <c r="H2542" s="2"/>
      <c r="I2542" s="2"/>
    </row>
    <row r="2543">
      <c r="A2543" s="2" t="s">
        <v>2559</v>
      </c>
      <c r="B2543" s="2" t="s">
        <v>2547</v>
      </c>
      <c r="C2543" s="1"/>
      <c r="D2543" s="2"/>
      <c r="E2543" s="2"/>
      <c r="F2543" s="2"/>
      <c r="G2543" s="2"/>
      <c r="H2543" s="2"/>
      <c r="I2543" s="2"/>
    </row>
    <row r="2544">
      <c r="A2544" s="2" t="s">
        <v>2560</v>
      </c>
      <c r="B2544" s="2" t="s">
        <v>2547</v>
      </c>
      <c r="C2544" s="1"/>
      <c r="D2544" s="2"/>
      <c r="E2544" s="2"/>
      <c r="F2544" s="2"/>
      <c r="G2544" s="2"/>
      <c r="H2544" s="2"/>
      <c r="I2544" s="2"/>
    </row>
    <row r="2545">
      <c r="A2545" s="2" t="s">
        <v>2561</v>
      </c>
      <c r="B2545" s="2" t="s">
        <v>2547</v>
      </c>
      <c r="C2545" s="1"/>
      <c r="D2545" s="2"/>
      <c r="E2545" s="2"/>
      <c r="F2545" s="2"/>
      <c r="G2545" s="2"/>
      <c r="H2545" s="2"/>
      <c r="I2545" s="2"/>
    </row>
    <row r="2546">
      <c r="A2546" s="2" t="s">
        <v>2562</v>
      </c>
      <c r="B2546" s="2" t="s">
        <v>2563</v>
      </c>
      <c r="C2546" s="1"/>
      <c r="D2546" s="2"/>
      <c r="E2546" s="2"/>
      <c r="F2546" s="2"/>
      <c r="G2546" s="2"/>
      <c r="H2546" s="2"/>
      <c r="I2546" s="2"/>
    </row>
    <row r="2547">
      <c r="A2547" s="2" t="s">
        <v>2564</v>
      </c>
      <c r="B2547" s="2" t="s">
        <v>2563</v>
      </c>
      <c r="C2547" s="1"/>
      <c r="D2547" s="2"/>
      <c r="E2547" s="2"/>
      <c r="F2547" s="2"/>
      <c r="G2547" s="2"/>
      <c r="H2547" s="2"/>
      <c r="I2547" s="2"/>
    </row>
    <row r="2548">
      <c r="A2548" s="2" t="s">
        <v>2565</v>
      </c>
      <c r="B2548" s="2" t="s">
        <v>2563</v>
      </c>
      <c r="C2548" s="1"/>
      <c r="D2548" s="2"/>
      <c r="E2548" s="2"/>
      <c r="F2548" s="2"/>
      <c r="G2548" s="2"/>
      <c r="H2548" s="2"/>
      <c r="I2548" s="2"/>
    </row>
    <row r="2549">
      <c r="A2549" s="2" t="s">
        <v>2566</v>
      </c>
      <c r="B2549" s="2" t="s">
        <v>2563</v>
      </c>
      <c r="C2549" s="1"/>
      <c r="D2549" s="2"/>
      <c r="E2549" s="2"/>
      <c r="F2549" s="2"/>
      <c r="G2549" s="2"/>
      <c r="H2549" s="2"/>
      <c r="I2549" s="2"/>
    </row>
    <row r="2550">
      <c r="A2550" s="2" t="s">
        <v>2567</v>
      </c>
      <c r="B2550" s="2" t="s">
        <v>2563</v>
      </c>
      <c r="C2550" s="1"/>
      <c r="D2550" s="2"/>
      <c r="E2550" s="2"/>
      <c r="F2550" s="2"/>
      <c r="G2550" s="2"/>
      <c r="H2550" s="2"/>
      <c r="I2550" s="2"/>
    </row>
    <row r="2551">
      <c r="A2551" s="2" t="s">
        <v>2568</v>
      </c>
      <c r="B2551" s="2" t="s">
        <v>2563</v>
      </c>
      <c r="C2551" s="1"/>
      <c r="D2551" s="2"/>
      <c r="E2551" s="2"/>
      <c r="F2551" s="2"/>
      <c r="G2551" s="2"/>
      <c r="H2551" s="2"/>
      <c r="I2551" s="2"/>
    </row>
    <row r="2552">
      <c r="A2552" s="2" t="s">
        <v>2569</v>
      </c>
      <c r="B2552" s="2" t="s">
        <v>2563</v>
      </c>
      <c r="C2552" s="1"/>
      <c r="D2552" s="2"/>
      <c r="E2552" s="2"/>
      <c r="F2552" s="2"/>
      <c r="G2552" s="2"/>
      <c r="H2552" s="2"/>
      <c r="I2552" s="2"/>
    </row>
    <row r="2553">
      <c r="A2553" s="2" t="s">
        <v>2570</v>
      </c>
      <c r="B2553" s="2" t="s">
        <v>2563</v>
      </c>
      <c r="C2553" s="1"/>
      <c r="D2553" s="2"/>
      <c r="E2553" s="2"/>
      <c r="F2553" s="2"/>
      <c r="G2553" s="2"/>
      <c r="H2553" s="2"/>
      <c r="I2553" s="2"/>
    </row>
    <row r="2554">
      <c r="A2554" s="2" t="s">
        <v>2571</v>
      </c>
      <c r="B2554" s="2" t="s">
        <v>2563</v>
      </c>
      <c r="C2554" s="1"/>
      <c r="D2554" s="2"/>
      <c r="E2554" s="2"/>
      <c r="F2554" s="2"/>
      <c r="G2554" s="2"/>
      <c r="H2554" s="2"/>
      <c r="I2554" s="2"/>
    </row>
    <row r="2555">
      <c r="A2555" s="2" t="s">
        <v>2572</v>
      </c>
      <c r="B2555" s="2" t="s">
        <v>2563</v>
      </c>
      <c r="C2555" s="1"/>
      <c r="D2555" s="2"/>
      <c r="E2555" s="2"/>
      <c r="F2555" s="2"/>
      <c r="G2555" s="2"/>
      <c r="H2555" s="2"/>
      <c r="I2555" s="2"/>
    </row>
    <row r="2556">
      <c r="A2556" s="2" t="s">
        <v>2573</v>
      </c>
      <c r="B2556" s="2" t="s">
        <v>2563</v>
      </c>
      <c r="C2556" s="1"/>
      <c r="D2556" s="2"/>
      <c r="E2556" s="2"/>
      <c r="F2556" s="2"/>
      <c r="G2556" s="2"/>
      <c r="H2556" s="2"/>
      <c r="I2556" s="2"/>
    </row>
    <row r="2557">
      <c r="A2557" s="2" t="s">
        <v>2574</v>
      </c>
      <c r="B2557" s="2" t="s">
        <v>2563</v>
      </c>
      <c r="C2557" s="2"/>
      <c r="D2557" s="2" t="s">
        <v>11</v>
      </c>
      <c r="E2557" s="2">
        <v>10.0</v>
      </c>
      <c r="F2557" s="2" t="s">
        <v>12</v>
      </c>
      <c r="G2557" s="2"/>
      <c r="H2557" s="2"/>
      <c r="I2557" s="2"/>
    </row>
    <row r="2558">
      <c r="A2558" s="2" t="s">
        <v>2575</v>
      </c>
      <c r="B2558" s="2" t="s">
        <v>2563</v>
      </c>
      <c r="C2558" s="1"/>
      <c r="D2558" s="2"/>
      <c r="E2558" s="2"/>
      <c r="F2558" s="2"/>
      <c r="G2558" s="2"/>
      <c r="H2558" s="2"/>
      <c r="I2558" s="2"/>
    </row>
    <row r="2559">
      <c r="A2559" s="2" t="s">
        <v>2576</v>
      </c>
      <c r="B2559" s="2" t="s">
        <v>2563</v>
      </c>
      <c r="C2559" s="1"/>
      <c r="D2559" s="2"/>
      <c r="E2559" s="2"/>
      <c r="F2559" s="2"/>
      <c r="G2559" s="2"/>
      <c r="H2559" s="2"/>
      <c r="I2559" s="2"/>
    </row>
    <row r="2560">
      <c r="A2560" s="2" t="s">
        <v>2577</v>
      </c>
      <c r="B2560" s="2" t="s">
        <v>2563</v>
      </c>
      <c r="C2560" s="1"/>
      <c r="D2560" s="2"/>
      <c r="E2560" s="2"/>
      <c r="F2560" s="2"/>
      <c r="G2560" s="2"/>
      <c r="H2560" s="2"/>
      <c r="I2560" s="2"/>
    </row>
    <row r="2561">
      <c r="A2561" s="2" t="s">
        <v>2578</v>
      </c>
      <c r="B2561" s="2" t="s">
        <v>2563</v>
      </c>
      <c r="C2561" s="1"/>
      <c r="D2561" s="2"/>
      <c r="E2561" s="2"/>
      <c r="F2561" s="2"/>
      <c r="G2561" s="2"/>
      <c r="H2561" s="2"/>
      <c r="I2561" s="2"/>
    </row>
    <row r="2562">
      <c r="A2562" s="2" t="s">
        <v>2579</v>
      </c>
      <c r="B2562" s="2" t="s">
        <v>2580</v>
      </c>
      <c r="C2562" s="1"/>
      <c r="D2562" s="2"/>
      <c r="E2562" s="2"/>
      <c r="F2562" s="2"/>
      <c r="G2562" s="2"/>
      <c r="H2562" s="2"/>
      <c r="I2562" s="2"/>
    </row>
    <row r="2563">
      <c r="A2563" s="2" t="s">
        <v>2581</v>
      </c>
      <c r="B2563" s="2" t="s">
        <v>2580</v>
      </c>
      <c r="C2563" s="2"/>
      <c r="D2563" s="2" t="s">
        <v>11</v>
      </c>
      <c r="E2563" s="2">
        <v>10.0</v>
      </c>
      <c r="F2563" s="2" t="s">
        <v>12</v>
      </c>
      <c r="G2563" s="2"/>
      <c r="H2563" s="2"/>
      <c r="I2563" s="2"/>
    </row>
    <row r="2564">
      <c r="A2564" s="1" t="s">
        <v>2582</v>
      </c>
      <c r="B2564" s="2" t="s">
        <v>2580</v>
      </c>
      <c r="C2564" s="2"/>
      <c r="D2564" s="2" t="s">
        <v>11</v>
      </c>
      <c r="E2564" s="2">
        <v>10.0</v>
      </c>
      <c r="F2564" s="2" t="s">
        <v>12</v>
      </c>
      <c r="G2564" s="2"/>
      <c r="H2564" s="2"/>
      <c r="I2564" s="2"/>
    </row>
    <row r="2565">
      <c r="A2565" s="1" t="s">
        <v>2583</v>
      </c>
      <c r="B2565" s="2" t="s">
        <v>2580</v>
      </c>
      <c r="C2565" s="2"/>
      <c r="D2565" s="2" t="s">
        <v>37</v>
      </c>
      <c r="E2565" s="2">
        <v>6.0</v>
      </c>
      <c r="F2565" s="2" t="s">
        <v>12</v>
      </c>
      <c r="G2565" s="2"/>
      <c r="H2565" s="2"/>
      <c r="I2565" s="2"/>
    </row>
    <row r="2566">
      <c r="A2566" s="1" t="s">
        <v>2584</v>
      </c>
      <c r="B2566" s="2" t="s">
        <v>2580</v>
      </c>
      <c r="C2566" s="2"/>
      <c r="D2566" s="2" t="s">
        <v>37</v>
      </c>
      <c r="E2566" s="2">
        <v>6.0</v>
      </c>
      <c r="F2566" s="2" t="s">
        <v>12</v>
      </c>
      <c r="G2566" s="2"/>
      <c r="H2566" s="2"/>
      <c r="I2566" s="2"/>
    </row>
    <row r="2567">
      <c r="A2567" s="1" t="s">
        <v>2585</v>
      </c>
      <c r="B2567" s="2" t="s">
        <v>2580</v>
      </c>
      <c r="C2567" s="2"/>
      <c r="D2567" s="2" t="s">
        <v>11</v>
      </c>
      <c r="E2567" s="2">
        <v>10.0</v>
      </c>
      <c r="F2567" s="2" t="s">
        <v>12</v>
      </c>
      <c r="G2567" s="2"/>
      <c r="H2567" s="2"/>
      <c r="I2567" s="2"/>
    </row>
    <row r="2568">
      <c r="A2568" s="1" t="s">
        <v>2586</v>
      </c>
      <c r="B2568" s="2" t="s">
        <v>2580</v>
      </c>
      <c r="C2568" s="2"/>
      <c r="D2568" s="2" t="s">
        <v>37</v>
      </c>
      <c r="E2568" s="2">
        <v>10.0</v>
      </c>
      <c r="F2568" s="2" t="s">
        <v>12</v>
      </c>
      <c r="G2568" s="2"/>
      <c r="H2568" s="2"/>
      <c r="I2568" s="2"/>
    </row>
    <row r="2569">
      <c r="A2569" s="1" t="s">
        <v>2587</v>
      </c>
      <c r="B2569" s="2" t="s">
        <v>2580</v>
      </c>
      <c r="C2569" s="2"/>
      <c r="D2569" s="2" t="s">
        <v>37</v>
      </c>
      <c r="E2569" s="2">
        <v>10.0</v>
      </c>
      <c r="F2569" s="2" t="s">
        <v>12</v>
      </c>
      <c r="G2569" s="2"/>
      <c r="H2569" s="2"/>
      <c r="I2569" s="2"/>
    </row>
    <row r="2570">
      <c r="A2570" s="2" t="s">
        <v>2588</v>
      </c>
      <c r="B2570" s="2" t="s">
        <v>2580</v>
      </c>
      <c r="C2570" s="1"/>
      <c r="D2570" s="2"/>
      <c r="E2570" s="2"/>
      <c r="F2570" s="2"/>
      <c r="G2570" s="2"/>
      <c r="H2570" s="2"/>
      <c r="I2570" s="2"/>
    </row>
    <row r="2571">
      <c r="A2571" s="1" t="s">
        <v>2589</v>
      </c>
      <c r="B2571" s="2" t="s">
        <v>2590</v>
      </c>
      <c r="C2571" s="2"/>
      <c r="D2571" s="2" t="s">
        <v>37</v>
      </c>
      <c r="E2571" s="2">
        <v>10.0</v>
      </c>
      <c r="F2571" s="2" t="s">
        <v>12</v>
      </c>
      <c r="G2571" s="2"/>
      <c r="H2571" s="2"/>
      <c r="I2571" s="2"/>
    </row>
    <row r="2572">
      <c r="A2572" s="2" t="s">
        <v>2591</v>
      </c>
      <c r="B2572" s="2" t="s">
        <v>2590</v>
      </c>
      <c r="C2572" s="2"/>
      <c r="D2572" s="2" t="s">
        <v>11</v>
      </c>
      <c r="E2572" s="2">
        <v>10.0</v>
      </c>
      <c r="F2572" s="2" t="s">
        <v>12</v>
      </c>
      <c r="G2572" s="2"/>
      <c r="H2572" s="2"/>
      <c r="I2572" s="2"/>
    </row>
    <row r="2573">
      <c r="A2573" s="1" t="s">
        <v>2592</v>
      </c>
      <c r="B2573" s="2" t="s">
        <v>2590</v>
      </c>
      <c r="C2573" s="2"/>
      <c r="D2573" s="2" t="s">
        <v>11</v>
      </c>
      <c r="E2573" s="2">
        <v>10.0</v>
      </c>
      <c r="F2573" s="2" t="s">
        <v>12</v>
      </c>
      <c r="G2573" s="2"/>
      <c r="H2573" s="2"/>
      <c r="I2573" s="2"/>
    </row>
    <row r="2574">
      <c r="A2574" s="1" t="s">
        <v>2593</v>
      </c>
      <c r="B2574" s="2" t="s">
        <v>2590</v>
      </c>
      <c r="C2574" s="2"/>
      <c r="D2574" s="2" t="s">
        <v>11</v>
      </c>
      <c r="E2574" s="2">
        <v>10.0</v>
      </c>
      <c r="F2574" s="2" t="s">
        <v>12</v>
      </c>
      <c r="G2574" s="2"/>
      <c r="H2574" s="2"/>
      <c r="I2574" s="2"/>
    </row>
    <row r="2575">
      <c r="A2575" s="2" t="s">
        <v>2594</v>
      </c>
      <c r="B2575" s="2" t="s">
        <v>2590</v>
      </c>
      <c r="C2575" s="1"/>
      <c r="D2575" s="2"/>
      <c r="E2575" s="2"/>
      <c r="F2575" s="2"/>
      <c r="G2575" s="2"/>
      <c r="H2575" s="2"/>
      <c r="I2575" s="2"/>
    </row>
    <row r="2576">
      <c r="A2576" s="2" t="s">
        <v>2595</v>
      </c>
      <c r="B2576" s="2" t="s">
        <v>2590</v>
      </c>
      <c r="C2576" s="2"/>
      <c r="D2576" s="2" t="s">
        <v>11</v>
      </c>
      <c r="E2576" s="2">
        <v>10.0</v>
      </c>
      <c r="F2576" s="2" t="s">
        <v>12</v>
      </c>
      <c r="G2576" s="2"/>
      <c r="H2576" s="2"/>
      <c r="I2576" s="2"/>
    </row>
    <row r="2577">
      <c r="A2577" s="2" t="s">
        <v>2596</v>
      </c>
      <c r="B2577" s="2" t="s">
        <v>2590</v>
      </c>
      <c r="C2577" s="1"/>
      <c r="D2577" s="2"/>
      <c r="E2577" s="2"/>
      <c r="F2577" s="2"/>
      <c r="G2577" s="2"/>
      <c r="H2577" s="2"/>
      <c r="I2577" s="2"/>
    </row>
    <row r="2578">
      <c r="A2578" s="2" t="s">
        <v>2597</v>
      </c>
      <c r="B2578" s="2" t="s">
        <v>2590</v>
      </c>
      <c r="C2578" s="1"/>
      <c r="D2578" s="2"/>
      <c r="E2578" s="2"/>
      <c r="F2578" s="2"/>
      <c r="G2578" s="2"/>
      <c r="H2578" s="2"/>
      <c r="I2578" s="2"/>
    </row>
    <row r="2579">
      <c r="A2579" s="2" t="s">
        <v>2598</v>
      </c>
      <c r="B2579" s="2" t="s">
        <v>2590</v>
      </c>
      <c r="C2579" s="1"/>
      <c r="D2579" s="2"/>
      <c r="E2579" s="2"/>
      <c r="F2579" s="2"/>
      <c r="G2579" s="2"/>
      <c r="H2579" s="2"/>
      <c r="I2579" s="2"/>
    </row>
    <row r="2580">
      <c r="A2580" s="2" t="s">
        <v>2599</v>
      </c>
      <c r="B2580" s="2" t="s">
        <v>2590</v>
      </c>
      <c r="C2580" s="1"/>
      <c r="D2580" s="2"/>
      <c r="E2580" s="2"/>
      <c r="F2580" s="2"/>
      <c r="G2580" s="2"/>
      <c r="H2580" s="2"/>
      <c r="I2580" s="2"/>
    </row>
    <row r="2581">
      <c r="A2581" s="2" t="s">
        <v>2600</v>
      </c>
      <c r="B2581" s="2" t="s">
        <v>2590</v>
      </c>
      <c r="C2581" s="2"/>
      <c r="D2581" s="2" t="s">
        <v>11</v>
      </c>
      <c r="E2581" s="2">
        <v>10.0</v>
      </c>
      <c r="F2581" s="2" t="s">
        <v>12</v>
      </c>
      <c r="G2581" s="2"/>
      <c r="H2581" s="2"/>
      <c r="I2581" s="2"/>
    </row>
    <row r="2582">
      <c r="A2582" s="1" t="s">
        <v>2601</v>
      </c>
      <c r="B2582" s="2" t="s">
        <v>2590</v>
      </c>
      <c r="C2582" s="2"/>
      <c r="D2582" s="2" t="s">
        <v>37</v>
      </c>
      <c r="E2582" s="2">
        <v>10.0</v>
      </c>
      <c r="F2582" s="2" t="s">
        <v>12</v>
      </c>
      <c r="G2582" s="2"/>
      <c r="H2582" s="2"/>
      <c r="I2582" s="2"/>
    </row>
    <row r="2583">
      <c r="A2583" s="1" t="s">
        <v>2602</v>
      </c>
      <c r="B2583" s="2" t="s">
        <v>2590</v>
      </c>
      <c r="C2583" s="2"/>
      <c r="D2583" s="2" t="s">
        <v>37</v>
      </c>
      <c r="E2583" s="2">
        <v>10.0</v>
      </c>
      <c r="F2583" s="2" t="s">
        <v>12</v>
      </c>
      <c r="G2583" s="2"/>
      <c r="H2583" s="2"/>
      <c r="I2583" s="2"/>
    </row>
    <row r="2584">
      <c r="A2584" s="2" t="s">
        <v>2603</v>
      </c>
      <c r="B2584" s="2" t="s">
        <v>2590</v>
      </c>
      <c r="C2584" s="1"/>
      <c r="D2584" s="2"/>
      <c r="E2584" s="2"/>
      <c r="F2584" s="2"/>
      <c r="G2584" s="2"/>
      <c r="H2584" s="2"/>
      <c r="I2584" s="2"/>
    </row>
    <row r="2585">
      <c r="A2585" s="2" t="s">
        <v>2604</v>
      </c>
      <c r="B2585" s="2" t="s">
        <v>2590</v>
      </c>
      <c r="C2585" s="1"/>
      <c r="D2585" s="2"/>
      <c r="E2585" s="2"/>
      <c r="F2585" s="2"/>
      <c r="G2585" s="2"/>
      <c r="H2585" s="2"/>
      <c r="I2585" s="2"/>
    </row>
    <row r="2586">
      <c r="A2586" s="1" t="s">
        <v>2605</v>
      </c>
      <c r="B2586" s="2" t="s">
        <v>2590</v>
      </c>
      <c r="C2586" s="2"/>
      <c r="D2586" s="2" t="s">
        <v>11</v>
      </c>
      <c r="E2586" s="2">
        <v>15.0</v>
      </c>
      <c r="F2586" s="2" t="s">
        <v>12</v>
      </c>
      <c r="G2586" s="2"/>
      <c r="H2586" s="2"/>
      <c r="I2586" s="2"/>
    </row>
    <row r="2587">
      <c r="A2587" s="2" t="s">
        <v>2606</v>
      </c>
      <c r="B2587" s="2" t="s">
        <v>2590</v>
      </c>
      <c r="C2587" s="2"/>
      <c r="D2587" s="2" t="s">
        <v>37</v>
      </c>
      <c r="E2587" s="2">
        <v>10.0</v>
      </c>
      <c r="F2587" s="2" t="s">
        <v>12</v>
      </c>
      <c r="G2587" s="2"/>
      <c r="H2587" s="2"/>
      <c r="I2587" s="2"/>
    </row>
    <row r="2588">
      <c r="A2588" s="2" t="s">
        <v>2607</v>
      </c>
      <c r="B2588" s="2" t="s">
        <v>2608</v>
      </c>
      <c r="C2588" s="2"/>
      <c r="D2588" s="2" t="s">
        <v>11</v>
      </c>
      <c r="E2588" s="2">
        <v>10.0</v>
      </c>
      <c r="F2588" s="2" t="s">
        <v>12</v>
      </c>
      <c r="G2588" s="2"/>
      <c r="H2588" s="2"/>
      <c r="I2588" s="2"/>
    </row>
    <row r="2589">
      <c r="A2589" s="1" t="s">
        <v>2609</v>
      </c>
      <c r="B2589" s="2" t="s">
        <v>2608</v>
      </c>
      <c r="C2589" s="2"/>
      <c r="D2589" s="1" t="s">
        <v>11</v>
      </c>
      <c r="E2589" s="2">
        <v>4.0</v>
      </c>
      <c r="F2589" s="2" t="s">
        <v>12</v>
      </c>
      <c r="G2589" s="2"/>
      <c r="H2589" s="2"/>
      <c r="I2589" s="2"/>
    </row>
    <row r="2590">
      <c r="A2590" s="2" t="s">
        <v>2610</v>
      </c>
      <c r="B2590" s="2" t="s">
        <v>2608</v>
      </c>
      <c r="C2590" s="1"/>
      <c r="D2590" s="2"/>
      <c r="E2590" s="2"/>
      <c r="F2590" s="2"/>
      <c r="G2590" s="2"/>
      <c r="H2590" s="2"/>
      <c r="I2590" s="2"/>
    </row>
    <row r="2591">
      <c r="A2591" s="2" t="s">
        <v>2611</v>
      </c>
      <c r="B2591" s="2" t="s">
        <v>2608</v>
      </c>
      <c r="C2591" s="2"/>
      <c r="D2591" s="2"/>
      <c r="E2591" s="2"/>
      <c r="F2591" s="2"/>
      <c r="G2591" s="2"/>
      <c r="H2591" s="2"/>
      <c r="I2591" s="2"/>
    </row>
    <row r="2592">
      <c r="A2592" s="2" t="s">
        <v>2612</v>
      </c>
      <c r="B2592" s="2" t="s">
        <v>2608</v>
      </c>
      <c r="C2592" s="1"/>
      <c r="D2592" s="2"/>
      <c r="E2592" s="2"/>
      <c r="F2592" s="2"/>
      <c r="G2592" s="2"/>
      <c r="H2592" s="2"/>
      <c r="I2592" s="2"/>
    </row>
    <row r="2593">
      <c r="A2593" s="2" t="s">
        <v>2613</v>
      </c>
      <c r="B2593" s="2" t="s">
        <v>2608</v>
      </c>
      <c r="C2593" s="2"/>
      <c r="D2593" s="2"/>
      <c r="E2593" s="2"/>
      <c r="F2593" s="2"/>
      <c r="G2593" s="2"/>
      <c r="H2593" s="2"/>
      <c r="I2593" s="2"/>
    </row>
    <row r="2594">
      <c r="A2594" s="2" t="s">
        <v>2614</v>
      </c>
      <c r="B2594" s="2" t="s">
        <v>2608</v>
      </c>
      <c r="C2594" s="2"/>
      <c r="D2594" s="2"/>
      <c r="E2594" s="2"/>
      <c r="F2594" s="2"/>
      <c r="G2594" s="2"/>
      <c r="H2594" s="2"/>
      <c r="I2594" s="2"/>
    </row>
    <row r="2595">
      <c r="A2595" s="2" t="s">
        <v>2615</v>
      </c>
      <c r="B2595" s="2" t="s">
        <v>2608</v>
      </c>
      <c r="C2595" s="1"/>
      <c r="D2595" s="2"/>
      <c r="E2595" s="2"/>
      <c r="F2595" s="2"/>
      <c r="G2595" s="2"/>
      <c r="H2595" s="2"/>
      <c r="I2595" s="2"/>
    </row>
    <row r="2596">
      <c r="A2596" s="2" t="s">
        <v>2616</v>
      </c>
      <c r="B2596" s="2" t="s">
        <v>2608</v>
      </c>
      <c r="C2596" s="2"/>
      <c r="D2596" s="2" t="s">
        <v>11</v>
      </c>
      <c r="E2596" s="2">
        <v>10.0</v>
      </c>
      <c r="F2596" s="2" t="s">
        <v>12</v>
      </c>
      <c r="G2596" s="2"/>
      <c r="H2596" s="2"/>
      <c r="I2596" s="2"/>
    </row>
    <row r="2597">
      <c r="A2597" s="2" t="s">
        <v>2617</v>
      </c>
      <c r="B2597" s="2" t="s">
        <v>2608</v>
      </c>
      <c r="C2597" s="2"/>
      <c r="D2597" s="2" t="s">
        <v>11</v>
      </c>
      <c r="E2597" s="2">
        <v>10.0</v>
      </c>
      <c r="F2597" s="2" t="s">
        <v>12</v>
      </c>
      <c r="G2597" s="2"/>
      <c r="H2597" s="2"/>
      <c r="I2597" s="2"/>
    </row>
    <row r="2598">
      <c r="A2598" s="2" t="s">
        <v>2618</v>
      </c>
      <c r="B2598" s="2" t="s">
        <v>2608</v>
      </c>
      <c r="C2598" s="1"/>
      <c r="D2598" s="2"/>
      <c r="E2598" s="2"/>
      <c r="F2598" s="2"/>
      <c r="G2598" s="2"/>
      <c r="H2598" s="2"/>
      <c r="I2598" s="2"/>
    </row>
    <row r="2599">
      <c r="A2599" s="1" t="s">
        <v>2619</v>
      </c>
      <c r="B2599" s="2" t="s">
        <v>2608</v>
      </c>
      <c r="C2599" s="2"/>
      <c r="D2599" s="2"/>
      <c r="E2599" s="2"/>
      <c r="F2599" s="2"/>
      <c r="G2599" s="2"/>
      <c r="H2599" s="2"/>
      <c r="I2599" s="2"/>
    </row>
    <row r="2600">
      <c r="A2600" s="2" t="s">
        <v>2620</v>
      </c>
      <c r="B2600" s="2" t="s">
        <v>2608</v>
      </c>
      <c r="C2600" s="2"/>
      <c r="D2600" s="2"/>
      <c r="E2600" s="2"/>
      <c r="F2600" s="2"/>
      <c r="G2600" s="2"/>
      <c r="H2600" s="2"/>
      <c r="I2600" s="2"/>
    </row>
    <row r="2601">
      <c r="A2601" s="1" t="s">
        <v>2621</v>
      </c>
      <c r="B2601" s="2" t="s">
        <v>2608</v>
      </c>
      <c r="C2601" s="2"/>
      <c r="D2601" s="2" t="s">
        <v>11</v>
      </c>
      <c r="E2601" s="2">
        <v>10.0</v>
      </c>
      <c r="F2601" s="2" t="s">
        <v>12</v>
      </c>
      <c r="G2601" s="2"/>
      <c r="H2601" s="2"/>
      <c r="I2601" s="2"/>
    </row>
    <row r="2602">
      <c r="A2602" s="2" t="s">
        <v>2622</v>
      </c>
      <c r="B2602" s="2" t="s">
        <v>2608</v>
      </c>
      <c r="C2602" s="2"/>
      <c r="D2602" s="2"/>
      <c r="E2602" s="2"/>
      <c r="F2602" s="2"/>
      <c r="G2602" s="2"/>
      <c r="H2602" s="2"/>
      <c r="I2602" s="2"/>
    </row>
    <row r="2603">
      <c r="A2603" s="2" t="s">
        <v>2623</v>
      </c>
      <c r="B2603" s="2" t="s">
        <v>2608</v>
      </c>
      <c r="C2603" s="1"/>
      <c r="D2603" s="2"/>
      <c r="E2603" s="2"/>
      <c r="F2603" s="2"/>
      <c r="G2603" s="2"/>
      <c r="H2603" s="2"/>
      <c r="I2603" s="2"/>
    </row>
    <row r="2604">
      <c r="A2604" s="2" t="s">
        <v>2624</v>
      </c>
      <c r="B2604" s="2" t="s">
        <v>2608</v>
      </c>
      <c r="C2604" s="1"/>
      <c r="D2604" s="2"/>
      <c r="E2604" s="2"/>
      <c r="F2604" s="2"/>
      <c r="G2604" s="2"/>
      <c r="H2604" s="2"/>
      <c r="I2604" s="2"/>
    </row>
    <row r="2605">
      <c r="A2605" s="2" t="s">
        <v>2625</v>
      </c>
      <c r="B2605" s="2" t="s">
        <v>2608</v>
      </c>
      <c r="C2605" s="1"/>
      <c r="D2605" s="2"/>
      <c r="E2605" s="2"/>
      <c r="F2605" s="2"/>
      <c r="G2605" s="2"/>
      <c r="H2605" s="2"/>
      <c r="I2605" s="2"/>
    </row>
    <row r="2606">
      <c r="A2606" s="2" t="s">
        <v>2626</v>
      </c>
      <c r="B2606" s="2" t="s">
        <v>2608</v>
      </c>
      <c r="C2606" s="1"/>
      <c r="D2606" s="2"/>
      <c r="E2606" s="2"/>
      <c r="F2606" s="2"/>
      <c r="G2606" s="2"/>
      <c r="H2606" s="2"/>
      <c r="I2606" s="2"/>
    </row>
    <row r="2607">
      <c r="A2607" s="2" t="s">
        <v>2627</v>
      </c>
      <c r="B2607" s="2" t="s">
        <v>2608</v>
      </c>
      <c r="C2607" s="2"/>
      <c r="D2607" s="2"/>
      <c r="E2607" s="2"/>
      <c r="F2607" s="2"/>
      <c r="G2607" s="2"/>
      <c r="H2607" s="2"/>
      <c r="I2607" s="2"/>
    </row>
    <row r="2608">
      <c r="A2608" s="2" t="s">
        <v>2628</v>
      </c>
      <c r="B2608" s="2" t="s">
        <v>2608</v>
      </c>
      <c r="C2608" s="2"/>
      <c r="D2608" s="2" t="s">
        <v>37</v>
      </c>
      <c r="E2608" s="2">
        <v>10.0</v>
      </c>
      <c r="F2608" s="2" t="s">
        <v>12</v>
      </c>
      <c r="G2608" s="2"/>
      <c r="H2608" s="2"/>
      <c r="I2608" s="2"/>
    </row>
    <row r="2609">
      <c r="A2609" s="2" t="s">
        <v>2629</v>
      </c>
      <c r="B2609" s="2" t="s">
        <v>2630</v>
      </c>
      <c r="C2609" s="1"/>
      <c r="D2609" s="2"/>
      <c r="E2609" s="2"/>
      <c r="F2609" s="2"/>
      <c r="G2609" s="2"/>
      <c r="H2609" s="2"/>
      <c r="I2609" s="2"/>
    </row>
    <row r="2610">
      <c r="A2610" s="2" t="s">
        <v>2631</v>
      </c>
      <c r="B2610" s="2" t="s">
        <v>2630</v>
      </c>
      <c r="C2610" s="1"/>
      <c r="D2610" s="2"/>
      <c r="E2610" s="2"/>
      <c r="F2610" s="2"/>
      <c r="G2610" s="2"/>
      <c r="H2610" s="2"/>
      <c r="I2610" s="2"/>
    </row>
    <row r="2611">
      <c r="A2611" s="1" t="s">
        <v>2632</v>
      </c>
      <c r="B2611" s="2" t="s">
        <v>2630</v>
      </c>
      <c r="C2611" s="1"/>
      <c r="D2611" s="2"/>
      <c r="E2611" s="2"/>
      <c r="F2611" s="2"/>
      <c r="G2611" s="2"/>
      <c r="H2611" s="2"/>
      <c r="I2611" s="2"/>
    </row>
    <row r="2612">
      <c r="A2612" s="2" t="s">
        <v>2633</v>
      </c>
      <c r="B2612" s="2" t="s">
        <v>2630</v>
      </c>
      <c r="C2612" s="1"/>
      <c r="D2612" s="2"/>
      <c r="E2612" s="2"/>
      <c r="F2612" s="2"/>
      <c r="G2612" s="2"/>
      <c r="H2612" s="2"/>
      <c r="I2612" s="2"/>
    </row>
    <row r="2613">
      <c r="A2613" s="2" t="s">
        <v>2634</v>
      </c>
      <c r="B2613" s="2" t="s">
        <v>2630</v>
      </c>
      <c r="C2613" s="1"/>
      <c r="D2613" s="2"/>
      <c r="E2613" s="2"/>
      <c r="F2613" s="2"/>
      <c r="G2613" s="2"/>
      <c r="H2613" s="2"/>
      <c r="I2613" s="2"/>
    </row>
    <row r="2614">
      <c r="A2614" s="2" t="s">
        <v>2635</v>
      </c>
      <c r="B2614" s="2" t="s">
        <v>2630</v>
      </c>
      <c r="C2614" s="1"/>
      <c r="D2614" s="2"/>
      <c r="E2614" s="2"/>
      <c r="F2614" s="2"/>
      <c r="G2614" s="2"/>
      <c r="H2614" s="2"/>
      <c r="I2614" s="2"/>
    </row>
    <row r="2615">
      <c r="A2615" s="2" t="s">
        <v>2636</v>
      </c>
      <c r="B2615" s="2" t="s">
        <v>2630</v>
      </c>
      <c r="C2615" s="1"/>
      <c r="D2615" s="2"/>
      <c r="E2615" s="2"/>
      <c r="F2615" s="2"/>
      <c r="G2615" s="2"/>
      <c r="H2615" s="2"/>
      <c r="I2615" s="2"/>
    </row>
    <row r="2616">
      <c r="A2616" s="2" t="s">
        <v>2637</v>
      </c>
      <c r="B2616" s="2" t="s">
        <v>2630</v>
      </c>
      <c r="C2616" s="1"/>
      <c r="D2616" s="2"/>
      <c r="E2616" s="2"/>
      <c r="F2616" s="2"/>
      <c r="G2616" s="2"/>
      <c r="H2616" s="2"/>
      <c r="I2616" s="2"/>
    </row>
    <row r="2617">
      <c r="A2617" s="2" t="s">
        <v>2638</v>
      </c>
      <c r="B2617" s="2" t="s">
        <v>2630</v>
      </c>
      <c r="C2617" s="1"/>
      <c r="D2617" s="2"/>
      <c r="E2617" s="2"/>
      <c r="F2617" s="2"/>
      <c r="G2617" s="2"/>
      <c r="H2617" s="2"/>
      <c r="I2617" s="2"/>
    </row>
    <row r="2618">
      <c r="A2618" s="2" t="s">
        <v>2639</v>
      </c>
      <c r="B2618" s="2" t="s">
        <v>2630</v>
      </c>
      <c r="C2618" s="1"/>
      <c r="D2618" s="2"/>
      <c r="E2618" s="2"/>
      <c r="F2618" s="2"/>
      <c r="G2618" s="2"/>
      <c r="H2618" s="2"/>
      <c r="I2618" s="2"/>
    </row>
    <row r="2619">
      <c r="A2619" s="2" t="s">
        <v>2640</v>
      </c>
      <c r="B2619" s="2" t="s">
        <v>2630</v>
      </c>
      <c r="C2619" s="1"/>
      <c r="D2619" s="2"/>
      <c r="E2619" s="2"/>
      <c r="F2619" s="2"/>
      <c r="G2619" s="2"/>
      <c r="H2619" s="2"/>
      <c r="I2619" s="2"/>
    </row>
    <row r="2620">
      <c r="A2620" s="1" t="s">
        <v>2641</v>
      </c>
      <c r="B2620" s="2" t="s">
        <v>2630</v>
      </c>
      <c r="C2620" s="1"/>
      <c r="D2620" s="2"/>
      <c r="E2620" s="2"/>
      <c r="F2620" s="2"/>
      <c r="G2620" s="2"/>
      <c r="H2620" s="2"/>
      <c r="I2620" s="2"/>
    </row>
    <row r="2621">
      <c r="A2621" s="2" t="s">
        <v>2642</v>
      </c>
      <c r="B2621" s="2" t="s">
        <v>2630</v>
      </c>
      <c r="C2621" s="1"/>
      <c r="D2621" s="2"/>
      <c r="E2621" s="2"/>
      <c r="F2621" s="2"/>
      <c r="G2621" s="2"/>
      <c r="H2621" s="2"/>
      <c r="I2621" s="2"/>
    </row>
    <row r="2622">
      <c r="A2622" s="2" t="s">
        <v>2643</v>
      </c>
      <c r="B2622" s="2" t="s">
        <v>2630</v>
      </c>
      <c r="C2622" s="1"/>
      <c r="D2622" s="2"/>
      <c r="E2622" s="2"/>
      <c r="F2622" s="2"/>
      <c r="G2622" s="2"/>
      <c r="H2622" s="2"/>
      <c r="I2622" s="2"/>
    </row>
    <row r="2623">
      <c r="A2623" s="1" t="s">
        <v>2644</v>
      </c>
      <c r="B2623" s="2" t="s">
        <v>2630</v>
      </c>
      <c r="C2623" s="1"/>
      <c r="D2623" s="2"/>
      <c r="E2623" s="2"/>
      <c r="F2623" s="2"/>
      <c r="G2623" s="2"/>
      <c r="H2623" s="2"/>
      <c r="I2623" s="2"/>
    </row>
    <row r="2624">
      <c r="A2624" s="1" t="s">
        <v>2645</v>
      </c>
      <c r="B2624" s="2" t="s">
        <v>2630</v>
      </c>
      <c r="C2624" s="1"/>
      <c r="D2624" s="2"/>
      <c r="E2624" s="2"/>
      <c r="F2624" s="2"/>
      <c r="G2624" s="2"/>
      <c r="H2624" s="2"/>
      <c r="I2624" s="2"/>
    </row>
    <row r="2625">
      <c r="A2625" s="2" t="s">
        <v>2646</v>
      </c>
      <c r="B2625" s="2" t="s">
        <v>2630</v>
      </c>
      <c r="C2625" s="2"/>
      <c r="D2625" s="2" t="s">
        <v>11</v>
      </c>
      <c r="E2625" s="2">
        <v>10.0</v>
      </c>
      <c r="F2625" s="2" t="s">
        <v>12</v>
      </c>
      <c r="G2625" s="2"/>
      <c r="H2625" s="2"/>
      <c r="I2625" s="2"/>
    </row>
    <row r="2626">
      <c r="A2626" s="2" t="s">
        <v>2647</v>
      </c>
      <c r="B2626" s="2" t="s">
        <v>2630</v>
      </c>
      <c r="C2626" s="1"/>
      <c r="D2626" s="2"/>
      <c r="E2626" s="2"/>
      <c r="F2626" s="2"/>
      <c r="G2626" s="2"/>
      <c r="H2626" s="2"/>
      <c r="I2626" s="2"/>
    </row>
    <row r="2627">
      <c r="A2627" s="2" t="s">
        <v>2648</v>
      </c>
      <c r="B2627" s="2" t="s">
        <v>2649</v>
      </c>
      <c r="C2627" s="2"/>
      <c r="D2627" s="2" t="s">
        <v>11</v>
      </c>
      <c r="E2627" s="2">
        <v>10.0</v>
      </c>
      <c r="F2627" s="2" t="s">
        <v>12</v>
      </c>
      <c r="G2627" s="2"/>
      <c r="H2627" s="2"/>
      <c r="I2627" s="2"/>
    </row>
    <row r="2628">
      <c r="A2628" s="2" t="s">
        <v>2650</v>
      </c>
      <c r="B2628" s="2" t="s">
        <v>2649</v>
      </c>
      <c r="C2628" s="2"/>
      <c r="D2628" s="2" t="s">
        <v>11</v>
      </c>
      <c r="E2628" s="2">
        <v>10.0</v>
      </c>
      <c r="F2628" s="2" t="s">
        <v>12</v>
      </c>
      <c r="G2628" s="2"/>
      <c r="H2628" s="2"/>
      <c r="I2628" s="2"/>
    </row>
    <row r="2629">
      <c r="A2629" s="1" t="s">
        <v>2651</v>
      </c>
      <c r="B2629" s="2" t="s">
        <v>2649</v>
      </c>
      <c r="C2629" s="2"/>
      <c r="D2629" s="2" t="s">
        <v>11</v>
      </c>
      <c r="E2629" s="2">
        <v>10.0</v>
      </c>
      <c r="F2629" s="2" t="s">
        <v>12</v>
      </c>
      <c r="G2629" s="2"/>
      <c r="H2629" s="2"/>
      <c r="I2629" s="2"/>
    </row>
    <row r="2630">
      <c r="A2630" s="2" t="s">
        <v>2652</v>
      </c>
      <c r="B2630" s="2" t="s">
        <v>2649</v>
      </c>
      <c r="C2630" s="1"/>
      <c r="D2630" s="2"/>
      <c r="E2630" s="2"/>
      <c r="F2630" s="2"/>
      <c r="G2630" s="2"/>
      <c r="H2630" s="2"/>
      <c r="I2630" s="2"/>
    </row>
    <row r="2631">
      <c r="A2631" s="2" t="s">
        <v>2653</v>
      </c>
      <c r="B2631" s="2" t="s">
        <v>2649</v>
      </c>
      <c r="C2631" s="1"/>
      <c r="D2631" s="2"/>
      <c r="E2631" s="2"/>
      <c r="F2631" s="2"/>
      <c r="G2631" s="2"/>
      <c r="H2631" s="2"/>
      <c r="I2631" s="2"/>
    </row>
    <row r="2632">
      <c r="A2632" s="2" t="s">
        <v>2654</v>
      </c>
      <c r="B2632" s="2" t="s">
        <v>2649</v>
      </c>
      <c r="C2632" s="2"/>
      <c r="D2632" s="2" t="s">
        <v>37</v>
      </c>
      <c r="E2632" s="2">
        <v>10.0</v>
      </c>
      <c r="F2632" s="2" t="s">
        <v>12</v>
      </c>
      <c r="G2632" s="2"/>
      <c r="H2632" s="2"/>
      <c r="I2632" s="2"/>
    </row>
    <row r="2633">
      <c r="A2633" s="2" t="s">
        <v>2655</v>
      </c>
      <c r="B2633" s="2" t="s">
        <v>2649</v>
      </c>
      <c r="C2633" s="2"/>
      <c r="D2633" s="2" t="s">
        <v>37</v>
      </c>
      <c r="E2633" s="2">
        <v>10.0</v>
      </c>
      <c r="F2633" s="2" t="s">
        <v>12</v>
      </c>
      <c r="G2633" s="2"/>
      <c r="H2633" s="2"/>
      <c r="I2633" s="2"/>
    </row>
    <row r="2634">
      <c r="A2634" s="2" t="s">
        <v>2656</v>
      </c>
      <c r="B2634" s="2" t="s">
        <v>2649</v>
      </c>
      <c r="C2634" s="2"/>
      <c r="D2634" s="2" t="s">
        <v>11</v>
      </c>
      <c r="E2634" s="2">
        <v>10.0</v>
      </c>
      <c r="F2634" s="2" t="s">
        <v>12</v>
      </c>
      <c r="G2634" s="2"/>
      <c r="H2634" s="2"/>
      <c r="I2634" s="2"/>
    </row>
    <row r="2635">
      <c r="A2635" s="2" t="s">
        <v>2657</v>
      </c>
      <c r="B2635" s="2" t="s">
        <v>2649</v>
      </c>
      <c r="C2635" s="2"/>
      <c r="D2635" s="2" t="s">
        <v>11</v>
      </c>
      <c r="E2635" s="2">
        <v>21.0</v>
      </c>
      <c r="F2635" s="2" t="s">
        <v>12</v>
      </c>
      <c r="G2635" s="2"/>
      <c r="H2635" s="2"/>
      <c r="I2635" s="2"/>
    </row>
    <row r="2636">
      <c r="A2636" s="2" t="s">
        <v>2658</v>
      </c>
      <c r="B2636" s="2" t="s">
        <v>2649</v>
      </c>
      <c r="C2636" s="1"/>
      <c r="D2636" s="2"/>
      <c r="E2636" s="2"/>
      <c r="F2636" s="2"/>
      <c r="G2636" s="2"/>
      <c r="H2636" s="2"/>
      <c r="I2636" s="2"/>
    </row>
    <row r="2637">
      <c r="A2637" s="2" t="s">
        <v>2659</v>
      </c>
      <c r="B2637" s="2" t="s">
        <v>2649</v>
      </c>
      <c r="C2637" s="1"/>
      <c r="D2637" s="2"/>
      <c r="E2637" s="2"/>
      <c r="F2637" s="2"/>
      <c r="G2637" s="2"/>
      <c r="H2637" s="2"/>
      <c r="I2637" s="2"/>
    </row>
    <row r="2638">
      <c r="A2638" s="1" t="s">
        <v>2660</v>
      </c>
      <c r="B2638" s="2" t="s">
        <v>2649</v>
      </c>
      <c r="C2638" s="2"/>
      <c r="D2638" s="2" t="s">
        <v>11</v>
      </c>
      <c r="E2638" s="2">
        <v>10.0</v>
      </c>
      <c r="F2638" s="2" t="s">
        <v>12</v>
      </c>
      <c r="G2638" s="2"/>
      <c r="H2638" s="2"/>
      <c r="I2638" s="2"/>
    </row>
    <row r="2639">
      <c r="A2639" s="2" t="s">
        <v>2661</v>
      </c>
      <c r="B2639" s="2" t="s">
        <v>2649</v>
      </c>
      <c r="C2639" s="1"/>
      <c r="D2639" s="2"/>
      <c r="E2639" s="2"/>
      <c r="F2639" s="2"/>
      <c r="G2639" s="2"/>
      <c r="H2639" s="2"/>
      <c r="I2639" s="2"/>
    </row>
    <row r="2640">
      <c r="A2640" s="2" t="s">
        <v>2662</v>
      </c>
      <c r="B2640" s="2" t="s">
        <v>2649</v>
      </c>
      <c r="C2640" s="1"/>
      <c r="D2640" s="2"/>
      <c r="E2640" s="2"/>
      <c r="F2640" s="2"/>
      <c r="G2640" s="2"/>
      <c r="H2640" s="2"/>
      <c r="I2640" s="2"/>
    </row>
    <row r="2641">
      <c r="A2641" s="2" t="s">
        <v>2663</v>
      </c>
      <c r="B2641" s="2" t="s">
        <v>2649</v>
      </c>
      <c r="C2641" s="2"/>
      <c r="D2641" s="2" t="s">
        <v>11</v>
      </c>
      <c r="E2641" s="2">
        <v>10.0</v>
      </c>
      <c r="F2641" s="2" t="s">
        <v>12</v>
      </c>
      <c r="G2641" s="2"/>
      <c r="H2641" s="2"/>
      <c r="I2641" s="2"/>
    </row>
    <row r="2642">
      <c r="A2642" s="2" t="s">
        <v>2664</v>
      </c>
      <c r="B2642" s="2" t="s">
        <v>2649</v>
      </c>
      <c r="C2642" s="1"/>
      <c r="D2642" s="2"/>
      <c r="E2642" s="2"/>
      <c r="F2642" s="2"/>
      <c r="G2642" s="2"/>
      <c r="H2642" s="2"/>
      <c r="I2642" s="2"/>
    </row>
    <row r="2643">
      <c r="A2643" s="2" t="s">
        <v>2665</v>
      </c>
      <c r="B2643" s="2" t="s">
        <v>2649</v>
      </c>
      <c r="C2643" s="1"/>
      <c r="D2643" s="2"/>
      <c r="E2643" s="2"/>
      <c r="F2643" s="2"/>
      <c r="G2643" s="2"/>
      <c r="H2643" s="2"/>
      <c r="I2643" s="2"/>
    </row>
    <row r="2644">
      <c r="A2644" s="2" t="s">
        <v>2666</v>
      </c>
      <c r="B2644" s="2" t="s">
        <v>2649</v>
      </c>
      <c r="C2644" s="2"/>
      <c r="D2644" s="2" t="s">
        <v>11</v>
      </c>
      <c r="E2644" s="2">
        <v>10.0</v>
      </c>
      <c r="F2644" s="2" t="s">
        <v>12</v>
      </c>
      <c r="G2644" s="2"/>
      <c r="H2644" s="2"/>
      <c r="I2644" s="2"/>
    </row>
    <row r="2645">
      <c r="A2645" s="2" t="s">
        <v>2667</v>
      </c>
      <c r="B2645" s="2" t="s">
        <v>2649</v>
      </c>
      <c r="C2645" s="2"/>
      <c r="D2645" s="2" t="s">
        <v>11</v>
      </c>
      <c r="E2645" s="2">
        <v>10.0</v>
      </c>
      <c r="F2645" s="2" t="s">
        <v>12</v>
      </c>
      <c r="G2645" s="2"/>
      <c r="H2645" s="2"/>
      <c r="I2645" s="2"/>
    </row>
    <row r="2646">
      <c r="A2646" s="2" t="s">
        <v>2668</v>
      </c>
      <c r="B2646" s="2" t="s">
        <v>2649</v>
      </c>
      <c r="C2646" s="1"/>
      <c r="D2646" s="2"/>
      <c r="E2646" s="2"/>
      <c r="F2646" s="2"/>
      <c r="G2646" s="2"/>
      <c r="H2646" s="2"/>
      <c r="I2646" s="2"/>
    </row>
    <row r="2647">
      <c r="A2647" s="2" t="s">
        <v>2669</v>
      </c>
      <c r="B2647" s="2" t="s">
        <v>2649</v>
      </c>
      <c r="C2647" s="2"/>
      <c r="D2647" s="2" t="s">
        <v>11</v>
      </c>
      <c r="E2647" s="2">
        <v>10.0</v>
      </c>
      <c r="F2647" s="2" t="s">
        <v>12</v>
      </c>
      <c r="G2647" s="2"/>
      <c r="H2647" s="2"/>
      <c r="I2647" s="2"/>
    </row>
    <row r="2648">
      <c r="A2648" s="1" t="s">
        <v>2670</v>
      </c>
      <c r="B2648" s="2" t="s">
        <v>2649</v>
      </c>
      <c r="C2648" s="2"/>
      <c r="D2648" s="2" t="s">
        <v>11</v>
      </c>
      <c r="E2648" s="2">
        <v>10.0</v>
      </c>
      <c r="F2648" s="2" t="s">
        <v>12</v>
      </c>
      <c r="G2648" s="2"/>
      <c r="H2648" s="2"/>
      <c r="I2648" s="2"/>
    </row>
    <row r="2649">
      <c r="A2649" s="1" t="s">
        <v>2671</v>
      </c>
      <c r="B2649" s="2" t="s">
        <v>2649</v>
      </c>
      <c r="C2649" s="2"/>
      <c r="D2649" s="2" t="s">
        <v>11</v>
      </c>
      <c r="E2649" s="2">
        <v>10.0</v>
      </c>
      <c r="F2649" s="2" t="s">
        <v>12</v>
      </c>
      <c r="G2649" s="2"/>
      <c r="H2649" s="2"/>
      <c r="I2649" s="2"/>
    </row>
    <row r="2650">
      <c r="A2650" s="1" t="s">
        <v>2672</v>
      </c>
      <c r="B2650" s="2" t="s">
        <v>2649</v>
      </c>
      <c r="C2650" s="2"/>
      <c r="D2650" s="2" t="s">
        <v>11</v>
      </c>
      <c r="E2650" s="2">
        <v>10.0</v>
      </c>
      <c r="F2650" s="2" t="s">
        <v>12</v>
      </c>
      <c r="G2650" s="2"/>
      <c r="H2650" s="2"/>
      <c r="I2650" s="2"/>
    </row>
    <row r="2651">
      <c r="A2651" s="2" t="s">
        <v>2673</v>
      </c>
      <c r="B2651" s="2" t="s">
        <v>2649</v>
      </c>
      <c r="C2651" s="2"/>
      <c r="D2651" s="2" t="s">
        <v>11</v>
      </c>
      <c r="E2651" s="2">
        <v>10.0</v>
      </c>
      <c r="F2651" s="2" t="s">
        <v>12</v>
      </c>
      <c r="G2651" s="2"/>
      <c r="H2651" s="2"/>
      <c r="I2651" s="2"/>
    </row>
    <row r="2652">
      <c r="A2652" s="2" t="s">
        <v>2674</v>
      </c>
      <c r="B2652" s="2" t="s">
        <v>2649</v>
      </c>
      <c r="C2652" s="1"/>
      <c r="D2652" s="2"/>
      <c r="E2652" s="2"/>
      <c r="F2652" s="2"/>
      <c r="G2652" s="2"/>
      <c r="H2652" s="2"/>
      <c r="I2652" s="2"/>
    </row>
    <row r="2653">
      <c r="A2653" s="2" t="s">
        <v>2675</v>
      </c>
      <c r="B2653" s="2" t="s">
        <v>2649</v>
      </c>
      <c r="C2653" s="2"/>
      <c r="D2653" s="2" t="s">
        <v>11</v>
      </c>
      <c r="E2653" s="2">
        <v>10.0</v>
      </c>
      <c r="F2653" s="2" t="s">
        <v>12</v>
      </c>
      <c r="G2653" s="2"/>
      <c r="H2653" s="2"/>
      <c r="I2653" s="2"/>
    </row>
    <row r="2654">
      <c r="A2654" s="2" t="s">
        <v>2676</v>
      </c>
      <c r="B2654" s="2" t="s">
        <v>2649</v>
      </c>
      <c r="C2654" s="1"/>
      <c r="D2654" s="2"/>
      <c r="E2654" s="2"/>
      <c r="F2654" s="2"/>
      <c r="G2654" s="2"/>
      <c r="H2654" s="2"/>
      <c r="I2654" s="2"/>
    </row>
    <row r="2655">
      <c r="A2655" s="2" t="s">
        <v>2677</v>
      </c>
      <c r="B2655" s="2" t="s">
        <v>2649</v>
      </c>
      <c r="C2655" s="1"/>
      <c r="D2655" s="2"/>
      <c r="E2655" s="2"/>
      <c r="F2655" s="2"/>
      <c r="G2655" s="2"/>
      <c r="H2655" s="2"/>
      <c r="I2655" s="2"/>
    </row>
    <row r="2656">
      <c r="A2656" s="2" t="s">
        <v>2678</v>
      </c>
      <c r="B2656" s="2" t="s">
        <v>2649</v>
      </c>
      <c r="C2656" s="2"/>
      <c r="D2656" s="2" t="s">
        <v>11</v>
      </c>
      <c r="E2656" s="2">
        <v>10.0</v>
      </c>
      <c r="F2656" s="2" t="s">
        <v>12</v>
      </c>
      <c r="G2656" s="2"/>
      <c r="H2656" s="2"/>
      <c r="I2656" s="2"/>
    </row>
    <row r="2657">
      <c r="A2657" s="2" t="s">
        <v>2679</v>
      </c>
      <c r="B2657" s="2" t="s">
        <v>2649</v>
      </c>
      <c r="C2657" s="2"/>
      <c r="D2657" s="2" t="s">
        <v>11</v>
      </c>
      <c r="E2657" s="2">
        <v>10.0</v>
      </c>
      <c r="F2657" s="2" t="s">
        <v>12</v>
      </c>
      <c r="G2657" s="2"/>
      <c r="H2657" s="2"/>
      <c r="I2657" s="2"/>
    </row>
    <row r="2658">
      <c r="A2658" s="1" t="s">
        <v>2680</v>
      </c>
      <c r="B2658" s="2" t="s">
        <v>2649</v>
      </c>
      <c r="C2658" s="1"/>
      <c r="D2658" s="2"/>
      <c r="E2658" s="2"/>
      <c r="F2658" s="2"/>
      <c r="G2658" s="2"/>
      <c r="H2658" s="2"/>
      <c r="I2658" s="2"/>
    </row>
    <row r="2659">
      <c r="A2659" s="1" t="s">
        <v>2681</v>
      </c>
      <c r="B2659" s="2" t="s">
        <v>2649</v>
      </c>
      <c r="C2659" s="2"/>
      <c r="D2659" s="2" t="s">
        <v>11</v>
      </c>
      <c r="E2659" s="2">
        <v>10.0</v>
      </c>
      <c r="F2659" s="2" t="s">
        <v>12</v>
      </c>
      <c r="G2659" s="2"/>
      <c r="H2659" s="2"/>
      <c r="I2659" s="2"/>
    </row>
    <row r="2660">
      <c r="A2660" s="1" t="s">
        <v>2682</v>
      </c>
      <c r="B2660" s="2" t="s">
        <v>2649</v>
      </c>
      <c r="C2660" s="2"/>
      <c r="D2660" s="2" t="s">
        <v>11</v>
      </c>
      <c r="E2660" s="2">
        <v>10.0</v>
      </c>
      <c r="F2660" s="2" t="s">
        <v>12</v>
      </c>
      <c r="G2660" s="2"/>
      <c r="H2660" s="2"/>
      <c r="I2660" s="2"/>
    </row>
    <row r="2661">
      <c r="A2661" s="1" t="s">
        <v>2683</v>
      </c>
      <c r="B2661" s="2" t="s">
        <v>2649</v>
      </c>
      <c r="C2661" s="1"/>
      <c r="D2661" s="2"/>
      <c r="E2661" s="2"/>
      <c r="F2661" s="2"/>
      <c r="G2661" s="2"/>
      <c r="H2661" s="2"/>
      <c r="I2661" s="2"/>
    </row>
    <row r="2662">
      <c r="A2662" s="2" t="s">
        <v>2684</v>
      </c>
      <c r="B2662" s="2" t="s">
        <v>2649</v>
      </c>
      <c r="C2662" s="1"/>
      <c r="D2662" s="2"/>
      <c r="E2662" s="2"/>
      <c r="F2662" s="2"/>
      <c r="G2662" s="2"/>
      <c r="H2662" s="2"/>
      <c r="I2662" s="2"/>
    </row>
    <row r="2663">
      <c r="A2663" s="2" t="s">
        <v>2685</v>
      </c>
      <c r="B2663" s="2" t="s">
        <v>2649</v>
      </c>
      <c r="C2663" s="2"/>
      <c r="D2663" s="2" t="s">
        <v>11</v>
      </c>
      <c r="E2663" s="2">
        <v>10.0</v>
      </c>
      <c r="F2663" s="2" t="s">
        <v>12</v>
      </c>
      <c r="G2663" s="2"/>
      <c r="H2663" s="2"/>
      <c r="I2663" s="2"/>
    </row>
    <row r="2664">
      <c r="A2664" s="2" t="s">
        <v>2686</v>
      </c>
      <c r="B2664" s="2" t="s">
        <v>2649</v>
      </c>
      <c r="C2664" s="1"/>
      <c r="D2664" s="2"/>
      <c r="E2664" s="2"/>
      <c r="F2664" s="2"/>
      <c r="G2664" s="2"/>
      <c r="H2664" s="2"/>
      <c r="I2664" s="2"/>
    </row>
    <row r="2665">
      <c r="A2665" s="2" t="s">
        <v>2687</v>
      </c>
      <c r="B2665" s="2" t="s">
        <v>2649</v>
      </c>
      <c r="C2665" s="2"/>
      <c r="D2665" s="2" t="s">
        <v>11</v>
      </c>
      <c r="E2665" s="2">
        <v>10.0</v>
      </c>
      <c r="F2665" s="2" t="s">
        <v>12</v>
      </c>
      <c r="G2665" s="2"/>
      <c r="H2665" s="2"/>
      <c r="I2665" s="2"/>
    </row>
    <row r="2666">
      <c r="A2666" s="1" t="s">
        <v>2688</v>
      </c>
      <c r="B2666" s="2" t="s">
        <v>2649</v>
      </c>
      <c r="C2666" s="1"/>
      <c r="D2666" s="2"/>
      <c r="E2666" s="2"/>
      <c r="F2666" s="2"/>
      <c r="G2666" s="2"/>
      <c r="H2666" s="2"/>
      <c r="I2666" s="2"/>
    </row>
    <row r="2667">
      <c r="A2667" s="1" t="s">
        <v>2689</v>
      </c>
      <c r="B2667" s="2" t="s">
        <v>2649</v>
      </c>
      <c r="C2667" s="1"/>
      <c r="D2667" s="2"/>
      <c r="E2667" s="2"/>
      <c r="F2667" s="2"/>
      <c r="G2667" s="2"/>
      <c r="H2667" s="2"/>
      <c r="I2667" s="2"/>
    </row>
    <row r="2668">
      <c r="A2668" s="1" t="s">
        <v>2690</v>
      </c>
      <c r="B2668" s="2" t="s">
        <v>2649</v>
      </c>
      <c r="C2668" s="1"/>
      <c r="D2668" s="2"/>
      <c r="E2668" s="2"/>
      <c r="F2668" s="2"/>
      <c r="G2668" s="2"/>
      <c r="H2668" s="2"/>
      <c r="I2668" s="2"/>
    </row>
    <row r="2669">
      <c r="A2669" s="1" t="s">
        <v>2691</v>
      </c>
      <c r="B2669" s="2" t="s">
        <v>2649</v>
      </c>
      <c r="C2669" s="2"/>
      <c r="D2669" s="2" t="s">
        <v>11</v>
      </c>
      <c r="E2669" s="2">
        <v>10.0</v>
      </c>
      <c r="F2669" s="2" t="s">
        <v>12</v>
      </c>
      <c r="G2669" s="2"/>
      <c r="H2669" s="2"/>
      <c r="I2669" s="2"/>
    </row>
    <row r="2670">
      <c r="A2670" s="1" t="s">
        <v>2692</v>
      </c>
      <c r="B2670" s="2" t="s">
        <v>2649</v>
      </c>
      <c r="C2670" s="2"/>
      <c r="D2670" s="2" t="s">
        <v>11</v>
      </c>
      <c r="E2670" s="2">
        <v>10.0</v>
      </c>
      <c r="F2670" s="2" t="s">
        <v>12</v>
      </c>
      <c r="G2670" s="2"/>
      <c r="H2670" s="2"/>
      <c r="I2670" s="2"/>
    </row>
    <row r="2671">
      <c r="A2671" s="2" t="s">
        <v>2693</v>
      </c>
      <c r="B2671" s="2" t="s">
        <v>2649</v>
      </c>
      <c r="C2671" s="2"/>
      <c r="D2671" s="2" t="s">
        <v>11</v>
      </c>
      <c r="E2671" s="2">
        <v>10.0</v>
      </c>
      <c r="F2671" s="2" t="s">
        <v>12</v>
      </c>
      <c r="G2671" s="2"/>
      <c r="H2671" s="2"/>
      <c r="I2671" s="2"/>
    </row>
    <row r="2672">
      <c r="A2672" s="2" t="s">
        <v>2694</v>
      </c>
      <c r="B2672" s="2" t="s">
        <v>2649</v>
      </c>
      <c r="C2672" s="1"/>
      <c r="D2672" s="2"/>
      <c r="E2672" s="2"/>
      <c r="F2672" s="2"/>
      <c r="G2672" s="2"/>
      <c r="H2672" s="2"/>
      <c r="I2672" s="2"/>
    </row>
    <row r="2673">
      <c r="A2673" s="2" t="s">
        <v>2695</v>
      </c>
      <c r="B2673" s="2" t="s">
        <v>2649</v>
      </c>
      <c r="C2673" s="2"/>
      <c r="D2673" s="2" t="s">
        <v>11</v>
      </c>
      <c r="E2673" s="2">
        <v>10.0</v>
      </c>
      <c r="F2673" s="2" t="s">
        <v>12</v>
      </c>
      <c r="G2673" s="2"/>
      <c r="H2673" s="2"/>
      <c r="I2673" s="2"/>
    </row>
    <row r="2674">
      <c r="A2674" s="1" t="s">
        <v>2696</v>
      </c>
      <c r="B2674" s="2" t="s">
        <v>2649</v>
      </c>
      <c r="C2674" s="2"/>
      <c r="D2674" s="2" t="s">
        <v>11</v>
      </c>
      <c r="E2674" s="2">
        <v>10.0</v>
      </c>
      <c r="F2674" s="2" t="s">
        <v>12</v>
      </c>
      <c r="G2674" s="2"/>
      <c r="H2674" s="2"/>
      <c r="I2674" s="2"/>
    </row>
    <row r="2675">
      <c r="A2675" s="1" t="s">
        <v>2697</v>
      </c>
      <c r="B2675" s="2" t="s">
        <v>2649</v>
      </c>
      <c r="C2675" s="2"/>
      <c r="D2675" s="2" t="s">
        <v>11</v>
      </c>
      <c r="E2675" s="2">
        <v>10.0</v>
      </c>
      <c r="F2675" s="2" t="s">
        <v>12</v>
      </c>
      <c r="G2675" s="2"/>
      <c r="H2675" s="2"/>
      <c r="I2675" s="2"/>
    </row>
    <row r="2676">
      <c r="A2676" s="1" t="s">
        <v>2698</v>
      </c>
      <c r="B2676" s="2" t="s">
        <v>2649</v>
      </c>
      <c r="C2676" s="2"/>
      <c r="D2676" s="2" t="s">
        <v>11</v>
      </c>
      <c r="E2676" s="2">
        <v>10.0</v>
      </c>
      <c r="F2676" s="2" t="s">
        <v>12</v>
      </c>
      <c r="G2676" s="2"/>
      <c r="H2676" s="2"/>
      <c r="I2676" s="2"/>
    </row>
    <row r="2677">
      <c r="A2677" s="2" t="s">
        <v>2699</v>
      </c>
      <c r="B2677" s="2" t="s">
        <v>2649</v>
      </c>
      <c r="C2677" s="2"/>
      <c r="D2677" s="2" t="s">
        <v>11</v>
      </c>
      <c r="E2677" s="2">
        <v>10.0</v>
      </c>
      <c r="F2677" s="2" t="s">
        <v>12</v>
      </c>
      <c r="G2677" s="2"/>
      <c r="H2677" s="2"/>
      <c r="I2677" s="2"/>
    </row>
    <row r="2678">
      <c r="A2678" s="2" t="s">
        <v>2700</v>
      </c>
      <c r="B2678" s="2" t="s">
        <v>2649</v>
      </c>
      <c r="C2678" s="2"/>
      <c r="D2678" s="2" t="s">
        <v>11</v>
      </c>
      <c r="E2678" s="2">
        <v>10.0</v>
      </c>
      <c r="F2678" s="2" t="s">
        <v>12</v>
      </c>
      <c r="G2678" s="2"/>
      <c r="H2678" s="2"/>
      <c r="I2678" s="2"/>
    </row>
    <row r="2679">
      <c r="A2679" s="2" t="s">
        <v>2701</v>
      </c>
      <c r="B2679" s="2" t="s">
        <v>2649</v>
      </c>
      <c r="C2679" s="1"/>
      <c r="D2679" s="2"/>
      <c r="E2679" s="2"/>
      <c r="F2679" s="2"/>
      <c r="G2679" s="2"/>
      <c r="H2679" s="2"/>
      <c r="I2679" s="2"/>
    </row>
    <row r="2680">
      <c r="A2680" s="1" t="s">
        <v>2702</v>
      </c>
      <c r="B2680" s="2" t="s">
        <v>2703</v>
      </c>
      <c r="C2680" s="2"/>
      <c r="D2680" s="2" t="s">
        <v>11</v>
      </c>
      <c r="E2680" s="2">
        <v>10.0</v>
      </c>
      <c r="F2680" s="2" t="s">
        <v>12</v>
      </c>
      <c r="G2680" s="2"/>
      <c r="H2680" s="2"/>
      <c r="I2680" s="2"/>
    </row>
    <row r="2681">
      <c r="A2681" s="1" t="s">
        <v>2704</v>
      </c>
      <c r="B2681" s="2" t="s">
        <v>2703</v>
      </c>
      <c r="C2681" s="2"/>
      <c r="D2681" s="2" t="s">
        <v>11</v>
      </c>
      <c r="E2681" s="2">
        <v>10.0</v>
      </c>
      <c r="F2681" s="2" t="s">
        <v>12</v>
      </c>
      <c r="G2681" s="2"/>
      <c r="H2681" s="2"/>
      <c r="I2681" s="2"/>
    </row>
    <row r="2682">
      <c r="A2682" s="1" t="s">
        <v>2705</v>
      </c>
      <c r="B2682" s="2" t="s">
        <v>2703</v>
      </c>
      <c r="C2682" s="2"/>
      <c r="D2682" s="2" t="s">
        <v>11</v>
      </c>
      <c r="E2682" s="2">
        <v>10.0</v>
      </c>
      <c r="F2682" s="2" t="s">
        <v>12</v>
      </c>
      <c r="G2682" s="2"/>
      <c r="H2682" s="2"/>
      <c r="I2682" s="2"/>
    </row>
    <row r="2683">
      <c r="A2683" s="1" t="s">
        <v>2706</v>
      </c>
      <c r="B2683" s="2" t="s">
        <v>2703</v>
      </c>
      <c r="C2683" s="2"/>
      <c r="D2683" s="2" t="s">
        <v>11</v>
      </c>
      <c r="E2683" s="2">
        <v>10.0</v>
      </c>
      <c r="F2683" s="2" t="s">
        <v>12</v>
      </c>
      <c r="G2683" s="2"/>
      <c r="H2683" s="2"/>
      <c r="I2683" s="2"/>
    </row>
    <row r="2684">
      <c r="A2684" s="2" t="s">
        <v>2707</v>
      </c>
      <c r="B2684" s="2" t="s">
        <v>2703</v>
      </c>
      <c r="C2684" s="2"/>
      <c r="D2684" s="2" t="s">
        <v>11</v>
      </c>
      <c r="E2684" s="2">
        <v>10.0</v>
      </c>
      <c r="F2684" s="2" t="s">
        <v>12</v>
      </c>
      <c r="G2684" s="2"/>
      <c r="H2684" s="2"/>
      <c r="I2684" s="2"/>
    </row>
    <row r="2685">
      <c r="A2685" s="1" t="s">
        <v>2708</v>
      </c>
      <c r="B2685" s="2" t="s">
        <v>2703</v>
      </c>
      <c r="C2685" s="2"/>
      <c r="D2685" s="2" t="s">
        <v>11</v>
      </c>
      <c r="E2685" s="2">
        <v>10.0</v>
      </c>
      <c r="F2685" s="2" t="s">
        <v>12</v>
      </c>
      <c r="G2685" s="2"/>
      <c r="H2685" s="2"/>
      <c r="I2685" s="2"/>
    </row>
    <row r="2686">
      <c r="A2686" s="1" t="s">
        <v>2709</v>
      </c>
      <c r="B2686" s="2" t="s">
        <v>2703</v>
      </c>
      <c r="C2686" s="2"/>
      <c r="D2686" s="2" t="s">
        <v>11</v>
      </c>
      <c r="E2686" s="2">
        <v>10.0</v>
      </c>
      <c r="F2686" s="2" t="s">
        <v>12</v>
      </c>
      <c r="G2686" s="2"/>
      <c r="H2686" s="2"/>
      <c r="I2686" s="2"/>
    </row>
    <row r="2687">
      <c r="A2687" s="1" t="s">
        <v>2710</v>
      </c>
      <c r="B2687" s="2" t="s">
        <v>2703</v>
      </c>
      <c r="C2687" s="2"/>
      <c r="D2687" s="2" t="s">
        <v>11</v>
      </c>
      <c r="E2687" s="2">
        <v>10.0</v>
      </c>
      <c r="F2687" s="2" t="s">
        <v>12</v>
      </c>
      <c r="G2687" s="2"/>
      <c r="H2687" s="2"/>
      <c r="I2687" s="2"/>
    </row>
    <row r="2688">
      <c r="A2688" s="2" t="s">
        <v>2711</v>
      </c>
      <c r="B2688" s="2" t="s">
        <v>2703</v>
      </c>
      <c r="C2688" s="2"/>
      <c r="D2688" s="1" t="s">
        <v>11</v>
      </c>
      <c r="E2688" s="2">
        <v>4.0</v>
      </c>
      <c r="F2688" s="2" t="s">
        <v>12</v>
      </c>
      <c r="G2688" s="2"/>
      <c r="H2688" s="2"/>
      <c r="I2688" s="2"/>
    </row>
    <row r="2689">
      <c r="A2689" s="1" t="s">
        <v>2712</v>
      </c>
      <c r="B2689" s="2" t="s">
        <v>2703</v>
      </c>
      <c r="C2689" s="2"/>
      <c r="D2689" s="2" t="s">
        <v>11</v>
      </c>
      <c r="E2689" s="2">
        <v>10.0</v>
      </c>
      <c r="F2689" s="2" t="s">
        <v>12</v>
      </c>
      <c r="G2689" s="2"/>
      <c r="H2689" s="2"/>
      <c r="I2689" s="2"/>
    </row>
    <row r="2690">
      <c r="A2690" s="1" t="s">
        <v>2713</v>
      </c>
      <c r="B2690" s="2" t="s">
        <v>2703</v>
      </c>
      <c r="C2690" s="2"/>
      <c r="D2690" s="2" t="s">
        <v>11</v>
      </c>
      <c r="E2690" s="2">
        <v>10.0</v>
      </c>
      <c r="F2690" s="2" t="s">
        <v>12</v>
      </c>
      <c r="G2690" s="2"/>
      <c r="H2690" s="2"/>
      <c r="I2690" s="2"/>
    </row>
    <row r="2691">
      <c r="A2691" s="1" t="s">
        <v>2714</v>
      </c>
      <c r="B2691" s="2" t="s">
        <v>2703</v>
      </c>
      <c r="C2691" s="2"/>
      <c r="D2691" s="2" t="s">
        <v>11</v>
      </c>
      <c r="E2691" s="2">
        <v>10.0</v>
      </c>
      <c r="F2691" s="2" t="s">
        <v>12</v>
      </c>
      <c r="G2691" s="2"/>
      <c r="H2691" s="2"/>
      <c r="I2691" s="2"/>
    </row>
    <row r="2692">
      <c r="A2692" s="2" t="s">
        <v>2715</v>
      </c>
      <c r="B2692" s="2" t="s">
        <v>2703</v>
      </c>
      <c r="C2692" s="2"/>
      <c r="D2692" s="2" t="s">
        <v>11</v>
      </c>
      <c r="E2692" s="2">
        <v>10.0</v>
      </c>
      <c r="F2692" s="2" t="s">
        <v>12</v>
      </c>
      <c r="G2692" s="2"/>
      <c r="H2692" s="2"/>
      <c r="I2692" s="2"/>
    </row>
    <row r="2693">
      <c r="A2693" s="2" t="s">
        <v>2716</v>
      </c>
      <c r="B2693" s="2" t="s">
        <v>2703</v>
      </c>
      <c r="C2693" s="2"/>
      <c r="D2693" s="2" t="s">
        <v>11</v>
      </c>
      <c r="E2693" s="2">
        <v>10.0</v>
      </c>
      <c r="F2693" s="2" t="s">
        <v>12</v>
      </c>
      <c r="G2693" s="2"/>
      <c r="H2693" s="2"/>
      <c r="I2693" s="2"/>
    </row>
    <row r="2694">
      <c r="A2694" s="1" t="s">
        <v>2717</v>
      </c>
      <c r="B2694" s="2" t="s">
        <v>2703</v>
      </c>
      <c r="C2694" s="2"/>
      <c r="D2694" s="2" t="s">
        <v>11</v>
      </c>
      <c r="E2694" s="2">
        <v>10.0</v>
      </c>
      <c r="F2694" s="2" t="s">
        <v>12</v>
      </c>
      <c r="G2694" s="2"/>
      <c r="H2694" s="2"/>
      <c r="I2694" s="2"/>
    </row>
    <row r="2695">
      <c r="A2695" s="2" t="s">
        <v>2718</v>
      </c>
      <c r="B2695" s="2" t="s">
        <v>2703</v>
      </c>
      <c r="C2695" s="2"/>
      <c r="D2695" s="2" t="s">
        <v>11</v>
      </c>
      <c r="E2695" s="2">
        <v>10.0</v>
      </c>
      <c r="F2695" s="2" t="s">
        <v>12</v>
      </c>
      <c r="G2695" s="2"/>
      <c r="H2695" s="2"/>
      <c r="I2695" s="2"/>
    </row>
    <row r="2696">
      <c r="A2696" s="2" t="s">
        <v>2719</v>
      </c>
      <c r="B2696" s="2" t="s">
        <v>2703</v>
      </c>
      <c r="C2696" s="2"/>
      <c r="D2696" s="2" t="s">
        <v>11</v>
      </c>
      <c r="E2696" s="2">
        <v>10.0</v>
      </c>
      <c r="F2696" s="2" t="s">
        <v>12</v>
      </c>
      <c r="G2696" s="2"/>
      <c r="H2696" s="2"/>
      <c r="I2696" s="2"/>
    </row>
    <row r="2697">
      <c r="A2697" s="2" t="s">
        <v>2720</v>
      </c>
      <c r="B2697" s="2" t="s">
        <v>2703</v>
      </c>
      <c r="C2697" s="2"/>
      <c r="D2697" s="2" t="s">
        <v>11</v>
      </c>
      <c r="E2697" s="2">
        <v>10.0</v>
      </c>
      <c r="F2697" s="2" t="s">
        <v>12</v>
      </c>
      <c r="G2697" s="2"/>
      <c r="H2697" s="2"/>
      <c r="I2697" s="2"/>
    </row>
    <row r="2698">
      <c r="A2698" s="2" t="s">
        <v>2721</v>
      </c>
      <c r="B2698" s="2" t="s">
        <v>2703</v>
      </c>
      <c r="C2698" s="2"/>
      <c r="D2698" s="2" t="s">
        <v>11</v>
      </c>
      <c r="E2698" s="2">
        <v>10.0</v>
      </c>
      <c r="F2698" s="2" t="s">
        <v>12</v>
      </c>
      <c r="G2698" s="2"/>
      <c r="H2698" s="2"/>
      <c r="I2698" s="2"/>
    </row>
    <row r="2699">
      <c r="A2699" s="2" t="s">
        <v>2722</v>
      </c>
      <c r="B2699" s="2" t="s">
        <v>2703</v>
      </c>
      <c r="C2699" s="2"/>
      <c r="D2699" s="2" t="s">
        <v>11</v>
      </c>
      <c r="E2699" s="2">
        <v>10.0</v>
      </c>
      <c r="F2699" s="2" t="s">
        <v>12</v>
      </c>
      <c r="G2699" s="2"/>
      <c r="H2699" s="2"/>
      <c r="I2699" s="2"/>
    </row>
    <row r="2700">
      <c r="A2700" s="2" t="s">
        <v>2723</v>
      </c>
      <c r="B2700" s="2" t="s">
        <v>2703</v>
      </c>
      <c r="C2700" s="2"/>
      <c r="D2700" s="2" t="s">
        <v>11</v>
      </c>
      <c r="E2700" s="2">
        <v>10.0</v>
      </c>
      <c r="F2700" s="2" t="s">
        <v>12</v>
      </c>
      <c r="G2700" s="2"/>
      <c r="H2700" s="2"/>
      <c r="I2700" s="2"/>
    </row>
    <row r="2701">
      <c r="A2701" s="2" t="s">
        <v>2724</v>
      </c>
      <c r="B2701" s="2" t="s">
        <v>2703</v>
      </c>
      <c r="C2701" s="2"/>
      <c r="D2701" s="2" t="s">
        <v>37</v>
      </c>
      <c r="E2701" s="2">
        <v>10.0</v>
      </c>
      <c r="F2701" s="2" t="s">
        <v>12</v>
      </c>
      <c r="G2701" s="2"/>
      <c r="H2701" s="2"/>
      <c r="I2701" s="2"/>
    </row>
    <row r="2702">
      <c r="A2702" s="2" t="s">
        <v>2725</v>
      </c>
      <c r="B2702" s="2" t="s">
        <v>2703</v>
      </c>
      <c r="C2702" s="2"/>
      <c r="D2702" s="2" t="s">
        <v>11</v>
      </c>
      <c r="E2702" s="2">
        <v>10.0</v>
      </c>
      <c r="F2702" s="2" t="s">
        <v>12</v>
      </c>
      <c r="G2702" s="2"/>
      <c r="H2702" s="2"/>
      <c r="I2702" s="2"/>
    </row>
    <row r="2703">
      <c r="A2703" s="1" t="s">
        <v>2726</v>
      </c>
      <c r="B2703" s="2" t="s">
        <v>2703</v>
      </c>
      <c r="C2703" s="2"/>
      <c r="D2703" s="2" t="s">
        <v>11</v>
      </c>
      <c r="E2703" s="2">
        <v>10.0</v>
      </c>
      <c r="F2703" s="2" t="s">
        <v>12</v>
      </c>
      <c r="G2703" s="2"/>
      <c r="H2703" s="2"/>
      <c r="I2703" s="2"/>
    </row>
    <row r="2704">
      <c r="A2704" s="1" t="s">
        <v>2727</v>
      </c>
      <c r="B2704" s="2" t="s">
        <v>2703</v>
      </c>
      <c r="C2704" s="2"/>
      <c r="D2704" s="2" t="s">
        <v>11</v>
      </c>
      <c r="E2704" s="2">
        <v>10.0</v>
      </c>
      <c r="F2704" s="2" t="s">
        <v>12</v>
      </c>
      <c r="G2704" s="2"/>
      <c r="H2704" s="2"/>
      <c r="I2704" s="2"/>
    </row>
    <row r="2705">
      <c r="A2705" s="2" t="s">
        <v>2728</v>
      </c>
      <c r="B2705" s="2" t="s">
        <v>2703</v>
      </c>
      <c r="C2705" s="2"/>
      <c r="D2705" s="2" t="s">
        <v>11</v>
      </c>
      <c r="E2705" s="2">
        <v>10.0</v>
      </c>
      <c r="F2705" s="2" t="s">
        <v>12</v>
      </c>
      <c r="G2705" s="2"/>
      <c r="H2705" s="2"/>
      <c r="I2705" s="2"/>
    </row>
    <row r="2706">
      <c r="A2706" s="2" t="s">
        <v>2729</v>
      </c>
      <c r="B2706" s="2" t="s">
        <v>2703</v>
      </c>
      <c r="C2706" s="2"/>
      <c r="D2706" s="2" t="s">
        <v>11</v>
      </c>
      <c r="E2706" s="2">
        <v>10.0</v>
      </c>
      <c r="F2706" s="2" t="s">
        <v>12</v>
      </c>
      <c r="G2706" s="2"/>
      <c r="H2706" s="2"/>
      <c r="I2706" s="2"/>
    </row>
    <row r="2707">
      <c r="A2707" s="2" t="s">
        <v>2730</v>
      </c>
      <c r="B2707" s="2" t="s">
        <v>2703</v>
      </c>
      <c r="C2707" s="1"/>
      <c r="D2707" s="2"/>
      <c r="E2707" s="2"/>
      <c r="F2707" s="2"/>
      <c r="G2707" s="2"/>
      <c r="H2707" s="2"/>
      <c r="I2707" s="2"/>
    </row>
    <row r="2708">
      <c r="A2708" s="2" t="s">
        <v>2731</v>
      </c>
      <c r="B2708" s="2" t="s">
        <v>2703</v>
      </c>
      <c r="C2708" s="1"/>
      <c r="D2708" s="2"/>
      <c r="E2708" s="2"/>
      <c r="F2708" s="2"/>
      <c r="G2708" s="2"/>
      <c r="H2708" s="2"/>
      <c r="I2708" s="2"/>
    </row>
    <row r="2709">
      <c r="A2709" s="1" t="s">
        <v>2732</v>
      </c>
      <c r="B2709" s="2" t="s">
        <v>2733</v>
      </c>
      <c r="C2709" s="2"/>
      <c r="D2709" s="2" t="s">
        <v>11</v>
      </c>
      <c r="E2709" s="2">
        <v>21.0</v>
      </c>
      <c r="F2709" s="2" t="s">
        <v>12</v>
      </c>
      <c r="G2709" s="2"/>
      <c r="H2709" s="2"/>
      <c r="I2709" s="2"/>
    </row>
    <row r="2710">
      <c r="A2710" s="1" t="s">
        <v>2734</v>
      </c>
      <c r="B2710" s="2" t="s">
        <v>2733</v>
      </c>
      <c r="C2710" s="2"/>
      <c r="D2710" s="2" t="s">
        <v>11</v>
      </c>
      <c r="E2710" s="2">
        <v>10.0</v>
      </c>
      <c r="F2710" s="2" t="s">
        <v>12</v>
      </c>
      <c r="G2710" s="2"/>
      <c r="H2710" s="2"/>
      <c r="I2710" s="2"/>
    </row>
    <row r="2711">
      <c r="A2711" s="2" t="s">
        <v>2735</v>
      </c>
      <c r="B2711" s="2" t="s">
        <v>2733</v>
      </c>
      <c r="C2711" s="2"/>
      <c r="D2711" s="2" t="s">
        <v>11</v>
      </c>
      <c r="E2711" s="2">
        <v>14.0</v>
      </c>
      <c r="F2711" s="2" t="s">
        <v>12</v>
      </c>
      <c r="G2711" s="2"/>
      <c r="H2711" s="2"/>
      <c r="I2711" s="2"/>
    </row>
    <row r="2712">
      <c r="A2712" s="2" t="s">
        <v>2736</v>
      </c>
      <c r="B2712" s="2" t="s">
        <v>2733</v>
      </c>
      <c r="C2712" s="2"/>
      <c r="D2712" s="2" t="s">
        <v>11</v>
      </c>
      <c r="E2712" s="2">
        <v>10.0</v>
      </c>
      <c r="F2712" s="2" t="s">
        <v>12</v>
      </c>
      <c r="G2712" s="2"/>
      <c r="H2712" s="2"/>
      <c r="I2712" s="2"/>
    </row>
    <row r="2713">
      <c r="A2713" s="2" t="s">
        <v>2737</v>
      </c>
      <c r="B2713" s="2" t="s">
        <v>2733</v>
      </c>
      <c r="C2713" s="1"/>
      <c r="D2713" s="2"/>
      <c r="E2713" s="2"/>
      <c r="F2713" s="2"/>
      <c r="G2713" s="2"/>
      <c r="H2713" s="2"/>
      <c r="I2713" s="2"/>
    </row>
    <row r="2714">
      <c r="A2714" s="2" t="s">
        <v>2738</v>
      </c>
      <c r="B2714" s="2" t="s">
        <v>2733</v>
      </c>
      <c r="C2714" s="2"/>
      <c r="D2714" s="2" t="s">
        <v>11</v>
      </c>
      <c r="E2714" s="2">
        <v>10.0</v>
      </c>
      <c r="F2714" s="2" t="s">
        <v>12</v>
      </c>
      <c r="G2714" s="2"/>
      <c r="H2714" s="2"/>
      <c r="I2714" s="2"/>
    </row>
    <row r="2715">
      <c r="A2715" s="2" t="s">
        <v>2739</v>
      </c>
      <c r="B2715" s="2" t="s">
        <v>2740</v>
      </c>
      <c r="C2715" s="2"/>
      <c r="D2715" s="2" t="s">
        <v>11</v>
      </c>
      <c r="E2715" s="2">
        <v>10.0</v>
      </c>
      <c r="F2715" s="2" t="s">
        <v>12</v>
      </c>
      <c r="G2715" s="2"/>
      <c r="H2715" s="2"/>
      <c r="I2715" s="2"/>
    </row>
    <row r="2716">
      <c r="A2716" s="2" t="s">
        <v>2741</v>
      </c>
      <c r="B2716" s="2" t="s">
        <v>2740</v>
      </c>
      <c r="C2716" s="2"/>
      <c r="D2716" s="2" t="s">
        <v>11</v>
      </c>
      <c r="E2716" s="2">
        <v>10.0</v>
      </c>
      <c r="F2716" s="2" t="s">
        <v>12</v>
      </c>
      <c r="G2716" s="2"/>
      <c r="H2716" s="2"/>
      <c r="I2716" s="2"/>
    </row>
    <row r="2717">
      <c r="A2717" s="2" t="s">
        <v>2742</v>
      </c>
      <c r="B2717" s="2" t="s">
        <v>2740</v>
      </c>
      <c r="C2717" s="1"/>
      <c r="D2717" s="2"/>
      <c r="E2717" s="2"/>
      <c r="F2717" s="2"/>
      <c r="G2717" s="2"/>
      <c r="H2717" s="2"/>
      <c r="I2717" s="2"/>
    </row>
    <row r="2718">
      <c r="A2718" s="2" t="s">
        <v>2743</v>
      </c>
      <c r="B2718" s="2" t="s">
        <v>2740</v>
      </c>
      <c r="C2718" s="1"/>
      <c r="D2718" s="2"/>
      <c r="E2718" s="2"/>
      <c r="F2718" s="2"/>
      <c r="G2718" s="2"/>
      <c r="H2718" s="2"/>
      <c r="I2718" s="2"/>
    </row>
    <row r="2719">
      <c r="A2719" s="2" t="s">
        <v>2744</v>
      </c>
      <c r="B2719" s="2" t="s">
        <v>2740</v>
      </c>
      <c r="C2719" s="1"/>
      <c r="D2719" s="2"/>
      <c r="E2719" s="2"/>
      <c r="F2719" s="2"/>
      <c r="G2719" s="2"/>
      <c r="H2719" s="2"/>
      <c r="I2719" s="2"/>
    </row>
    <row r="2720">
      <c r="A2720" s="2" t="s">
        <v>2745</v>
      </c>
      <c r="B2720" s="2" t="s">
        <v>2740</v>
      </c>
      <c r="C2720" s="1"/>
      <c r="D2720" s="2"/>
      <c r="E2720" s="2"/>
      <c r="F2720" s="2"/>
      <c r="G2720" s="2"/>
      <c r="H2720" s="2"/>
      <c r="I2720" s="2"/>
    </row>
    <row r="2721">
      <c r="A2721" s="2" t="s">
        <v>2746</v>
      </c>
      <c r="B2721" s="2" t="s">
        <v>2740</v>
      </c>
      <c r="C2721" s="1"/>
      <c r="D2721" s="2"/>
      <c r="E2721" s="2"/>
      <c r="F2721" s="2"/>
      <c r="G2721" s="2"/>
      <c r="H2721" s="2"/>
      <c r="I2721" s="2"/>
    </row>
    <row r="2722">
      <c r="A2722" s="2" t="s">
        <v>2747</v>
      </c>
      <c r="B2722" s="2" t="s">
        <v>2740</v>
      </c>
      <c r="C2722" s="2"/>
      <c r="D2722" s="2" t="s">
        <v>11</v>
      </c>
      <c r="E2722" s="2">
        <v>10.0</v>
      </c>
      <c r="F2722" s="2" t="s">
        <v>12</v>
      </c>
      <c r="G2722" s="2"/>
      <c r="H2722" s="2"/>
      <c r="I2722" s="2"/>
    </row>
    <row r="2723">
      <c r="A2723" s="2" t="s">
        <v>2748</v>
      </c>
      <c r="B2723" s="2" t="s">
        <v>2740</v>
      </c>
      <c r="C2723" s="2"/>
      <c r="D2723" s="2" t="s">
        <v>11</v>
      </c>
      <c r="E2723" s="2">
        <v>20.0</v>
      </c>
      <c r="F2723" s="2" t="s">
        <v>12</v>
      </c>
      <c r="G2723" s="2"/>
      <c r="H2723" s="2"/>
      <c r="I2723" s="2"/>
    </row>
    <row r="2724">
      <c r="A2724" s="1" t="s">
        <v>2749</v>
      </c>
      <c r="B2724" s="2" t="s">
        <v>2740</v>
      </c>
      <c r="C2724" s="2"/>
      <c r="D2724" s="2" t="s">
        <v>37</v>
      </c>
      <c r="E2724" s="2">
        <v>10.0</v>
      </c>
      <c r="F2724" s="2" t="s">
        <v>12</v>
      </c>
      <c r="G2724" s="2"/>
      <c r="H2724" s="2"/>
      <c r="I2724" s="2"/>
    </row>
    <row r="2725">
      <c r="A2725" s="1" t="s">
        <v>2750</v>
      </c>
      <c r="B2725" s="2" t="s">
        <v>2740</v>
      </c>
      <c r="C2725" s="2"/>
      <c r="D2725" s="2" t="s">
        <v>37</v>
      </c>
      <c r="E2725" s="2">
        <v>10.0</v>
      </c>
      <c r="F2725" s="2" t="s">
        <v>12</v>
      </c>
      <c r="G2725" s="2"/>
      <c r="H2725" s="2"/>
      <c r="I2725" s="2"/>
    </row>
    <row r="2726">
      <c r="A2726" s="2" t="s">
        <v>2751</v>
      </c>
      <c r="B2726" s="2" t="s">
        <v>2740</v>
      </c>
      <c r="C2726" s="2"/>
      <c r="D2726" s="2" t="s">
        <v>37</v>
      </c>
      <c r="E2726" s="2">
        <v>10.0</v>
      </c>
      <c r="F2726" s="2" t="s">
        <v>12</v>
      </c>
      <c r="G2726" s="2"/>
      <c r="H2726" s="2"/>
      <c r="I2726" s="2"/>
    </row>
    <row r="2727">
      <c r="A2727" s="2" t="s">
        <v>2752</v>
      </c>
      <c r="B2727" s="2" t="s">
        <v>2740</v>
      </c>
      <c r="C2727" s="1"/>
      <c r="D2727" s="2"/>
      <c r="E2727" s="2"/>
      <c r="F2727" s="2"/>
      <c r="G2727" s="2"/>
      <c r="H2727" s="2"/>
      <c r="I2727" s="2"/>
    </row>
    <row r="2728">
      <c r="A2728" s="2" t="s">
        <v>2753</v>
      </c>
      <c r="B2728" s="2" t="s">
        <v>2740</v>
      </c>
      <c r="C2728" s="1"/>
      <c r="D2728" s="2"/>
      <c r="E2728" s="2"/>
      <c r="F2728" s="2"/>
      <c r="G2728" s="2"/>
      <c r="H2728" s="2"/>
      <c r="I2728" s="2"/>
    </row>
    <row r="2729">
      <c r="A2729" s="2" t="s">
        <v>2754</v>
      </c>
      <c r="B2729" s="2" t="s">
        <v>2740</v>
      </c>
      <c r="C2729" s="1"/>
      <c r="D2729" s="2"/>
      <c r="E2729" s="2"/>
      <c r="F2729" s="2"/>
      <c r="G2729" s="2"/>
      <c r="H2729" s="2"/>
      <c r="I2729" s="2"/>
    </row>
    <row r="2730">
      <c r="A2730" s="2" t="s">
        <v>2755</v>
      </c>
      <c r="B2730" s="2" t="s">
        <v>2740</v>
      </c>
      <c r="C2730" s="1"/>
      <c r="D2730" s="2"/>
      <c r="E2730" s="2"/>
      <c r="F2730" s="2"/>
      <c r="G2730" s="2"/>
      <c r="H2730" s="2"/>
      <c r="I2730" s="2"/>
    </row>
    <row r="2731">
      <c r="A2731" s="2" t="s">
        <v>2756</v>
      </c>
      <c r="B2731" s="2" t="s">
        <v>2740</v>
      </c>
      <c r="C2731" s="2"/>
      <c r="D2731" s="2" t="s">
        <v>11</v>
      </c>
      <c r="E2731" s="2">
        <v>10.0</v>
      </c>
      <c r="F2731" s="2" t="s">
        <v>12</v>
      </c>
      <c r="G2731" s="2"/>
      <c r="H2731" s="2"/>
      <c r="I2731" s="2"/>
    </row>
    <row r="2732">
      <c r="A2732" s="2" t="s">
        <v>2757</v>
      </c>
      <c r="B2732" s="2" t="s">
        <v>2740</v>
      </c>
      <c r="C2732" s="2"/>
      <c r="D2732" s="2" t="s">
        <v>11</v>
      </c>
      <c r="E2732" s="2">
        <v>10.0</v>
      </c>
      <c r="F2732" s="2" t="s">
        <v>12</v>
      </c>
      <c r="G2732" s="2"/>
      <c r="H2732" s="2"/>
      <c r="I2732" s="2"/>
    </row>
    <row r="2733">
      <c r="A2733" s="2" t="s">
        <v>2758</v>
      </c>
      <c r="B2733" s="2" t="s">
        <v>2740</v>
      </c>
      <c r="C2733" s="2"/>
      <c r="D2733" s="2" t="s">
        <v>11</v>
      </c>
      <c r="E2733" s="2">
        <v>10.0</v>
      </c>
      <c r="F2733" s="2" t="s">
        <v>12</v>
      </c>
      <c r="G2733" s="2"/>
      <c r="H2733" s="2"/>
      <c r="I2733" s="2"/>
    </row>
    <row r="2734">
      <c r="A2734" s="2" t="s">
        <v>2759</v>
      </c>
      <c r="B2734" s="2" t="s">
        <v>2740</v>
      </c>
      <c r="C2734" s="2"/>
      <c r="D2734" s="2" t="s">
        <v>37</v>
      </c>
      <c r="E2734" s="2">
        <v>10.0</v>
      </c>
      <c r="F2734" s="2" t="s">
        <v>12</v>
      </c>
      <c r="G2734" s="2"/>
      <c r="H2734" s="2"/>
      <c r="I2734" s="2"/>
    </row>
    <row r="2735">
      <c r="A2735" s="2" t="s">
        <v>2760</v>
      </c>
      <c r="B2735" s="2" t="s">
        <v>2740</v>
      </c>
      <c r="C2735" s="1"/>
      <c r="D2735" s="2"/>
      <c r="E2735" s="2"/>
      <c r="F2735" s="2"/>
      <c r="G2735" s="2"/>
      <c r="H2735" s="2"/>
      <c r="I2735" s="2"/>
    </row>
    <row r="2736">
      <c r="A2736" s="2" t="s">
        <v>2761</v>
      </c>
      <c r="B2736" s="2" t="s">
        <v>2740</v>
      </c>
      <c r="C2736" s="2"/>
      <c r="D2736" s="2" t="s">
        <v>11</v>
      </c>
      <c r="E2736" s="2">
        <v>10.0</v>
      </c>
      <c r="F2736" s="2" t="s">
        <v>12</v>
      </c>
      <c r="G2736" s="2"/>
      <c r="H2736" s="2"/>
      <c r="I2736" s="2"/>
    </row>
    <row r="2737">
      <c r="A2737" s="2" t="s">
        <v>2762</v>
      </c>
      <c r="B2737" s="2" t="s">
        <v>2740</v>
      </c>
      <c r="C2737" s="2"/>
      <c r="D2737" s="2" t="s">
        <v>37</v>
      </c>
      <c r="E2737" s="2">
        <v>10.0</v>
      </c>
      <c r="F2737" s="2" t="s">
        <v>12</v>
      </c>
      <c r="G2737" s="2"/>
      <c r="H2737" s="2"/>
      <c r="I2737" s="2"/>
    </row>
    <row r="2738">
      <c r="A2738" s="2" t="s">
        <v>2763</v>
      </c>
      <c r="B2738" s="2" t="s">
        <v>2740</v>
      </c>
      <c r="C2738" s="2"/>
      <c r="D2738" s="2" t="s">
        <v>11</v>
      </c>
      <c r="E2738" s="2">
        <v>10.0</v>
      </c>
      <c r="F2738" s="2" t="s">
        <v>12</v>
      </c>
      <c r="G2738" s="2"/>
      <c r="H2738" s="2"/>
      <c r="I2738" s="2"/>
    </row>
    <row r="2739">
      <c r="A2739" s="2" t="s">
        <v>2764</v>
      </c>
      <c r="B2739" s="2" t="s">
        <v>2740</v>
      </c>
      <c r="C2739" s="2"/>
      <c r="D2739" s="2" t="s">
        <v>37</v>
      </c>
      <c r="E2739" s="2">
        <v>10.0</v>
      </c>
      <c r="F2739" s="2" t="s">
        <v>12</v>
      </c>
      <c r="G2739" s="2"/>
      <c r="H2739" s="2"/>
      <c r="I2739" s="2"/>
    </row>
    <row r="2740">
      <c r="A2740" s="2" t="s">
        <v>2765</v>
      </c>
      <c r="B2740" s="2" t="s">
        <v>2740</v>
      </c>
      <c r="C2740" s="2"/>
      <c r="D2740" s="2" t="s">
        <v>37</v>
      </c>
      <c r="E2740" s="2">
        <v>10.0</v>
      </c>
      <c r="F2740" s="2" t="s">
        <v>12</v>
      </c>
      <c r="G2740" s="2"/>
      <c r="H2740" s="2"/>
      <c r="I2740" s="2"/>
    </row>
    <row r="2741">
      <c r="A2741" s="2" t="s">
        <v>2766</v>
      </c>
      <c r="B2741" s="2" t="s">
        <v>2740</v>
      </c>
      <c r="C2741" s="2"/>
      <c r="D2741" s="2" t="s">
        <v>11</v>
      </c>
      <c r="E2741" s="2">
        <v>10.0</v>
      </c>
      <c r="F2741" s="2" t="s">
        <v>12</v>
      </c>
      <c r="G2741" s="2"/>
      <c r="H2741" s="2"/>
      <c r="I2741" s="2"/>
    </row>
    <row r="2742">
      <c r="A2742" s="2" t="s">
        <v>2767</v>
      </c>
      <c r="B2742" s="2" t="s">
        <v>2740</v>
      </c>
      <c r="C2742" s="2"/>
      <c r="D2742" s="2" t="s">
        <v>11</v>
      </c>
      <c r="E2742" s="2">
        <v>10.0</v>
      </c>
      <c r="F2742" s="2" t="s">
        <v>12</v>
      </c>
      <c r="G2742" s="2"/>
      <c r="H2742" s="2"/>
      <c r="I2742" s="2"/>
    </row>
    <row r="2743">
      <c r="A2743" s="2" t="s">
        <v>2768</v>
      </c>
      <c r="B2743" s="2" t="s">
        <v>2740</v>
      </c>
      <c r="C2743" s="1"/>
      <c r="D2743" s="2"/>
      <c r="E2743" s="2"/>
      <c r="F2743" s="2"/>
      <c r="G2743" s="2"/>
      <c r="H2743" s="2"/>
      <c r="I2743" s="2"/>
    </row>
    <row r="2744">
      <c r="A2744" s="2" t="s">
        <v>2769</v>
      </c>
      <c r="B2744" s="2" t="s">
        <v>2740</v>
      </c>
      <c r="C2744" s="2"/>
      <c r="D2744" s="2" t="s">
        <v>37</v>
      </c>
      <c r="E2744" s="2">
        <v>10.0</v>
      </c>
      <c r="F2744" s="2" t="s">
        <v>12</v>
      </c>
      <c r="G2744" s="2"/>
      <c r="H2744" s="2"/>
      <c r="I2744" s="2"/>
    </row>
    <row r="2745">
      <c r="A2745" s="2" t="s">
        <v>2770</v>
      </c>
      <c r="B2745" s="2" t="s">
        <v>2740</v>
      </c>
      <c r="C2745" s="2"/>
      <c r="D2745" s="2" t="s">
        <v>37</v>
      </c>
      <c r="E2745" s="2">
        <v>10.0</v>
      </c>
      <c r="F2745" s="2" t="s">
        <v>12</v>
      </c>
      <c r="G2745" s="2"/>
      <c r="H2745" s="2"/>
      <c r="I2745" s="2"/>
    </row>
    <row r="2746">
      <c r="A2746" s="2" t="s">
        <v>2771</v>
      </c>
      <c r="B2746" s="2" t="s">
        <v>2740</v>
      </c>
      <c r="C2746" s="1"/>
      <c r="D2746" s="2"/>
      <c r="E2746" s="2"/>
      <c r="F2746" s="2"/>
      <c r="G2746" s="2"/>
      <c r="H2746" s="2"/>
      <c r="I2746" s="2"/>
    </row>
    <row r="2747">
      <c r="A2747" s="2" t="s">
        <v>2772</v>
      </c>
      <c r="B2747" s="2" t="s">
        <v>2740</v>
      </c>
      <c r="C2747" s="1"/>
      <c r="D2747" s="2"/>
      <c r="E2747" s="2"/>
      <c r="F2747" s="2"/>
      <c r="G2747" s="2"/>
      <c r="H2747" s="2"/>
      <c r="I2747" s="2"/>
    </row>
    <row r="2748">
      <c r="A2748" s="2" t="s">
        <v>2773</v>
      </c>
      <c r="B2748" s="2" t="s">
        <v>2740</v>
      </c>
      <c r="C2748" s="2"/>
      <c r="D2748" s="2" t="s">
        <v>11</v>
      </c>
      <c r="E2748" s="2">
        <v>10.0</v>
      </c>
      <c r="F2748" s="2" t="s">
        <v>12</v>
      </c>
      <c r="G2748" s="2"/>
      <c r="H2748" s="2"/>
      <c r="I2748" s="2"/>
    </row>
    <row r="2749">
      <c r="A2749" s="2" t="s">
        <v>2774</v>
      </c>
      <c r="B2749" s="2" t="s">
        <v>2740</v>
      </c>
      <c r="C2749" s="2"/>
      <c r="D2749" s="2" t="s">
        <v>11</v>
      </c>
      <c r="E2749" s="2">
        <v>10.0</v>
      </c>
      <c r="F2749" s="2" t="s">
        <v>12</v>
      </c>
      <c r="G2749" s="2"/>
      <c r="H2749" s="2"/>
      <c r="I2749" s="2"/>
    </row>
    <row r="2750">
      <c r="A2750" s="2" t="s">
        <v>2775</v>
      </c>
      <c r="B2750" s="2" t="s">
        <v>2740</v>
      </c>
      <c r="C2750" s="1"/>
      <c r="D2750" s="2"/>
      <c r="E2750" s="2"/>
      <c r="F2750" s="2"/>
      <c r="G2750" s="2"/>
      <c r="H2750" s="2"/>
      <c r="I2750" s="2"/>
    </row>
    <row r="2751">
      <c r="A2751" s="2" t="s">
        <v>2776</v>
      </c>
      <c r="B2751" s="2" t="s">
        <v>2740</v>
      </c>
      <c r="C2751" s="1"/>
      <c r="D2751" s="2"/>
      <c r="E2751" s="2"/>
      <c r="F2751" s="2"/>
      <c r="G2751" s="2"/>
      <c r="H2751" s="2"/>
      <c r="I2751" s="2"/>
    </row>
    <row r="2752">
      <c r="A2752" s="2" t="s">
        <v>2777</v>
      </c>
      <c r="B2752" s="2" t="s">
        <v>2740</v>
      </c>
      <c r="C2752" s="1"/>
      <c r="D2752" s="2"/>
      <c r="E2752" s="2"/>
      <c r="F2752" s="2"/>
      <c r="G2752" s="2"/>
      <c r="H2752" s="2"/>
      <c r="I2752" s="2"/>
    </row>
    <row r="2753">
      <c r="A2753" s="2" t="s">
        <v>2778</v>
      </c>
      <c r="B2753" s="2" t="s">
        <v>2740</v>
      </c>
      <c r="C2753" s="1"/>
      <c r="D2753" s="2"/>
      <c r="E2753" s="2"/>
      <c r="F2753" s="2"/>
      <c r="G2753" s="2"/>
      <c r="H2753" s="2"/>
      <c r="I2753" s="2"/>
    </row>
    <row r="2754">
      <c r="A2754" s="2" t="s">
        <v>2779</v>
      </c>
      <c r="B2754" s="2" t="s">
        <v>2740</v>
      </c>
      <c r="C2754" s="1"/>
      <c r="D2754" s="2"/>
      <c r="E2754" s="2"/>
      <c r="F2754" s="2"/>
      <c r="G2754" s="2"/>
      <c r="H2754" s="2"/>
      <c r="I2754" s="2"/>
    </row>
    <row r="2755">
      <c r="A2755" s="2" t="s">
        <v>2780</v>
      </c>
      <c r="B2755" s="2" t="s">
        <v>2740</v>
      </c>
      <c r="C2755" s="1"/>
      <c r="D2755" s="2"/>
      <c r="E2755" s="2"/>
      <c r="F2755" s="2"/>
      <c r="G2755" s="2"/>
      <c r="H2755" s="2"/>
      <c r="I2755" s="2"/>
    </row>
    <row r="2756">
      <c r="A2756" s="2" t="s">
        <v>2781</v>
      </c>
      <c r="B2756" s="2" t="s">
        <v>2740</v>
      </c>
      <c r="C2756" s="1"/>
      <c r="D2756" s="2"/>
      <c r="E2756" s="2"/>
      <c r="F2756" s="2"/>
      <c r="G2756" s="2"/>
      <c r="H2756" s="2"/>
      <c r="I2756" s="2"/>
    </row>
    <row r="2757">
      <c r="A2757" s="2" t="s">
        <v>2782</v>
      </c>
      <c r="B2757" s="2" t="s">
        <v>2740</v>
      </c>
      <c r="C2757" s="1"/>
      <c r="D2757" s="2"/>
      <c r="E2757" s="2"/>
      <c r="F2757" s="2"/>
      <c r="G2757" s="2"/>
      <c r="H2757" s="2"/>
      <c r="I2757" s="2"/>
    </row>
    <row r="2758">
      <c r="A2758" s="2" t="s">
        <v>2783</v>
      </c>
      <c r="B2758" s="2" t="s">
        <v>2740</v>
      </c>
      <c r="C2758" s="1"/>
      <c r="D2758" s="2"/>
      <c r="E2758" s="2"/>
      <c r="F2758" s="2"/>
      <c r="G2758" s="2"/>
      <c r="H2758" s="2"/>
      <c r="I2758" s="2"/>
    </row>
    <row r="2759">
      <c r="A2759" s="2" t="s">
        <v>2784</v>
      </c>
      <c r="B2759" s="2" t="s">
        <v>2740</v>
      </c>
      <c r="C2759" s="1"/>
      <c r="D2759" s="2"/>
      <c r="E2759" s="2"/>
      <c r="F2759" s="2"/>
      <c r="G2759" s="2"/>
      <c r="H2759" s="2"/>
      <c r="I2759" s="2"/>
    </row>
    <row r="2760">
      <c r="A2760" s="2" t="s">
        <v>2785</v>
      </c>
      <c r="B2760" s="2" t="s">
        <v>2740</v>
      </c>
      <c r="C2760" s="1"/>
      <c r="D2760" s="2"/>
      <c r="E2760" s="2"/>
      <c r="F2760" s="2"/>
      <c r="G2760" s="2"/>
      <c r="H2760" s="2"/>
      <c r="I2760" s="2"/>
    </row>
    <row r="2761">
      <c r="A2761" s="2" t="s">
        <v>2786</v>
      </c>
      <c r="B2761" s="2" t="s">
        <v>2740</v>
      </c>
      <c r="C2761" s="1"/>
      <c r="D2761" s="2"/>
      <c r="E2761" s="2"/>
      <c r="F2761" s="2"/>
      <c r="G2761" s="2"/>
      <c r="H2761" s="2"/>
      <c r="I2761" s="2"/>
    </row>
    <row r="2762">
      <c r="A2762" s="2" t="s">
        <v>2787</v>
      </c>
      <c r="B2762" s="2" t="s">
        <v>2740</v>
      </c>
      <c r="C2762" s="2"/>
      <c r="D2762" s="2" t="s">
        <v>11</v>
      </c>
      <c r="E2762" s="2">
        <v>10.0</v>
      </c>
      <c r="F2762" s="2" t="s">
        <v>12</v>
      </c>
      <c r="G2762" s="2"/>
      <c r="H2762" s="2"/>
      <c r="I2762" s="2"/>
    </row>
    <row r="2763">
      <c r="A2763" s="2" t="s">
        <v>2788</v>
      </c>
      <c r="B2763" s="2" t="s">
        <v>2740</v>
      </c>
      <c r="C2763" s="2"/>
      <c r="D2763" s="2" t="s">
        <v>2789</v>
      </c>
      <c r="E2763" s="2">
        <v>1.0</v>
      </c>
      <c r="F2763" s="2"/>
      <c r="G2763" s="2"/>
      <c r="H2763" s="2"/>
      <c r="I2763" s="2"/>
    </row>
    <row r="2764">
      <c r="A2764" s="2" t="s">
        <v>2790</v>
      </c>
      <c r="B2764" s="2" t="s">
        <v>2740</v>
      </c>
      <c r="C2764" s="1"/>
      <c r="D2764" s="2"/>
      <c r="E2764" s="2"/>
      <c r="F2764" s="2"/>
      <c r="G2764" s="2"/>
      <c r="H2764" s="2"/>
      <c r="I2764" s="2"/>
    </row>
    <row r="2765">
      <c r="A2765" s="2" t="s">
        <v>2791</v>
      </c>
      <c r="B2765" s="2" t="s">
        <v>2740</v>
      </c>
      <c r="C2765" s="2"/>
      <c r="D2765" s="2" t="s">
        <v>11</v>
      </c>
      <c r="E2765" s="2">
        <v>10.0</v>
      </c>
      <c r="F2765" s="2" t="s">
        <v>12</v>
      </c>
      <c r="G2765" s="2"/>
      <c r="H2765" s="2"/>
      <c r="I2765" s="2"/>
    </row>
    <row r="2766">
      <c r="A2766" s="2" t="s">
        <v>2792</v>
      </c>
      <c r="B2766" s="2" t="s">
        <v>2740</v>
      </c>
      <c r="C2766" s="2"/>
      <c r="D2766" s="2" t="s">
        <v>37</v>
      </c>
      <c r="E2766" s="2">
        <v>10.0</v>
      </c>
      <c r="F2766" s="2" t="s">
        <v>12</v>
      </c>
      <c r="G2766" s="2"/>
      <c r="H2766" s="2"/>
      <c r="I2766" s="2"/>
    </row>
    <row r="2767">
      <c r="A2767" s="2" t="s">
        <v>2793</v>
      </c>
      <c r="B2767" s="2" t="s">
        <v>2740</v>
      </c>
      <c r="C2767" s="2"/>
      <c r="D2767" s="2" t="s">
        <v>11</v>
      </c>
      <c r="E2767" s="2">
        <v>10.0</v>
      </c>
      <c r="F2767" s="2" t="s">
        <v>12</v>
      </c>
      <c r="G2767" s="2"/>
      <c r="H2767" s="2"/>
      <c r="I2767" s="2"/>
    </row>
    <row r="2768">
      <c r="A2768" s="2" t="s">
        <v>2794</v>
      </c>
      <c r="B2768" s="2" t="s">
        <v>2740</v>
      </c>
      <c r="C2768" s="2"/>
      <c r="D2768" s="2" t="s">
        <v>37</v>
      </c>
      <c r="E2768" s="2">
        <v>10.0</v>
      </c>
      <c r="F2768" s="2" t="s">
        <v>12</v>
      </c>
      <c r="G2768" s="2"/>
      <c r="H2768" s="2"/>
      <c r="I2768" s="2"/>
    </row>
    <row r="2769">
      <c r="A2769" s="2" t="s">
        <v>2795</v>
      </c>
      <c r="B2769" s="2" t="s">
        <v>2740</v>
      </c>
      <c r="C2769" s="2"/>
      <c r="D2769" s="2" t="s">
        <v>11</v>
      </c>
      <c r="E2769" s="2">
        <v>10.0</v>
      </c>
      <c r="F2769" s="2" t="s">
        <v>12</v>
      </c>
      <c r="G2769" s="2"/>
      <c r="H2769" s="2"/>
      <c r="I2769" s="2"/>
    </row>
    <row r="2770">
      <c r="A2770" s="2" t="s">
        <v>2796</v>
      </c>
      <c r="B2770" s="2" t="s">
        <v>2740</v>
      </c>
      <c r="C2770" s="1"/>
      <c r="D2770" s="2"/>
      <c r="E2770" s="2"/>
      <c r="F2770" s="2"/>
      <c r="G2770" s="2"/>
      <c r="H2770" s="2"/>
      <c r="I2770" s="2"/>
    </row>
    <row r="2771">
      <c r="A2771" s="2" t="s">
        <v>2797</v>
      </c>
      <c r="B2771" s="2" t="s">
        <v>2740</v>
      </c>
      <c r="C2771" s="1"/>
      <c r="D2771" s="2"/>
      <c r="E2771" s="2"/>
      <c r="F2771" s="2"/>
      <c r="G2771" s="2"/>
      <c r="H2771" s="2"/>
      <c r="I2771" s="2"/>
    </row>
    <row r="2772">
      <c r="A2772" s="2" t="s">
        <v>2798</v>
      </c>
      <c r="B2772" s="2" t="s">
        <v>2740</v>
      </c>
      <c r="C2772" s="1"/>
      <c r="D2772" s="2"/>
      <c r="E2772" s="2"/>
      <c r="F2772" s="2"/>
      <c r="G2772" s="2"/>
      <c r="H2772" s="2"/>
      <c r="I2772" s="2"/>
    </row>
    <row r="2773">
      <c r="A2773" s="2" t="s">
        <v>2799</v>
      </c>
      <c r="B2773" s="2" t="s">
        <v>2740</v>
      </c>
      <c r="C2773" s="1"/>
      <c r="D2773" s="2"/>
      <c r="E2773" s="2"/>
      <c r="F2773" s="2"/>
      <c r="G2773" s="2"/>
      <c r="H2773" s="2"/>
      <c r="I2773" s="2"/>
    </row>
    <row r="2774">
      <c r="A2774" s="2" t="s">
        <v>2800</v>
      </c>
      <c r="B2774" s="2" t="s">
        <v>2740</v>
      </c>
      <c r="C2774" s="1"/>
      <c r="D2774" s="2"/>
      <c r="E2774" s="2"/>
      <c r="F2774" s="2"/>
      <c r="G2774" s="2"/>
      <c r="H2774" s="2"/>
      <c r="I2774" s="2"/>
    </row>
    <row r="2775">
      <c r="A2775" s="2" t="s">
        <v>2801</v>
      </c>
      <c r="B2775" s="2" t="s">
        <v>2740</v>
      </c>
      <c r="C2775" s="1"/>
      <c r="D2775" s="2"/>
      <c r="E2775" s="2"/>
      <c r="F2775" s="2"/>
      <c r="G2775" s="2"/>
      <c r="H2775" s="2"/>
      <c r="I2775" s="2"/>
    </row>
    <row r="2776">
      <c r="A2776" s="2" t="s">
        <v>2802</v>
      </c>
      <c r="B2776" s="2" t="s">
        <v>2740</v>
      </c>
      <c r="C2776" s="1"/>
      <c r="D2776" s="2"/>
      <c r="E2776" s="2"/>
      <c r="F2776" s="2"/>
      <c r="G2776" s="2"/>
      <c r="H2776" s="2"/>
      <c r="I2776" s="2"/>
    </row>
    <row r="2777">
      <c r="A2777" s="2" t="s">
        <v>2803</v>
      </c>
      <c r="B2777" s="2" t="s">
        <v>2740</v>
      </c>
      <c r="C2777" s="1"/>
      <c r="D2777" s="2"/>
      <c r="E2777" s="2"/>
      <c r="F2777" s="2"/>
      <c r="G2777" s="2"/>
      <c r="H2777" s="2"/>
      <c r="I2777" s="2"/>
    </row>
    <row r="2778">
      <c r="A2778" s="2" t="s">
        <v>2804</v>
      </c>
      <c r="B2778" s="2" t="s">
        <v>2740</v>
      </c>
      <c r="C2778" s="1"/>
      <c r="D2778" s="2"/>
      <c r="E2778" s="2"/>
      <c r="F2778" s="2"/>
      <c r="G2778" s="2"/>
      <c r="H2778" s="2"/>
      <c r="I2778" s="2"/>
    </row>
    <row r="2779">
      <c r="A2779" s="2" t="s">
        <v>2805</v>
      </c>
      <c r="B2779" s="2" t="s">
        <v>2740</v>
      </c>
      <c r="C2779" s="1"/>
      <c r="D2779" s="2"/>
      <c r="E2779" s="2"/>
      <c r="F2779" s="2"/>
      <c r="G2779" s="2"/>
      <c r="H2779" s="2"/>
      <c r="I2779" s="2"/>
    </row>
    <row r="2780">
      <c r="A2780" s="2" t="s">
        <v>2806</v>
      </c>
      <c r="B2780" s="2" t="s">
        <v>2740</v>
      </c>
      <c r="C2780" s="2"/>
      <c r="D2780" s="2" t="s">
        <v>11</v>
      </c>
      <c r="E2780" s="2">
        <v>10.0</v>
      </c>
      <c r="F2780" s="2" t="s">
        <v>12</v>
      </c>
      <c r="G2780" s="2"/>
      <c r="H2780" s="2"/>
      <c r="I2780" s="2"/>
    </row>
    <row r="2781">
      <c r="A2781" s="1" t="s">
        <v>2807</v>
      </c>
      <c r="B2781" s="2" t="s">
        <v>2740</v>
      </c>
      <c r="C2781" s="2"/>
      <c r="D2781" s="2" t="s">
        <v>11</v>
      </c>
      <c r="E2781" s="2">
        <v>10.0</v>
      </c>
      <c r="F2781" s="2" t="s">
        <v>12</v>
      </c>
      <c r="G2781" s="2"/>
      <c r="H2781" s="2"/>
      <c r="I2781" s="2"/>
    </row>
    <row r="2782">
      <c r="A2782" s="2" t="s">
        <v>2808</v>
      </c>
      <c r="B2782" s="2" t="s">
        <v>2740</v>
      </c>
      <c r="C2782" s="2"/>
      <c r="D2782" s="2" t="s">
        <v>37</v>
      </c>
      <c r="E2782" s="2">
        <v>5.0</v>
      </c>
      <c r="F2782" s="2"/>
      <c r="G2782" s="2"/>
      <c r="H2782" s="2"/>
      <c r="I2782" s="2"/>
    </row>
    <row r="2783">
      <c r="A2783" s="2" t="s">
        <v>2809</v>
      </c>
      <c r="B2783" s="2" t="s">
        <v>2740</v>
      </c>
      <c r="C2783" s="2"/>
      <c r="D2783" s="2" t="s">
        <v>11</v>
      </c>
      <c r="E2783" s="2">
        <v>10.0</v>
      </c>
      <c r="F2783" s="2" t="s">
        <v>12</v>
      </c>
      <c r="G2783" s="2"/>
      <c r="H2783" s="2"/>
      <c r="I2783" s="2"/>
    </row>
    <row r="2784">
      <c r="A2784" s="2" t="s">
        <v>2810</v>
      </c>
      <c r="B2784" s="2" t="s">
        <v>2740</v>
      </c>
      <c r="C2784" s="2"/>
      <c r="D2784" s="2" t="s">
        <v>37</v>
      </c>
      <c r="E2784" s="2">
        <v>10.0</v>
      </c>
      <c r="F2784" s="2" t="s">
        <v>12</v>
      </c>
      <c r="G2784" s="2"/>
      <c r="H2784" s="2"/>
      <c r="I2784" s="2"/>
    </row>
    <row r="2785">
      <c r="A2785" s="2" t="s">
        <v>2811</v>
      </c>
      <c r="B2785" s="2" t="s">
        <v>2740</v>
      </c>
      <c r="C2785" s="2"/>
      <c r="D2785" s="2" t="s">
        <v>11</v>
      </c>
      <c r="E2785" s="2">
        <v>10.0</v>
      </c>
      <c r="F2785" s="2" t="s">
        <v>12</v>
      </c>
      <c r="G2785" s="2"/>
      <c r="H2785" s="2"/>
      <c r="I2785" s="2"/>
    </row>
    <row r="2786">
      <c r="A2786" s="2" t="s">
        <v>2812</v>
      </c>
      <c r="B2786" s="2" t="s">
        <v>2740</v>
      </c>
      <c r="C2786" s="2"/>
      <c r="D2786" s="2" t="s">
        <v>37</v>
      </c>
      <c r="E2786" s="2">
        <v>10.0</v>
      </c>
      <c r="F2786" s="2" t="s">
        <v>12</v>
      </c>
      <c r="G2786" s="2"/>
      <c r="H2786" s="2"/>
      <c r="I2786" s="2"/>
    </row>
    <row r="2787">
      <c r="A2787" s="2" t="s">
        <v>2813</v>
      </c>
      <c r="B2787" s="2" t="s">
        <v>2740</v>
      </c>
      <c r="C2787" s="2"/>
      <c r="D2787" s="2" t="s">
        <v>11</v>
      </c>
      <c r="E2787" s="2">
        <v>10.0</v>
      </c>
      <c r="F2787" s="2" t="s">
        <v>12</v>
      </c>
      <c r="G2787" s="2"/>
      <c r="H2787" s="2"/>
      <c r="I2787" s="2"/>
    </row>
    <row r="2788">
      <c r="A2788" s="2" t="s">
        <v>2814</v>
      </c>
      <c r="B2788" s="2" t="s">
        <v>2740</v>
      </c>
      <c r="C2788" s="2"/>
      <c r="D2788" s="2" t="s">
        <v>11</v>
      </c>
      <c r="E2788" s="2">
        <v>10.0</v>
      </c>
      <c r="F2788" s="2" t="s">
        <v>12</v>
      </c>
      <c r="G2788" s="2"/>
      <c r="H2788" s="2"/>
      <c r="I2788" s="2"/>
    </row>
    <row r="2789">
      <c r="A2789" s="2" t="s">
        <v>2815</v>
      </c>
      <c r="B2789" s="2" t="s">
        <v>2740</v>
      </c>
      <c r="C2789" s="1"/>
      <c r="D2789" s="2"/>
      <c r="E2789" s="2"/>
      <c r="F2789" s="2"/>
      <c r="G2789" s="2"/>
      <c r="H2789" s="2"/>
      <c r="I2789" s="2"/>
    </row>
    <row r="2790">
      <c r="A2790" s="2" t="s">
        <v>2816</v>
      </c>
      <c r="B2790" s="2" t="s">
        <v>2740</v>
      </c>
      <c r="C2790" s="1"/>
      <c r="D2790" s="2"/>
      <c r="E2790" s="2"/>
      <c r="F2790" s="2"/>
      <c r="G2790" s="2"/>
      <c r="H2790" s="2"/>
      <c r="I2790" s="2"/>
    </row>
    <row r="2791">
      <c r="A2791" s="2" t="s">
        <v>2817</v>
      </c>
      <c r="B2791" s="2" t="s">
        <v>2818</v>
      </c>
      <c r="C2791" s="2"/>
      <c r="D2791" s="2" t="s">
        <v>11</v>
      </c>
      <c r="E2791" s="2">
        <v>10.0</v>
      </c>
      <c r="F2791" s="2" t="s">
        <v>12</v>
      </c>
      <c r="G2791" s="2"/>
      <c r="H2791" s="2"/>
      <c r="I2791" s="2"/>
    </row>
    <row r="2792">
      <c r="A2792" s="2" t="s">
        <v>2819</v>
      </c>
      <c r="B2792" s="2" t="s">
        <v>2818</v>
      </c>
      <c r="C2792" s="2"/>
      <c r="D2792" s="2" t="s">
        <v>37</v>
      </c>
      <c r="E2792" s="2">
        <v>10.0</v>
      </c>
      <c r="F2792" s="2" t="s">
        <v>12</v>
      </c>
      <c r="G2792" s="2"/>
      <c r="H2792" s="2"/>
      <c r="I2792" s="2"/>
    </row>
    <row r="2793">
      <c r="A2793" s="1" t="s">
        <v>2820</v>
      </c>
      <c r="B2793" s="2" t="s">
        <v>2818</v>
      </c>
      <c r="C2793" s="2"/>
      <c r="D2793" s="2" t="s">
        <v>11</v>
      </c>
      <c r="E2793" s="2">
        <v>10.0</v>
      </c>
      <c r="F2793" s="2" t="s">
        <v>12</v>
      </c>
      <c r="G2793" s="2"/>
      <c r="H2793" s="2"/>
      <c r="I2793" s="2"/>
    </row>
    <row r="2794">
      <c r="A2794" s="2" t="s">
        <v>2821</v>
      </c>
      <c r="B2794" s="2" t="s">
        <v>2818</v>
      </c>
      <c r="C2794" s="2"/>
      <c r="D2794" s="2" t="s">
        <v>11</v>
      </c>
      <c r="E2794" s="2">
        <v>10.0</v>
      </c>
      <c r="F2794" s="2" t="s">
        <v>12</v>
      </c>
      <c r="G2794" s="2"/>
      <c r="H2794" s="2"/>
      <c r="I2794" s="2"/>
    </row>
    <row r="2795">
      <c r="A2795" s="1" t="s">
        <v>2822</v>
      </c>
      <c r="B2795" s="2" t="s">
        <v>2818</v>
      </c>
      <c r="C2795" s="2"/>
      <c r="D2795" s="2" t="s">
        <v>37</v>
      </c>
      <c r="E2795" s="2">
        <v>10.0</v>
      </c>
      <c r="F2795" s="2" t="s">
        <v>12</v>
      </c>
      <c r="G2795" s="2"/>
      <c r="H2795" s="2"/>
      <c r="I2795" s="2"/>
    </row>
    <row r="2796">
      <c r="A2796" s="1" t="s">
        <v>2823</v>
      </c>
      <c r="B2796" s="2" t="s">
        <v>2818</v>
      </c>
      <c r="C2796" s="2"/>
      <c r="D2796" s="2" t="s">
        <v>37</v>
      </c>
      <c r="E2796" s="2">
        <v>10.0</v>
      </c>
      <c r="F2796" s="2" t="s">
        <v>12</v>
      </c>
      <c r="G2796" s="2"/>
      <c r="H2796" s="2"/>
      <c r="I2796" s="2"/>
    </row>
    <row r="2797">
      <c r="A2797" s="2" t="s">
        <v>2824</v>
      </c>
      <c r="B2797" s="2" t="s">
        <v>2818</v>
      </c>
      <c r="C2797" s="2"/>
      <c r="D2797" s="2" t="s">
        <v>11</v>
      </c>
      <c r="E2797" s="2">
        <v>10.0</v>
      </c>
      <c r="F2797" s="2" t="s">
        <v>12</v>
      </c>
      <c r="G2797" s="2"/>
      <c r="H2797" s="2"/>
      <c r="I2797" s="2"/>
    </row>
    <row r="2798">
      <c r="A2798" s="1" t="s">
        <v>2825</v>
      </c>
      <c r="B2798" s="2" t="s">
        <v>2818</v>
      </c>
      <c r="C2798" s="2"/>
      <c r="D2798" s="2" t="s">
        <v>11</v>
      </c>
      <c r="E2798" s="2">
        <v>10.0</v>
      </c>
      <c r="F2798" s="2" t="s">
        <v>12</v>
      </c>
      <c r="G2798" s="2"/>
      <c r="H2798" s="2"/>
      <c r="I2798" s="2"/>
    </row>
    <row r="2799">
      <c r="A2799" s="2" t="s">
        <v>2826</v>
      </c>
      <c r="B2799" s="2" t="s">
        <v>2818</v>
      </c>
      <c r="C2799" s="2"/>
      <c r="D2799" s="2" t="s">
        <v>11</v>
      </c>
      <c r="E2799" s="2">
        <v>10.0</v>
      </c>
      <c r="F2799" s="2" t="s">
        <v>12</v>
      </c>
      <c r="G2799" s="2"/>
      <c r="H2799" s="2"/>
      <c r="I2799" s="2"/>
    </row>
    <row r="2800">
      <c r="A2800" s="1" t="s">
        <v>2827</v>
      </c>
      <c r="B2800" s="2" t="s">
        <v>2818</v>
      </c>
      <c r="C2800" s="2"/>
      <c r="D2800" s="2" t="s">
        <v>11</v>
      </c>
      <c r="E2800" s="2">
        <v>10.0</v>
      </c>
      <c r="F2800" s="2" t="s">
        <v>12</v>
      </c>
      <c r="G2800" s="2"/>
      <c r="H2800" s="2"/>
      <c r="I2800" s="2"/>
    </row>
    <row r="2801">
      <c r="A2801" s="2" t="s">
        <v>2828</v>
      </c>
      <c r="B2801" s="2" t="s">
        <v>2818</v>
      </c>
      <c r="C2801" s="2"/>
      <c r="D2801" s="2" t="s">
        <v>11</v>
      </c>
      <c r="E2801" s="2">
        <v>10.0</v>
      </c>
      <c r="F2801" s="2" t="s">
        <v>12</v>
      </c>
      <c r="G2801" s="2"/>
      <c r="H2801" s="2"/>
      <c r="I2801" s="2"/>
    </row>
    <row r="2802">
      <c r="A2802" s="1" t="s">
        <v>2829</v>
      </c>
      <c r="B2802" s="2" t="s">
        <v>2818</v>
      </c>
      <c r="C2802" s="2"/>
      <c r="D2802" s="2" t="s">
        <v>11</v>
      </c>
      <c r="E2802" s="2">
        <v>10.0</v>
      </c>
      <c r="F2802" s="2" t="s">
        <v>12</v>
      </c>
      <c r="G2802" s="2"/>
      <c r="H2802" s="2"/>
      <c r="I2802" s="2"/>
    </row>
    <row r="2803">
      <c r="A2803" s="1" t="s">
        <v>2830</v>
      </c>
      <c r="B2803" s="2" t="s">
        <v>2818</v>
      </c>
      <c r="C2803" s="2"/>
      <c r="D2803" s="2" t="s">
        <v>11</v>
      </c>
      <c r="E2803" s="2">
        <v>10.0</v>
      </c>
      <c r="F2803" s="2" t="s">
        <v>12</v>
      </c>
      <c r="G2803" s="2"/>
      <c r="H2803" s="2"/>
      <c r="I2803" s="2"/>
    </row>
    <row r="2804">
      <c r="A2804" s="2" t="s">
        <v>2831</v>
      </c>
      <c r="B2804" s="2" t="s">
        <v>2818</v>
      </c>
      <c r="C2804" s="2"/>
      <c r="D2804" s="2" t="s">
        <v>11</v>
      </c>
      <c r="E2804" s="2">
        <v>10.0</v>
      </c>
      <c r="F2804" s="2" t="s">
        <v>12</v>
      </c>
      <c r="G2804" s="2"/>
      <c r="H2804" s="2"/>
      <c r="I2804" s="2"/>
    </row>
    <row r="2805">
      <c r="A2805" s="1" t="s">
        <v>2832</v>
      </c>
      <c r="B2805" s="2" t="s">
        <v>2818</v>
      </c>
      <c r="C2805" s="2"/>
      <c r="D2805" s="2" t="s">
        <v>11</v>
      </c>
      <c r="E2805" s="2">
        <v>10.0</v>
      </c>
      <c r="F2805" s="2" t="s">
        <v>12</v>
      </c>
      <c r="G2805" s="2"/>
      <c r="H2805" s="2"/>
      <c r="I2805" s="2"/>
    </row>
    <row r="2806">
      <c r="A2806" s="1" t="s">
        <v>2833</v>
      </c>
      <c r="B2806" s="2" t="s">
        <v>2818</v>
      </c>
      <c r="C2806" s="2"/>
      <c r="D2806" s="2" t="s">
        <v>11</v>
      </c>
      <c r="E2806" s="2">
        <v>10.0</v>
      </c>
      <c r="F2806" s="2" t="s">
        <v>12</v>
      </c>
      <c r="G2806" s="2"/>
      <c r="H2806" s="2"/>
      <c r="I2806" s="2"/>
    </row>
    <row r="2807">
      <c r="A2807" s="2" t="s">
        <v>2834</v>
      </c>
      <c r="B2807" s="2" t="s">
        <v>2818</v>
      </c>
      <c r="C2807" s="2"/>
      <c r="D2807" s="2" t="s">
        <v>11</v>
      </c>
      <c r="E2807" s="2">
        <v>10.0</v>
      </c>
      <c r="F2807" s="2" t="s">
        <v>12</v>
      </c>
      <c r="G2807" s="2"/>
      <c r="H2807" s="2"/>
      <c r="I2807" s="2"/>
    </row>
    <row r="2808">
      <c r="A2808" s="2" t="s">
        <v>2835</v>
      </c>
      <c r="B2808" s="2" t="s">
        <v>2818</v>
      </c>
      <c r="C2808" s="2"/>
      <c r="D2808" s="2" t="s">
        <v>11</v>
      </c>
      <c r="E2808" s="2">
        <v>10.0</v>
      </c>
      <c r="F2808" s="2" t="s">
        <v>12</v>
      </c>
      <c r="G2808" s="2"/>
      <c r="H2808" s="2"/>
      <c r="I2808" s="2"/>
    </row>
    <row r="2809">
      <c r="A2809" s="1" t="s">
        <v>2836</v>
      </c>
      <c r="B2809" s="2" t="s">
        <v>2818</v>
      </c>
      <c r="C2809" s="2"/>
      <c r="D2809" s="2" t="s">
        <v>37</v>
      </c>
      <c r="E2809" s="2">
        <v>10.0</v>
      </c>
      <c r="F2809" s="2" t="s">
        <v>12</v>
      </c>
      <c r="G2809" s="2"/>
      <c r="H2809" s="2"/>
      <c r="I2809" s="2"/>
    </row>
    <row r="2810">
      <c r="A2810" s="1" t="s">
        <v>2837</v>
      </c>
      <c r="B2810" s="2" t="s">
        <v>2818</v>
      </c>
      <c r="C2810" s="2"/>
      <c r="D2810" s="2" t="s">
        <v>37</v>
      </c>
      <c r="E2810" s="2">
        <v>10.0</v>
      </c>
      <c r="F2810" s="2" t="s">
        <v>12</v>
      </c>
      <c r="G2810" s="2"/>
      <c r="H2810" s="2"/>
      <c r="I2810" s="2"/>
    </row>
    <row r="2811">
      <c r="A2811" s="1" t="s">
        <v>2838</v>
      </c>
      <c r="B2811" s="2" t="s">
        <v>2818</v>
      </c>
      <c r="C2811" s="2"/>
      <c r="D2811" s="2" t="s">
        <v>37</v>
      </c>
      <c r="E2811" s="2">
        <v>10.0</v>
      </c>
      <c r="F2811" s="2" t="s">
        <v>12</v>
      </c>
      <c r="G2811" s="2"/>
      <c r="H2811" s="2"/>
      <c r="I2811" s="2"/>
    </row>
    <row r="2812">
      <c r="A2812" s="1" t="s">
        <v>2839</v>
      </c>
      <c r="B2812" s="2" t="s">
        <v>2818</v>
      </c>
      <c r="C2812" s="2"/>
      <c r="D2812" s="2" t="s">
        <v>11</v>
      </c>
      <c r="E2812" s="2">
        <v>10.0</v>
      </c>
      <c r="F2812" s="2" t="s">
        <v>12</v>
      </c>
      <c r="G2812" s="2"/>
      <c r="H2812" s="2"/>
      <c r="I2812" s="2"/>
    </row>
    <row r="2813">
      <c r="A2813" s="1" t="s">
        <v>2840</v>
      </c>
      <c r="B2813" s="2" t="s">
        <v>2818</v>
      </c>
      <c r="C2813" s="2"/>
      <c r="D2813" s="2" t="s">
        <v>11</v>
      </c>
      <c r="E2813" s="2">
        <v>10.0</v>
      </c>
      <c r="F2813" s="2" t="s">
        <v>12</v>
      </c>
      <c r="G2813" s="2"/>
      <c r="H2813" s="2"/>
      <c r="I2813" s="2"/>
    </row>
    <row r="2814">
      <c r="A2814" s="1" t="s">
        <v>2841</v>
      </c>
      <c r="B2814" s="2" t="s">
        <v>2818</v>
      </c>
      <c r="C2814" s="2"/>
      <c r="D2814" s="2" t="s">
        <v>11</v>
      </c>
      <c r="E2814" s="2">
        <v>10.0</v>
      </c>
      <c r="F2814" s="2" t="s">
        <v>12</v>
      </c>
      <c r="G2814" s="2"/>
      <c r="H2814" s="2"/>
      <c r="I2814" s="2"/>
    </row>
    <row r="2815">
      <c r="A2815" s="2" t="s">
        <v>2842</v>
      </c>
      <c r="B2815" s="2" t="s">
        <v>2818</v>
      </c>
      <c r="C2815" s="2"/>
      <c r="D2815" s="2" t="s">
        <v>11</v>
      </c>
      <c r="E2815" s="2">
        <v>10.0</v>
      </c>
      <c r="F2815" s="2" t="s">
        <v>12</v>
      </c>
      <c r="G2815" s="2"/>
      <c r="H2815" s="2"/>
      <c r="I2815" s="2"/>
    </row>
    <row r="2816">
      <c r="A2816" s="1" t="s">
        <v>2843</v>
      </c>
      <c r="B2816" s="2" t="s">
        <v>2818</v>
      </c>
      <c r="C2816" s="2"/>
      <c r="D2816" s="2" t="s">
        <v>11</v>
      </c>
      <c r="E2816" s="2">
        <v>10.0</v>
      </c>
      <c r="F2816" s="2" t="s">
        <v>12</v>
      </c>
      <c r="G2816" s="2"/>
      <c r="H2816" s="2"/>
      <c r="I2816" s="2"/>
    </row>
    <row r="2817">
      <c r="A2817" s="1" t="s">
        <v>2844</v>
      </c>
      <c r="B2817" s="2" t="s">
        <v>2818</v>
      </c>
      <c r="C2817" s="2"/>
      <c r="D2817" s="2" t="s">
        <v>11</v>
      </c>
      <c r="E2817" s="2">
        <v>10.0</v>
      </c>
      <c r="F2817" s="2" t="s">
        <v>12</v>
      </c>
      <c r="G2817" s="2"/>
      <c r="H2817" s="2"/>
      <c r="I2817" s="2"/>
    </row>
    <row r="2818">
      <c r="A2818" s="1" t="s">
        <v>2845</v>
      </c>
      <c r="B2818" s="2" t="s">
        <v>2818</v>
      </c>
      <c r="C2818" s="2"/>
      <c r="D2818" s="2" t="s">
        <v>11</v>
      </c>
      <c r="E2818" s="2">
        <v>10.0</v>
      </c>
      <c r="F2818" s="2" t="s">
        <v>12</v>
      </c>
      <c r="G2818" s="2"/>
      <c r="H2818" s="2"/>
      <c r="I2818" s="2"/>
    </row>
    <row r="2819">
      <c r="A2819" s="2" t="s">
        <v>2846</v>
      </c>
      <c r="B2819" s="2" t="s">
        <v>1353</v>
      </c>
      <c r="C2819" s="2"/>
      <c r="D2819" s="2" t="s">
        <v>11</v>
      </c>
      <c r="E2819" s="2">
        <v>10.0</v>
      </c>
      <c r="F2819" s="2" t="s">
        <v>12</v>
      </c>
      <c r="G2819" s="2"/>
      <c r="H2819" s="2"/>
      <c r="I2819" s="2"/>
    </row>
    <row r="2820">
      <c r="A2820" s="2" t="s">
        <v>2847</v>
      </c>
      <c r="B2820" s="2" t="s">
        <v>1353</v>
      </c>
      <c r="C2820" s="1"/>
      <c r="D2820" s="2"/>
      <c r="E2820" s="2"/>
      <c r="F2820" s="2"/>
      <c r="G2820" s="2"/>
      <c r="H2820" s="2"/>
      <c r="I2820" s="2"/>
    </row>
    <row r="2821">
      <c r="A2821" s="1" t="s">
        <v>2848</v>
      </c>
      <c r="B2821" s="2" t="s">
        <v>2849</v>
      </c>
      <c r="C2821" s="2"/>
      <c r="D2821" s="2" t="s">
        <v>11</v>
      </c>
      <c r="E2821" s="2">
        <v>10.0</v>
      </c>
      <c r="F2821" s="2" t="s">
        <v>12</v>
      </c>
      <c r="G2821" s="2"/>
      <c r="H2821" s="2"/>
      <c r="I2821" s="2"/>
    </row>
    <row r="2822">
      <c r="A2822" s="1" t="s">
        <v>2850</v>
      </c>
      <c r="B2822" s="2" t="s">
        <v>2849</v>
      </c>
      <c r="C2822" s="2"/>
      <c r="D2822" s="2" t="s">
        <v>11</v>
      </c>
      <c r="E2822" s="2">
        <v>10.0</v>
      </c>
      <c r="F2822" s="2" t="s">
        <v>12</v>
      </c>
      <c r="G2822" s="2"/>
      <c r="H2822" s="2"/>
      <c r="I2822" s="2"/>
    </row>
    <row r="2823">
      <c r="A2823" s="1" t="s">
        <v>2851</v>
      </c>
      <c r="B2823" s="2" t="s">
        <v>2849</v>
      </c>
      <c r="C2823" s="2"/>
      <c r="D2823" s="2" t="s">
        <v>11</v>
      </c>
      <c r="E2823" s="2">
        <v>10.0</v>
      </c>
      <c r="F2823" s="2" t="s">
        <v>12</v>
      </c>
      <c r="G2823" s="2"/>
      <c r="H2823" s="2"/>
      <c r="I2823" s="2"/>
    </row>
    <row r="2824">
      <c r="A2824" s="1" t="s">
        <v>2852</v>
      </c>
      <c r="B2824" s="2" t="s">
        <v>2849</v>
      </c>
      <c r="C2824" s="2"/>
      <c r="D2824" s="2" t="s">
        <v>11</v>
      </c>
      <c r="E2824" s="2">
        <v>10.0</v>
      </c>
      <c r="F2824" s="2" t="s">
        <v>12</v>
      </c>
      <c r="G2824" s="2"/>
      <c r="H2824" s="2"/>
      <c r="I2824" s="2"/>
    </row>
    <row r="2825">
      <c r="A2825" s="1" t="s">
        <v>2853</v>
      </c>
      <c r="B2825" s="2" t="s">
        <v>2849</v>
      </c>
      <c r="C2825" s="2"/>
      <c r="D2825" s="2" t="s">
        <v>11</v>
      </c>
      <c r="E2825" s="2">
        <v>10.0</v>
      </c>
      <c r="F2825" s="2" t="s">
        <v>12</v>
      </c>
      <c r="G2825" s="2"/>
      <c r="H2825" s="2"/>
      <c r="I2825" s="2"/>
    </row>
    <row r="2826">
      <c r="A2826" s="1" t="s">
        <v>2854</v>
      </c>
      <c r="B2826" s="2" t="s">
        <v>2849</v>
      </c>
      <c r="C2826" s="2"/>
      <c r="D2826" s="2" t="s">
        <v>11</v>
      </c>
      <c r="E2826" s="2">
        <v>10.0</v>
      </c>
      <c r="F2826" s="2" t="s">
        <v>12</v>
      </c>
      <c r="G2826" s="2"/>
      <c r="H2826" s="2"/>
      <c r="I2826" s="2"/>
    </row>
    <row r="2827">
      <c r="A2827" s="1" t="s">
        <v>2855</v>
      </c>
      <c r="B2827" s="2" t="s">
        <v>2849</v>
      </c>
      <c r="C2827" s="2"/>
      <c r="D2827" s="2" t="s">
        <v>11</v>
      </c>
      <c r="E2827" s="2">
        <v>10.0</v>
      </c>
      <c r="F2827" s="2" t="s">
        <v>12</v>
      </c>
      <c r="G2827" s="2"/>
      <c r="H2827" s="2"/>
      <c r="I2827" s="2"/>
    </row>
    <row r="2828">
      <c r="A2828" s="2" t="s">
        <v>2856</v>
      </c>
      <c r="B2828" s="2" t="s">
        <v>2849</v>
      </c>
      <c r="C2828" s="2"/>
      <c r="D2828" s="2" t="s">
        <v>37</v>
      </c>
      <c r="E2828" s="2">
        <v>10.0</v>
      </c>
      <c r="F2828" s="2" t="s">
        <v>12</v>
      </c>
      <c r="G2828" s="2"/>
      <c r="H2828" s="2"/>
      <c r="I2828" s="2"/>
    </row>
    <row r="2829">
      <c r="A2829" s="1" t="s">
        <v>2857</v>
      </c>
      <c r="B2829" s="2" t="s">
        <v>2849</v>
      </c>
      <c r="C2829" s="2"/>
      <c r="D2829" s="2" t="s">
        <v>11</v>
      </c>
      <c r="E2829" s="2">
        <v>10.0</v>
      </c>
      <c r="F2829" s="2" t="s">
        <v>12</v>
      </c>
      <c r="G2829" s="2"/>
      <c r="H2829" s="2"/>
      <c r="I2829" s="2"/>
    </row>
    <row r="2830">
      <c r="A2830" s="2" t="s">
        <v>2858</v>
      </c>
      <c r="B2830" s="2" t="s">
        <v>2849</v>
      </c>
      <c r="C2830" s="2"/>
      <c r="D2830" s="2" t="s">
        <v>11</v>
      </c>
      <c r="E2830" s="2">
        <v>10.0</v>
      </c>
      <c r="F2830" s="2" t="s">
        <v>12</v>
      </c>
      <c r="G2830" s="2"/>
      <c r="H2830" s="2"/>
      <c r="I2830" s="2"/>
    </row>
    <row r="2831">
      <c r="A2831" s="2" t="s">
        <v>2859</v>
      </c>
      <c r="B2831" s="2" t="s">
        <v>2849</v>
      </c>
      <c r="C2831" s="2"/>
      <c r="D2831" s="2" t="s">
        <v>11</v>
      </c>
      <c r="E2831" s="2">
        <v>10.0</v>
      </c>
      <c r="F2831" s="2" t="s">
        <v>12</v>
      </c>
      <c r="G2831" s="2"/>
      <c r="H2831" s="2"/>
      <c r="I2831" s="2"/>
    </row>
    <row r="2832">
      <c r="A2832" s="1" t="s">
        <v>2860</v>
      </c>
      <c r="B2832" s="2" t="s">
        <v>2849</v>
      </c>
      <c r="C2832" s="2"/>
      <c r="D2832" s="2" t="s">
        <v>11</v>
      </c>
      <c r="E2832" s="2">
        <v>10.0</v>
      </c>
      <c r="F2832" s="2" t="s">
        <v>12</v>
      </c>
      <c r="G2832" s="2"/>
      <c r="H2832" s="2"/>
      <c r="I2832" s="2"/>
    </row>
    <row r="2833">
      <c r="A2833" s="2" t="s">
        <v>2861</v>
      </c>
      <c r="B2833" s="2" t="s">
        <v>2849</v>
      </c>
      <c r="C2833" s="2"/>
      <c r="D2833" s="2" t="s">
        <v>11</v>
      </c>
      <c r="E2833" s="2">
        <v>10.0</v>
      </c>
      <c r="F2833" s="2" t="s">
        <v>12</v>
      </c>
      <c r="G2833" s="2"/>
      <c r="H2833" s="2"/>
      <c r="I2833" s="2"/>
    </row>
    <row r="2834">
      <c r="A2834" s="1" t="s">
        <v>2862</v>
      </c>
      <c r="B2834" s="2" t="s">
        <v>2849</v>
      </c>
      <c r="C2834" s="2"/>
      <c r="D2834" s="2" t="s">
        <v>11</v>
      </c>
      <c r="E2834" s="2">
        <v>10.0</v>
      </c>
      <c r="F2834" s="2" t="s">
        <v>12</v>
      </c>
      <c r="G2834" s="2"/>
      <c r="H2834" s="2"/>
      <c r="I2834" s="2"/>
    </row>
    <row r="2835">
      <c r="A2835" s="1" t="s">
        <v>2863</v>
      </c>
      <c r="B2835" s="2" t="s">
        <v>2849</v>
      </c>
      <c r="C2835" s="2"/>
      <c r="D2835" s="2" t="s">
        <v>11</v>
      </c>
      <c r="E2835" s="2">
        <v>10.0</v>
      </c>
      <c r="F2835" s="2" t="s">
        <v>12</v>
      </c>
      <c r="G2835" s="2"/>
      <c r="H2835" s="2"/>
      <c r="I2835" s="2"/>
    </row>
    <row r="2836">
      <c r="A2836" s="1" t="s">
        <v>2864</v>
      </c>
      <c r="B2836" s="2" t="s">
        <v>2849</v>
      </c>
      <c r="C2836" s="2"/>
      <c r="D2836" s="2" t="s">
        <v>11</v>
      </c>
      <c r="E2836" s="2">
        <v>10.0</v>
      </c>
      <c r="F2836" s="2" t="s">
        <v>12</v>
      </c>
      <c r="G2836" s="2"/>
      <c r="H2836" s="2"/>
      <c r="I2836" s="2"/>
    </row>
    <row r="2837">
      <c r="A2837" s="1" t="s">
        <v>2865</v>
      </c>
      <c r="B2837" s="2" t="s">
        <v>2849</v>
      </c>
      <c r="C2837" s="2"/>
      <c r="D2837" s="2" t="s">
        <v>11</v>
      </c>
      <c r="E2837" s="2">
        <v>10.0</v>
      </c>
      <c r="F2837" s="2" t="s">
        <v>12</v>
      </c>
      <c r="G2837" s="2"/>
      <c r="H2837" s="2"/>
      <c r="I2837" s="2"/>
    </row>
    <row r="2838">
      <c r="A2838" s="1" t="s">
        <v>2866</v>
      </c>
      <c r="B2838" s="2" t="s">
        <v>2849</v>
      </c>
      <c r="C2838" s="2"/>
      <c r="D2838" s="2" t="s">
        <v>11</v>
      </c>
      <c r="E2838" s="2">
        <v>10.0</v>
      </c>
      <c r="F2838" s="2" t="s">
        <v>12</v>
      </c>
      <c r="G2838" s="2"/>
      <c r="H2838" s="2"/>
      <c r="I2838" s="2"/>
    </row>
    <row r="2839">
      <c r="A2839" s="2" t="s">
        <v>2867</v>
      </c>
      <c r="B2839" s="2" t="s">
        <v>2849</v>
      </c>
      <c r="C2839" s="2"/>
      <c r="D2839" s="2" t="s">
        <v>11</v>
      </c>
      <c r="E2839" s="2">
        <v>10.0</v>
      </c>
      <c r="F2839" s="2" t="s">
        <v>12</v>
      </c>
      <c r="G2839" s="2"/>
      <c r="H2839" s="2"/>
      <c r="I2839" s="2"/>
    </row>
    <row r="2840">
      <c r="A2840" s="1" t="s">
        <v>2868</v>
      </c>
      <c r="B2840" s="2" t="s">
        <v>2849</v>
      </c>
      <c r="C2840" s="2"/>
      <c r="D2840" s="2" t="s">
        <v>11</v>
      </c>
      <c r="E2840" s="2">
        <v>10.0</v>
      </c>
      <c r="F2840" s="2" t="s">
        <v>12</v>
      </c>
      <c r="G2840" s="2"/>
      <c r="H2840" s="2"/>
      <c r="I2840" s="2"/>
    </row>
    <row r="2841">
      <c r="A2841" s="1" t="s">
        <v>2869</v>
      </c>
      <c r="B2841" s="2" t="s">
        <v>2849</v>
      </c>
      <c r="C2841" s="2"/>
      <c r="D2841" s="2" t="s">
        <v>11</v>
      </c>
      <c r="E2841" s="2">
        <v>10.0</v>
      </c>
      <c r="F2841" s="2" t="s">
        <v>12</v>
      </c>
      <c r="G2841" s="2"/>
      <c r="H2841" s="2"/>
      <c r="I2841" s="2"/>
    </row>
    <row r="2842">
      <c r="A2842" s="2" t="s">
        <v>2870</v>
      </c>
      <c r="B2842" s="2" t="s">
        <v>2871</v>
      </c>
      <c r="C2842" s="1"/>
      <c r="D2842" s="2"/>
      <c r="E2842" s="2"/>
      <c r="F2842" s="2"/>
      <c r="G2842" s="2"/>
      <c r="H2842" s="2"/>
      <c r="I2842" s="2"/>
    </row>
    <row r="2843">
      <c r="A2843" s="2" t="s">
        <v>2872</v>
      </c>
      <c r="B2843" s="2" t="s">
        <v>2871</v>
      </c>
      <c r="C2843" s="1"/>
      <c r="D2843" s="2"/>
      <c r="E2843" s="2"/>
      <c r="F2843" s="2"/>
      <c r="G2843" s="2"/>
      <c r="H2843" s="2"/>
      <c r="I2843" s="2"/>
    </row>
    <row r="2844">
      <c r="A2844" s="2" t="s">
        <v>2873</v>
      </c>
      <c r="B2844" s="2" t="s">
        <v>2871</v>
      </c>
      <c r="C2844" s="1"/>
      <c r="D2844" s="2"/>
      <c r="E2844" s="2"/>
      <c r="F2844" s="2"/>
      <c r="G2844" s="2"/>
      <c r="H2844" s="2"/>
      <c r="I2844" s="2"/>
    </row>
    <row r="2845">
      <c r="A2845" s="2" t="s">
        <v>2874</v>
      </c>
      <c r="B2845" s="2" t="s">
        <v>2871</v>
      </c>
      <c r="C2845" s="2"/>
      <c r="D2845" s="2" t="s">
        <v>11</v>
      </c>
      <c r="E2845" s="2">
        <v>10.0</v>
      </c>
      <c r="F2845" s="2" t="s">
        <v>12</v>
      </c>
      <c r="G2845" s="2"/>
      <c r="H2845" s="2"/>
      <c r="I2845" s="2"/>
    </row>
    <row r="2846">
      <c r="A2846" s="2" t="s">
        <v>2875</v>
      </c>
      <c r="B2846" s="2" t="s">
        <v>2871</v>
      </c>
      <c r="C2846" s="1"/>
      <c r="D2846" s="2"/>
      <c r="E2846" s="2"/>
      <c r="F2846" s="2"/>
      <c r="G2846" s="2"/>
      <c r="H2846" s="2"/>
      <c r="I2846" s="2"/>
    </row>
    <row r="2847">
      <c r="A2847" s="2" t="s">
        <v>2876</v>
      </c>
      <c r="B2847" s="2" t="s">
        <v>2871</v>
      </c>
      <c r="C2847" s="1"/>
      <c r="D2847" s="2"/>
      <c r="E2847" s="2"/>
      <c r="F2847" s="2"/>
      <c r="G2847" s="2"/>
      <c r="H2847" s="2"/>
      <c r="I2847" s="2"/>
    </row>
    <row r="2848">
      <c r="A2848" s="2" t="s">
        <v>2877</v>
      </c>
      <c r="B2848" s="2" t="s">
        <v>2871</v>
      </c>
      <c r="C2848" s="1"/>
      <c r="D2848" s="2"/>
      <c r="E2848" s="2"/>
      <c r="F2848" s="2"/>
      <c r="G2848" s="2"/>
      <c r="H2848" s="2"/>
      <c r="I2848" s="2"/>
    </row>
    <row r="2849">
      <c r="A2849" s="2" t="s">
        <v>2878</v>
      </c>
      <c r="B2849" s="2" t="s">
        <v>2871</v>
      </c>
      <c r="C2849" s="1"/>
      <c r="D2849" s="2"/>
      <c r="E2849" s="2"/>
      <c r="F2849" s="2"/>
      <c r="G2849" s="2"/>
      <c r="H2849" s="2"/>
      <c r="I2849" s="2"/>
    </row>
    <row r="2850">
      <c r="A2850" s="2" t="s">
        <v>2879</v>
      </c>
      <c r="B2850" s="2" t="s">
        <v>2871</v>
      </c>
      <c r="C2850" s="1"/>
      <c r="D2850" s="2"/>
      <c r="E2850" s="2"/>
      <c r="F2850" s="2"/>
      <c r="G2850" s="2"/>
      <c r="H2850" s="2"/>
      <c r="I2850" s="2"/>
    </row>
    <row r="2851">
      <c r="A2851" s="2" t="s">
        <v>2880</v>
      </c>
      <c r="B2851" s="2" t="s">
        <v>2871</v>
      </c>
      <c r="C2851" s="1"/>
      <c r="D2851" s="2"/>
      <c r="E2851" s="2"/>
      <c r="F2851" s="2"/>
      <c r="G2851" s="2"/>
      <c r="H2851" s="2"/>
      <c r="I2851" s="2"/>
    </row>
    <row r="2852">
      <c r="A2852" s="2" t="s">
        <v>2881</v>
      </c>
      <c r="B2852" s="2" t="s">
        <v>2871</v>
      </c>
      <c r="C2852" s="1"/>
      <c r="D2852" s="2"/>
      <c r="E2852" s="2"/>
      <c r="F2852" s="2"/>
      <c r="G2852" s="2"/>
      <c r="H2852" s="2"/>
      <c r="I2852" s="2"/>
    </row>
    <row r="2853">
      <c r="A2853" s="2" t="s">
        <v>2882</v>
      </c>
      <c r="B2853" s="2" t="s">
        <v>2871</v>
      </c>
      <c r="C2853" s="1"/>
      <c r="D2853" s="2"/>
      <c r="E2853" s="2"/>
      <c r="F2853" s="2"/>
      <c r="G2853" s="2"/>
      <c r="H2853" s="2"/>
      <c r="I2853" s="2"/>
    </row>
    <row r="2854">
      <c r="A2854" s="2" t="s">
        <v>2883</v>
      </c>
      <c r="B2854" s="2" t="s">
        <v>2871</v>
      </c>
      <c r="C2854" s="1"/>
      <c r="D2854" s="2"/>
      <c r="E2854" s="2"/>
      <c r="F2854" s="2"/>
      <c r="G2854" s="2"/>
      <c r="H2854" s="2"/>
      <c r="I2854" s="2"/>
    </row>
    <row r="2855">
      <c r="A2855" s="2" t="s">
        <v>2884</v>
      </c>
      <c r="B2855" s="2" t="s">
        <v>2871</v>
      </c>
      <c r="C2855" s="1"/>
      <c r="D2855" s="2"/>
      <c r="E2855" s="2"/>
      <c r="F2855" s="2"/>
      <c r="G2855" s="2"/>
      <c r="H2855" s="2"/>
      <c r="I2855" s="2"/>
    </row>
    <row r="2856">
      <c r="A2856" s="2" t="s">
        <v>2885</v>
      </c>
      <c r="B2856" s="2" t="s">
        <v>2871</v>
      </c>
      <c r="C2856" s="1"/>
      <c r="D2856" s="2"/>
      <c r="E2856" s="2"/>
      <c r="F2856" s="2"/>
      <c r="G2856" s="2"/>
      <c r="H2856" s="2"/>
      <c r="I2856" s="2"/>
    </row>
    <row r="2857">
      <c r="A2857" s="2" t="s">
        <v>2886</v>
      </c>
      <c r="B2857" s="2" t="s">
        <v>2871</v>
      </c>
      <c r="C2857" s="1"/>
      <c r="D2857" s="2"/>
      <c r="E2857" s="2"/>
      <c r="F2857" s="2"/>
      <c r="G2857" s="2"/>
      <c r="H2857" s="2"/>
      <c r="I2857" s="2"/>
    </row>
    <row r="2858">
      <c r="A2858" s="2" t="s">
        <v>2887</v>
      </c>
      <c r="B2858" s="2" t="s">
        <v>2871</v>
      </c>
      <c r="C2858" s="1"/>
      <c r="D2858" s="2"/>
      <c r="E2858" s="2"/>
      <c r="F2858" s="2"/>
      <c r="G2858" s="2"/>
      <c r="H2858" s="2"/>
      <c r="I2858" s="2"/>
    </row>
    <row r="2859">
      <c r="A2859" s="2" t="s">
        <v>2888</v>
      </c>
      <c r="B2859" s="2" t="s">
        <v>2871</v>
      </c>
      <c r="C2859" s="1"/>
      <c r="D2859" s="2"/>
      <c r="E2859" s="2"/>
      <c r="F2859" s="2"/>
      <c r="G2859" s="2"/>
      <c r="H2859" s="2"/>
      <c r="I2859" s="2"/>
    </row>
    <row r="2860">
      <c r="A2860" s="2" t="s">
        <v>2889</v>
      </c>
      <c r="B2860" s="2" t="s">
        <v>2871</v>
      </c>
      <c r="C2860" s="1"/>
      <c r="D2860" s="2"/>
      <c r="E2860" s="2"/>
      <c r="F2860" s="2"/>
      <c r="G2860" s="2"/>
      <c r="H2860" s="2"/>
      <c r="I2860" s="2"/>
    </row>
    <row r="2861">
      <c r="A2861" s="2" t="s">
        <v>2890</v>
      </c>
      <c r="B2861" s="2" t="s">
        <v>2871</v>
      </c>
      <c r="C2861" s="1"/>
      <c r="D2861" s="2"/>
      <c r="E2861" s="2"/>
      <c r="F2861" s="2"/>
      <c r="G2861" s="2"/>
      <c r="H2861" s="2"/>
      <c r="I2861" s="2"/>
    </row>
    <row r="2862">
      <c r="A2862" s="2" t="s">
        <v>2891</v>
      </c>
      <c r="B2862" s="2" t="s">
        <v>2871</v>
      </c>
      <c r="C2862" s="1"/>
      <c r="D2862" s="2"/>
      <c r="E2862" s="2"/>
      <c r="F2862" s="2"/>
      <c r="G2862" s="2"/>
      <c r="H2862" s="2"/>
      <c r="I2862" s="2"/>
    </row>
    <row r="2863">
      <c r="A2863" s="2" t="s">
        <v>2892</v>
      </c>
      <c r="B2863" s="2" t="s">
        <v>2871</v>
      </c>
      <c r="C2863" s="1"/>
      <c r="D2863" s="2"/>
      <c r="E2863" s="2"/>
      <c r="F2863" s="2"/>
      <c r="G2863" s="2"/>
      <c r="H2863" s="2"/>
      <c r="I2863" s="2"/>
    </row>
    <row r="2864">
      <c r="A2864" s="2" t="s">
        <v>2893</v>
      </c>
      <c r="B2864" s="2" t="s">
        <v>2871</v>
      </c>
      <c r="C2864" s="1"/>
      <c r="D2864" s="2"/>
      <c r="E2864" s="2"/>
      <c r="F2864" s="2"/>
      <c r="G2864" s="2"/>
      <c r="H2864" s="2"/>
      <c r="I2864" s="2"/>
    </row>
    <row r="2865">
      <c r="A2865" s="2" t="s">
        <v>2894</v>
      </c>
      <c r="B2865" s="2" t="s">
        <v>2871</v>
      </c>
      <c r="C2865" s="1"/>
      <c r="D2865" s="2"/>
      <c r="E2865" s="2"/>
      <c r="F2865" s="2"/>
      <c r="G2865" s="2"/>
      <c r="H2865" s="2"/>
      <c r="I2865" s="2"/>
    </row>
    <row r="2866">
      <c r="A2866" s="2" t="s">
        <v>2895</v>
      </c>
      <c r="B2866" s="2" t="s">
        <v>2871</v>
      </c>
      <c r="C2866" s="2"/>
      <c r="D2866" s="2" t="s">
        <v>11</v>
      </c>
      <c r="E2866" s="2">
        <v>10.0</v>
      </c>
      <c r="F2866" s="2" t="s">
        <v>12</v>
      </c>
      <c r="G2866" s="2"/>
      <c r="H2866" s="2"/>
      <c r="I2866" s="2"/>
    </row>
    <row r="2867">
      <c r="A2867" s="2" t="s">
        <v>2896</v>
      </c>
      <c r="B2867" s="2" t="s">
        <v>2871</v>
      </c>
      <c r="C2867" s="1"/>
      <c r="D2867" s="2"/>
      <c r="E2867" s="2"/>
      <c r="F2867" s="2"/>
      <c r="G2867" s="2"/>
      <c r="H2867" s="2"/>
      <c r="I2867" s="2"/>
    </row>
    <row r="2868">
      <c r="A2868" s="2" t="s">
        <v>2897</v>
      </c>
      <c r="B2868" s="2" t="s">
        <v>2871</v>
      </c>
      <c r="C2868" s="2"/>
      <c r="D2868" s="2" t="s">
        <v>11</v>
      </c>
      <c r="E2868" s="2">
        <v>10.0</v>
      </c>
      <c r="F2868" s="2" t="s">
        <v>12</v>
      </c>
      <c r="G2868" s="2"/>
      <c r="H2868" s="2"/>
      <c r="I2868" s="2"/>
    </row>
    <row r="2869">
      <c r="A2869" s="2" t="s">
        <v>2898</v>
      </c>
      <c r="B2869" s="2" t="s">
        <v>2871</v>
      </c>
      <c r="C2869" s="1"/>
      <c r="D2869" s="2"/>
      <c r="E2869" s="2"/>
      <c r="F2869" s="2"/>
      <c r="G2869" s="2"/>
      <c r="H2869" s="2"/>
      <c r="I2869" s="2"/>
    </row>
    <row r="2870">
      <c r="A2870" s="2" t="s">
        <v>2899</v>
      </c>
      <c r="B2870" s="2" t="s">
        <v>2871</v>
      </c>
      <c r="C2870" s="1"/>
      <c r="D2870" s="2"/>
      <c r="E2870" s="2"/>
      <c r="F2870" s="2"/>
      <c r="G2870" s="2"/>
      <c r="H2870" s="2"/>
      <c r="I2870" s="2"/>
    </row>
    <row r="2871">
      <c r="A2871" s="2" t="s">
        <v>2900</v>
      </c>
      <c r="B2871" s="2" t="s">
        <v>2871</v>
      </c>
      <c r="C2871" s="1"/>
      <c r="D2871" s="2"/>
      <c r="E2871" s="2"/>
      <c r="F2871" s="2"/>
      <c r="G2871" s="2"/>
      <c r="H2871" s="2"/>
      <c r="I2871" s="2"/>
    </row>
    <row r="2872">
      <c r="A2872" s="2" t="s">
        <v>2901</v>
      </c>
      <c r="B2872" s="2" t="s">
        <v>2871</v>
      </c>
      <c r="C2872" s="2"/>
      <c r="D2872" s="2" t="s">
        <v>11</v>
      </c>
      <c r="E2872" s="2">
        <v>10.0</v>
      </c>
      <c r="F2872" s="2" t="s">
        <v>12</v>
      </c>
      <c r="G2872" s="2"/>
      <c r="H2872" s="2"/>
      <c r="I2872" s="2"/>
    </row>
    <row r="2873">
      <c r="A2873" s="2" t="s">
        <v>2902</v>
      </c>
      <c r="B2873" s="2" t="s">
        <v>2871</v>
      </c>
      <c r="C2873" s="1"/>
      <c r="D2873" s="2"/>
      <c r="E2873" s="2"/>
      <c r="F2873" s="2"/>
      <c r="G2873" s="2"/>
      <c r="H2873" s="2"/>
      <c r="I2873" s="2"/>
    </row>
    <row r="2874">
      <c r="A2874" s="2" t="s">
        <v>2903</v>
      </c>
      <c r="B2874" s="2" t="s">
        <v>2871</v>
      </c>
      <c r="C2874" s="1"/>
      <c r="D2874" s="2"/>
      <c r="E2874" s="2"/>
      <c r="F2874" s="2"/>
      <c r="G2874" s="2"/>
      <c r="H2874" s="2"/>
      <c r="I2874" s="2"/>
    </row>
    <row r="2875">
      <c r="A2875" s="2" t="s">
        <v>2904</v>
      </c>
      <c r="B2875" s="2" t="s">
        <v>2871</v>
      </c>
      <c r="C2875" s="1"/>
      <c r="D2875" s="2"/>
      <c r="E2875" s="2"/>
      <c r="F2875" s="2"/>
      <c r="G2875" s="2"/>
      <c r="H2875" s="2"/>
      <c r="I2875" s="2"/>
    </row>
    <row r="2876">
      <c r="A2876" s="2" t="s">
        <v>2905</v>
      </c>
      <c r="B2876" s="2" t="s">
        <v>2906</v>
      </c>
      <c r="C2876" s="1"/>
      <c r="D2876" s="2"/>
      <c r="E2876" s="2"/>
      <c r="F2876" s="2"/>
      <c r="G2876" s="2"/>
      <c r="H2876" s="2"/>
      <c r="I2876" s="2"/>
    </row>
    <row r="2877">
      <c r="A2877" s="2" t="s">
        <v>2907</v>
      </c>
      <c r="B2877" s="2" t="s">
        <v>2906</v>
      </c>
      <c r="C2877" s="1"/>
      <c r="D2877" s="2"/>
      <c r="E2877" s="2"/>
      <c r="F2877" s="2"/>
      <c r="G2877" s="2"/>
      <c r="H2877" s="2"/>
      <c r="I2877" s="2"/>
    </row>
    <row r="2878">
      <c r="A2878" s="2" t="s">
        <v>2908</v>
      </c>
      <c r="B2878" s="2" t="s">
        <v>2906</v>
      </c>
      <c r="C2878" s="1"/>
      <c r="D2878" s="2"/>
      <c r="E2878" s="2"/>
      <c r="F2878" s="2"/>
      <c r="G2878" s="2"/>
      <c r="H2878" s="2"/>
      <c r="I2878" s="2"/>
    </row>
    <row r="2879">
      <c r="A2879" s="2" t="s">
        <v>2909</v>
      </c>
      <c r="B2879" s="2" t="s">
        <v>2906</v>
      </c>
      <c r="C2879" s="1"/>
      <c r="D2879" s="2"/>
      <c r="E2879" s="2"/>
      <c r="F2879" s="2"/>
      <c r="G2879" s="2"/>
      <c r="H2879" s="2"/>
      <c r="I2879" s="2"/>
    </row>
    <row r="2880">
      <c r="A2880" s="2" t="s">
        <v>2910</v>
      </c>
      <c r="B2880" s="2" t="s">
        <v>2906</v>
      </c>
      <c r="C2880" s="1"/>
      <c r="D2880" s="2"/>
      <c r="E2880" s="2"/>
      <c r="F2880" s="2"/>
      <c r="G2880" s="2"/>
      <c r="H2880" s="2"/>
      <c r="I2880" s="2"/>
    </row>
    <row r="2881">
      <c r="A2881" s="2" t="s">
        <v>2911</v>
      </c>
      <c r="B2881" s="2" t="s">
        <v>2906</v>
      </c>
      <c r="C2881" s="1"/>
      <c r="D2881" s="2"/>
      <c r="E2881" s="2"/>
      <c r="F2881" s="2"/>
      <c r="G2881" s="2"/>
      <c r="H2881" s="2"/>
      <c r="I2881" s="2"/>
    </row>
    <row r="2882">
      <c r="A2882" s="2" t="s">
        <v>2912</v>
      </c>
      <c r="B2882" s="2" t="s">
        <v>2906</v>
      </c>
      <c r="C2882" s="1"/>
      <c r="D2882" s="2"/>
      <c r="E2882" s="2"/>
      <c r="F2882" s="2"/>
      <c r="G2882" s="2"/>
      <c r="H2882" s="2"/>
      <c r="I2882" s="2"/>
    </row>
    <row r="2883">
      <c r="A2883" s="2" t="s">
        <v>2913</v>
      </c>
      <c r="B2883" s="2" t="s">
        <v>2906</v>
      </c>
      <c r="C2883" s="1"/>
      <c r="D2883" s="2"/>
      <c r="E2883" s="2"/>
      <c r="F2883" s="2"/>
      <c r="G2883" s="2"/>
      <c r="H2883" s="2"/>
      <c r="I2883" s="2"/>
    </row>
    <row r="2884">
      <c r="A2884" s="2" t="s">
        <v>2914</v>
      </c>
      <c r="B2884" s="2" t="s">
        <v>2906</v>
      </c>
      <c r="C2884" s="1"/>
      <c r="D2884" s="2"/>
      <c r="E2884" s="2"/>
      <c r="F2884" s="2"/>
      <c r="G2884" s="2"/>
      <c r="H2884" s="2"/>
      <c r="I2884" s="2"/>
    </row>
    <row r="2885">
      <c r="A2885" s="2" t="s">
        <v>2915</v>
      </c>
      <c r="B2885" s="2" t="s">
        <v>2906</v>
      </c>
      <c r="C2885" s="1"/>
      <c r="D2885" s="2"/>
      <c r="E2885" s="2"/>
      <c r="F2885" s="2"/>
      <c r="G2885" s="2"/>
      <c r="H2885" s="2"/>
      <c r="I2885" s="2"/>
    </row>
    <row r="2886">
      <c r="A2886" s="2" t="s">
        <v>2916</v>
      </c>
      <c r="B2886" s="2" t="s">
        <v>2906</v>
      </c>
      <c r="C2886" s="1"/>
      <c r="D2886" s="2"/>
      <c r="E2886" s="2"/>
      <c r="F2886" s="2"/>
      <c r="G2886" s="2"/>
      <c r="H2886" s="2"/>
      <c r="I2886" s="2"/>
    </row>
    <row r="2887">
      <c r="A2887" s="1" t="s">
        <v>2917</v>
      </c>
      <c r="B2887" s="2" t="s">
        <v>2906</v>
      </c>
      <c r="C2887" s="2"/>
      <c r="D2887" s="2" t="s">
        <v>37</v>
      </c>
      <c r="E2887" s="2">
        <v>10.0</v>
      </c>
      <c r="F2887" s="2" t="s">
        <v>12</v>
      </c>
      <c r="G2887" s="2"/>
      <c r="H2887" s="2"/>
      <c r="I2887" s="2"/>
    </row>
    <row r="2888">
      <c r="A2888" s="1" t="s">
        <v>2918</v>
      </c>
      <c r="B2888" s="2" t="s">
        <v>2906</v>
      </c>
      <c r="C2888" s="2"/>
      <c r="D2888" s="2" t="s">
        <v>37</v>
      </c>
      <c r="E2888" s="2">
        <v>10.0</v>
      </c>
      <c r="F2888" s="2" t="s">
        <v>12</v>
      </c>
      <c r="G2888" s="2"/>
      <c r="H2888" s="2"/>
      <c r="I2888" s="2"/>
    </row>
    <row r="2889">
      <c r="A2889" s="2" t="s">
        <v>2919</v>
      </c>
      <c r="B2889" s="2" t="s">
        <v>2906</v>
      </c>
      <c r="C2889" s="2"/>
      <c r="D2889" s="1" t="s">
        <v>22</v>
      </c>
      <c r="E2889" s="2">
        <v>1.0</v>
      </c>
      <c r="F2889" s="2" t="s">
        <v>22</v>
      </c>
      <c r="G2889" s="2"/>
      <c r="H2889" s="2"/>
      <c r="I2889" s="2"/>
    </row>
    <row r="2890">
      <c r="A2890" s="1" t="s">
        <v>2920</v>
      </c>
      <c r="B2890" s="2" t="s">
        <v>2906</v>
      </c>
      <c r="C2890" s="2"/>
      <c r="D2890" s="2" t="s">
        <v>11</v>
      </c>
      <c r="E2890" s="2">
        <v>10.0</v>
      </c>
      <c r="F2890" s="2" t="s">
        <v>12</v>
      </c>
      <c r="G2890" s="2"/>
      <c r="H2890" s="2"/>
      <c r="I2890" s="2"/>
    </row>
    <row r="2891">
      <c r="A2891" s="2" t="s">
        <v>2921</v>
      </c>
      <c r="B2891" s="2" t="s">
        <v>2906</v>
      </c>
      <c r="C2891" s="1"/>
      <c r="D2891" s="2"/>
      <c r="E2891" s="2"/>
      <c r="F2891" s="2"/>
      <c r="G2891" s="2"/>
      <c r="H2891" s="2"/>
      <c r="I2891" s="2"/>
    </row>
    <row r="2892">
      <c r="A2892" s="2" t="s">
        <v>2922</v>
      </c>
      <c r="B2892" s="2" t="s">
        <v>2906</v>
      </c>
      <c r="C2892" s="1"/>
      <c r="D2892" s="2"/>
      <c r="E2892" s="2"/>
      <c r="F2892" s="2"/>
      <c r="G2892" s="2"/>
      <c r="H2892" s="2"/>
      <c r="I2892" s="2"/>
    </row>
    <row r="2893">
      <c r="A2893" s="1" t="s">
        <v>2923</v>
      </c>
      <c r="B2893" s="2" t="s">
        <v>2906</v>
      </c>
      <c r="C2893" s="2"/>
      <c r="D2893" s="2" t="s">
        <v>11</v>
      </c>
      <c r="E2893" s="2">
        <v>10.0</v>
      </c>
      <c r="F2893" s="2" t="s">
        <v>12</v>
      </c>
      <c r="G2893" s="2"/>
      <c r="H2893" s="2"/>
      <c r="I2893" s="2"/>
    </row>
    <row r="2894">
      <c r="A2894" s="2" t="s">
        <v>2924</v>
      </c>
      <c r="B2894" s="2" t="s">
        <v>2906</v>
      </c>
      <c r="C2894" s="1"/>
      <c r="D2894" s="2"/>
      <c r="E2894" s="2"/>
      <c r="F2894" s="2"/>
      <c r="G2894" s="2"/>
      <c r="H2894" s="2"/>
      <c r="I2894" s="2"/>
    </row>
    <row r="2895">
      <c r="A2895" s="2" t="s">
        <v>2925</v>
      </c>
      <c r="B2895" s="2" t="s">
        <v>2906</v>
      </c>
      <c r="C2895" s="1"/>
      <c r="D2895" s="2"/>
      <c r="E2895" s="2"/>
      <c r="F2895" s="2"/>
      <c r="G2895" s="2"/>
      <c r="H2895" s="2"/>
      <c r="I2895" s="2"/>
    </row>
    <row r="2896">
      <c r="A2896" s="2" t="s">
        <v>2926</v>
      </c>
      <c r="B2896" s="2" t="s">
        <v>2906</v>
      </c>
      <c r="C2896" s="1"/>
      <c r="D2896" s="2"/>
      <c r="E2896" s="2"/>
      <c r="F2896" s="2"/>
      <c r="G2896" s="2"/>
      <c r="H2896" s="2"/>
      <c r="I2896" s="2"/>
    </row>
    <row r="2897">
      <c r="A2897" s="2" t="s">
        <v>2927</v>
      </c>
      <c r="B2897" s="2" t="s">
        <v>2906</v>
      </c>
      <c r="C2897" s="1"/>
      <c r="D2897" s="2"/>
      <c r="E2897" s="2"/>
      <c r="F2897" s="2"/>
      <c r="G2897" s="2"/>
      <c r="H2897" s="2"/>
      <c r="I2897" s="2"/>
    </row>
    <row r="2898">
      <c r="A2898" s="2" t="s">
        <v>2928</v>
      </c>
      <c r="B2898" s="2" t="s">
        <v>2906</v>
      </c>
      <c r="C2898" s="1"/>
      <c r="D2898" s="2"/>
      <c r="E2898" s="2"/>
      <c r="F2898" s="2"/>
      <c r="G2898" s="2"/>
      <c r="H2898" s="2"/>
      <c r="I2898" s="2"/>
    </row>
    <row r="2899">
      <c r="A2899" s="2" t="s">
        <v>2929</v>
      </c>
      <c r="B2899" s="2" t="s">
        <v>2906</v>
      </c>
      <c r="C2899" s="1"/>
      <c r="D2899" s="2"/>
      <c r="E2899" s="2"/>
      <c r="F2899" s="2"/>
      <c r="G2899" s="2"/>
      <c r="H2899" s="2"/>
      <c r="I2899" s="2"/>
    </row>
    <row r="2900">
      <c r="A2900" s="2" t="s">
        <v>2930</v>
      </c>
      <c r="B2900" s="2" t="s">
        <v>2906</v>
      </c>
      <c r="C2900" s="1"/>
      <c r="D2900" s="2"/>
      <c r="E2900" s="2"/>
      <c r="F2900" s="2"/>
      <c r="G2900" s="2"/>
      <c r="H2900" s="2"/>
      <c r="I2900" s="2"/>
    </row>
    <row r="2901">
      <c r="A2901" s="2" t="s">
        <v>2931</v>
      </c>
      <c r="B2901" s="2" t="s">
        <v>2906</v>
      </c>
      <c r="C2901" s="2"/>
      <c r="D2901" s="2" t="s">
        <v>11</v>
      </c>
      <c r="E2901" s="2">
        <v>10.0</v>
      </c>
      <c r="F2901" s="2" t="s">
        <v>12</v>
      </c>
      <c r="G2901" s="2"/>
      <c r="H2901" s="2"/>
      <c r="I2901" s="2"/>
    </row>
    <row r="2902">
      <c r="A2902" s="2" t="s">
        <v>2932</v>
      </c>
      <c r="B2902" s="2" t="s">
        <v>2906</v>
      </c>
      <c r="C2902" s="1"/>
      <c r="D2902" s="2"/>
      <c r="E2902" s="2"/>
      <c r="F2902" s="2"/>
      <c r="G2902" s="2"/>
      <c r="H2902" s="2"/>
      <c r="I2902" s="2"/>
    </row>
    <row r="2903">
      <c r="A2903" s="2" t="s">
        <v>2933</v>
      </c>
      <c r="B2903" s="2" t="s">
        <v>2906</v>
      </c>
      <c r="C2903" s="2"/>
      <c r="D2903" s="2" t="s">
        <v>11</v>
      </c>
      <c r="E2903" s="2">
        <v>10.0</v>
      </c>
      <c r="F2903" s="2" t="s">
        <v>12</v>
      </c>
      <c r="G2903" s="2"/>
      <c r="H2903" s="2"/>
      <c r="I2903" s="2"/>
    </row>
    <row r="2904">
      <c r="A2904" s="2" t="s">
        <v>2934</v>
      </c>
      <c r="B2904" s="2" t="s">
        <v>2906</v>
      </c>
      <c r="C2904" s="1"/>
      <c r="D2904" s="2"/>
      <c r="E2904" s="2"/>
      <c r="F2904" s="2"/>
      <c r="G2904" s="2"/>
      <c r="H2904" s="2"/>
      <c r="I2904" s="2"/>
    </row>
    <row r="2905">
      <c r="A2905" s="2" t="s">
        <v>2935</v>
      </c>
      <c r="B2905" s="2" t="s">
        <v>2906</v>
      </c>
      <c r="C2905" s="2"/>
      <c r="D2905" s="2" t="s">
        <v>11</v>
      </c>
      <c r="E2905" s="2">
        <v>10.0</v>
      </c>
      <c r="F2905" s="2" t="s">
        <v>12</v>
      </c>
      <c r="G2905" s="2"/>
      <c r="H2905" s="2"/>
      <c r="I2905" s="2"/>
    </row>
    <row r="2906">
      <c r="A2906" s="2" t="s">
        <v>2936</v>
      </c>
      <c r="B2906" s="2" t="s">
        <v>2906</v>
      </c>
      <c r="C2906" s="1"/>
      <c r="D2906" s="2"/>
      <c r="E2906" s="2"/>
      <c r="F2906" s="2"/>
      <c r="G2906" s="2"/>
      <c r="H2906" s="2"/>
      <c r="I2906" s="2"/>
    </row>
    <row r="2907">
      <c r="A2907" s="2" t="s">
        <v>2937</v>
      </c>
      <c r="B2907" s="2" t="s">
        <v>2906</v>
      </c>
      <c r="C2907" s="2"/>
      <c r="D2907" s="2" t="s">
        <v>11</v>
      </c>
      <c r="E2907" s="2">
        <v>15.0</v>
      </c>
      <c r="F2907" s="2" t="s">
        <v>12</v>
      </c>
      <c r="G2907" s="2"/>
      <c r="H2907" s="2"/>
      <c r="I2907" s="2"/>
    </row>
    <row r="2908">
      <c r="A2908" s="2" t="s">
        <v>2938</v>
      </c>
      <c r="B2908" s="2" t="s">
        <v>2906</v>
      </c>
      <c r="C2908" s="2"/>
      <c r="D2908" s="2" t="s">
        <v>11</v>
      </c>
      <c r="E2908" s="2">
        <v>10.0</v>
      </c>
      <c r="F2908" s="2" t="s">
        <v>12</v>
      </c>
      <c r="G2908" s="2"/>
      <c r="H2908" s="2"/>
      <c r="I2908" s="2"/>
    </row>
    <row r="2909">
      <c r="A2909" s="2" t="s">
        <v>2939</v>
      </c>
      <c r="B2909" s="2" t="s">
        <v>2940</v>
      </c>
      <c r="C2909" s="1"/>
      <c r="D2909" s="2"/>
      <c r="E2909" s="2"/>
      <c r="F2909" s="2"/>
      <c r="G2909" s="2"/>
      <c r="H2909" s="2"/>
      <c r="I2909" s="2"/>
    </row>
    <row r="2910">
      <c r="A2910" s="2" t="s">
        <v>2941</v>
      </c>
      <c r="B2910" s="2" t="s">
        <v>2942</v>
      </c>
      <c r="C2910" s="2"/>
      <c r="D2910" s="2" t="s">
        <v>11</v>
      </c>
      <c r="E2910" s="2">
        <v>10.0</v>
      </c>
      <c r="F2910" s="2" t="s">
        <v>12</v>
      </c>
      <c r="G2910" s="2"/>
      <c r="H2910" s="2"/>
      <c r="I2910" s="2"/>
    </row>
    <row r="2911">
      <c r="A2911" s="2" t="s">
        <v>2943</v>
      </c>
      <c r="B2911" s="2" t="s">
        <v>2944</v>
      </c>
      <c r="C2911" s="2"/>
      <c r="D2911" s="2" t="s">
        <v>11</v>
      </c>
      <c r="E2911" s="2">
        <v>10.0</v>
      </c>
      <c r="F2911" s="2" t="s">
        <v>12</v>
      </c>
      <c r="G2911" s="2"/>
      <c r="H2911" s="2"/>
      <c r="I2911" s="2"/>
    </row>
    <row r="2912">
      <c r="A2912" s="2" t="s">
        <v>2945</v>
      </c>
      <c r="B2912" s="2" t="s">
        <v>2944</v>
      </c>
      <c r="C2912" s="2"/>
      <c r="D2912" s="2" t="s">
        <v>11</v>
      </c>
      <c r="E2912" s="2">
        <v>10.0</v>
      </c>
      <c r="F2912" s="2" t="s">
        <v>12</v>
      </c>
      <c r="G2912" s="2"/>
      <c r="H2912" s="2"/>
      <c r="I2912" s="2"/>
    </row>
    <row r="2913">
      <c r="A2913" s="2" t="s">
        <v>2946</v>
      </c>
      <c r="B2913" s="2" t="s">
        <v>2944</v>
      </c>
      <c r="C2913" s="1"/>
      <c r="D2913" s="2"/>
      <c r="E2913" s="2"/>
      <c r="F2913" s="2"/>
      <c r="G2913" s="2"/>
      <c r="H2913" s="2"/>
      <c r="I2913" s="2"/>
    </row>
    <row r="2914">
      <c r="A2914" s="2" t="s">
        <v>2947</v>
      </c>
      <c r="B2914" s="2" t="s">
        <v>2944</v>
      </c>
      <c r="C2914" s="2"/>
      <c r="D2914" s="2" t="s">
        <v>11</v>
      </c>
      <c r="E2914" s="2">
        <v>10.0</v>
      </c>
      <c r="F2914" s="2" t="s">
        <v>12</v>
      </c>
      <c r="G2914" s="2"/>
      <c r="H2914" s="2"/>
      <c r="I2914" s="2"/>
    </row>
    <row r="2915">
      <c r="A2915" s="1" t="s">
        <v>2948</v>
      </c>
      <c r="B2915" s="2" t="s">
        <v>2944</v>
      </c>
      <c r="C2915" s="2"/>
      <c r="D2915" s="2" t="s">
        <v>11</v>
      </c>
      <c r="E2915" s="2">
        <v>10.0</v>
      </c>
      <c r="F2915" s="2" t="s">
        <v>12</v>
      </c>
      <c r="G2915" s="2"/>
      <c r="H2915" s="2"/>
      <c r="I2915" s="2"/>
    </row>
    <row r="2916">
      <c r="A2916" s="1" t="s">
        <v>2949</v>
      </c>
      <c r="B2916" s="2" t="s">
        <v>2944</v>
      </c>
      <c r="C2916" s="2"/>
      <c r="D2916" s="2" t="s">
        <v>11</v>
      </c>
      <c r="E2916" s="2">
        <v>10.0</v>
      </c>
      <c r="F2916" s="2" t="s">
        <v>12</v>
      </c>
      <c r="G2916" s="2"/>
      <c r="H2916" s="2"/>
      <c r="I2916" s="2"/>
    </row>
    <row r="2917">
      <c r="A2917" s="2" t="s">
        <v>2950</v>
      </c>
      <c r="B2917" s="2" t="s">
        <v>2944</v>
      </c>
      <c r="C2917" s="1"/>
      <c r="D2917" s="2"/>
      <c r="E2917" s="2"/>
      <c r="F2917" s="2"/>
      <c r="G2917" s="2"/>
      <c r="H2917" s="2"/>
      <c r="I2917" s="2"/>
    </row>
    <row r="2918">
      <c r="A2918" s="1" t="s">
        <v>2951</v>
      </c>
      <c r="B2918" s="2" t="s">
        <v>2944</v>
      </c>
      <c r="C2918" s="1"/>
      <c r="D2918" s="2"/>
      <c r="E2918" s="2"/>
      <c r="F2918" s="2"/>
      <c r="G2918" s="2"/>
      <c r="H2918" s="2"/>
      <c r="I2918" s="2"/>
    </row>
    <row r="2919">
      <c r="A2919" s="2" t="s">
        <v>2952</v>
      </c>
      <c r="B2919" s="2" t="s">
        <v>2944</v>
      </c>
      <c r="C2919" s="2"/>
      <c r="D2919" s="2" t="s">
        <v>11</v>
      </c>
      <c r="E2919" s="2">
        <v>10.0</v>
      </c>
      <c r="F2919" s="2" t="s">
        <v>12</v>
      </c>
      <c r="G2919" s="2"/>
      <c r="H2919" s="2"/>
      <c r="I2919" s="2"/>
    </row>
    <row r="2920">
      <c r="A2920" s="1" t="s">
        <v>2953</v>
      </c>
      <c r="B2920" s="2" t="s">
        <v>2944</v>
      </c>
      <c r="C2920" s="2"/>
      <c r="D2920" s="2" t="s">
        <v>11</v>
      </c>
      <c r="E2920" s="2">
        <v>10.0</v>
      </c>
      <c r="F2920" s="2" t="s">
        <v>12</v>
      </c>
      <c r="G2920" s="2"/>
      <c r="H2920" s="2"/>
      <c r="I2920" s="2"/>
    </row>
    <row r="2921">
      <c r="A2921" s="2" t="s">
        <v>2954</v>
      </c>
      <c r="B2921" s="2" t="s">
        <v>2944</v>
      </c>
      <c r="C2921" s="2"/>
      <c r="D2921" s="2" t="s">
        <v>37</v>
      </c>
      <c r="E2921" s="2">
        <v>10.0</v>
      </c>
      <c r="F2921" s="2" t="s">
        <v>12</v>
      </c>
      <c r="G2921" s="2"/>
      <c r="H2921" s="2"/>
      <c r="I2921" s="2"/>
    </row>
    <row r="2922">
      <c r="A2922" s="2" t="s">
        <v>2955</v>
      </c>
      <c r="B2922" s="2" t="s">
        <v>2944</v>
      </c>
      <c r="C2922" s="1"/>
      <c r="D2922" s="2"/>
      <c r="E2922" s="2"/>
      <c r="F2922" s="2"/>
      <c r="G2922" s="2"/>
      <c r="H2922" s="2"/>
      <c r="I2922" s="2"/>
    </row>
    <row r="2923">
      <c r="A2923" s="2" t="s">
        <v>2956</v>
      </c>
      <c r="B2923" s="2" t="s">
        <v>2944</v>
      </c>
      <c r="C2923" s="1"/>
      <c r="D2923" s="2"/>
      <c r="E2923" s="2"/>
      <c r="F2923" s="2"/>
      <c r="G2923" s="2"/>
      <c r="H2923" s="2"/>
      <c r="I2923" s="2"/>
    </row>
    <row r="2924">
      <c r="A2924" s="2" t="s">
        <v>2957</v>
      </c>
      <c r="B2924" s="2" t="s">
        <v>2944</v>
      </c>
      <c r="C2924" s="2"/>
      <c r="D2924" s="2" t="s">
        <v>11</v>
      </c>
      <c r="E2924" s="2">
        <v>10.0</v>
      </c>
      <c r="F2924" s="2" t="s">
        <v>12</v>
      </c>
      <c r="G2924" s="2"/>
      <c r="H2924" s="2"/>
      <c r="I2924" s="2"/>
    </row>
    <row r="2925">
      <c r="A2925" s="2" t="s">
        <v>2958</v>
      </c>
      <c r="B2925" s="2" t="s">
        <v>2944</v>
      </c>
      <c r="C2925" s="2"/>
      <c r="D2925" s="2" t="s">
        <v>37</v>
      </c>
      <c r="E2925" s="2">
        <v>10.0</v>
      </c>
      <c r="F2925" s="2" t="s">
        <v>12</v>
      </c>
      <c r="G2925" s="2"/>
      <c r="H2925" s="2"/>
      <c r="I2925" s="2"/>
    </row>
    <row r="2926">
      <c r="A2926" s="2" t="s">
        <v>2959</v>
      </c>
      <c r="B2926" s="2" t="s">
        <v>2944</v>
      </c>
      <c r="C2926" s="2"/>
      <c r="D2926" s="2" t="s">
        <v>11</v>
      </c>
      <c r="E2926" s="2">
        <v>10.0</v>
      </c>
      <c r="F2926" s="2" t="s">
        <v>12</v>
      </c>
      <c r="G2926" s="2"/>
      <c r="H2926" s="2"/>
      <c r="I2926" s="2"/>
    </row>
    <row r="2927">
      <c r="A2927" s="1" t="s">
        <v>2960</v>
      </c>
      <c r="B2927" s="2" t="s">
        <v>2944</v>
      </c>
      <c r="C2927" s="2"/>
      <c r="D2927" s="2" t="s">
        <v>11</v>
      </c>
      <c r="E2927" s="2">
        <v>10.0</v>
      </c>
      <c r="F2927" s="2" t="s">
        <v>12</v>
      </c>
      <c r="G2927" s="2"/>
      <c r="H2927" s="2"/>
      <c r="I2927" s="2"/>
    </row>
    <row r="2928">
      <c r="A2928" s="1" t="s">
        <v>2961</v>
      </c>
      <c r="B2928" s="2" t="s">
        <v>2944</v>
      </c>
      <c r="C2928" s="2"/>
      <c r="D2928" s="2" t="s">
        <v>11</v>
      </c>
      <c r="E2928" s="2">
        <v>10.0</v>
      </c>
      <c r="F2928" s="2" t="s">
        <v>12</v>
      </c>
      <c r="G2928" s="2"/>
      <c r="H2928" s="2"/>
      <c r="I2928" s="2"/>
    </row>
    <row r="2929">
      <c r="A2929" s="1" t="s">
        <v>2962</v>
      </c>
      <c r="B2929" s="2" t="s">
        <v>2944</v>
      </c>
      <c r="C2929" s="2"/>
      <c r="D2929" s="1" t="s">
        <v>11</v>
      </c>
      <c r="E2929" s="2">
        <v>4.0</v>
      </c>
      <c r="F2929" s="2" t="s">
        <v>12</v>
      </c>
      <c r="G2929" s="2"/>
      <c r="H2929" s="2"/>
      <c r="I2929" s="2"/>
    </row>
    <row r="2930">
      <c r="A2930" s="1" t="s">
        <v>2963</v>
      </c>
      <c r="B2930" s="2" t="s">
        <v>2944</v>
      </c>
      <c r="C2930" s="2"/>
      <c r="D2930" s="1" t="s">
        <v>11</v>
      </c>
      <c r="E2930" s="2">
        <v>4.0</v>
      </c>
      <c r="F2930" s="2" t="s">
        <v>12</v>
      </c>
      <c r="G2930" s="2"/>
      <c r="H2930" s="2"/>
      <c r="I2930" s="2"/>
    </row>
    <row r="2931">
      <c r="A2931" s="2" t="s">
        <v>2964</v>
      </c>
      <c r="B2931" s="2" t="s">
        <v>2944</v>
      </c>
      <c r="C2931" s="2"/>
      <c r="D2931" s="2" t="s">
        <v>11</v>
      </c>
      <c r="E2931" s="2">
        <v>10.0</v>
      </c>
      <c r="F2931" s="2" t="s">
        <v>12</v>
      </c>
      <c r="G2931" s="2"/>
      <c r="H2931" s="2"/>
      <c r="I2931" s="2"/>
    </row>
    <row r="2932">
      <c r="A2932" s="2" t="s">
        <v>2965</v>
      </c>
      <c r="B2932" s="2" t="s">
        <v>2944</v>
      </c>
      <c r="C2932" s="2"/>
      <c r="D2932" s="2" t="s">
        <v>21</v>
      </c>
      <c r="E2932" s="2">
        <v>1.0</v>
      </c>
      <c r="F2932" s="2" t="s">
        <v>22</v>
      </c>
      <c r="G2932" s="2"/>
      <c r="H2932" s="2"/>
      <c r="I2932" s="2"/>
    </row>
    <row r="2933">
      <c r="A2933" s="1" t="s">
        <v>2966</v>
      </c>
      <c r="B2933" s="2" t="s">
        <v>2944</v>
      </c>
      <c r="C2933" s="2"/>
      <c r="D2933" s="2" t="s">
        <v>11</v>
      </c>
      <c r="E2933" s="2">
        <v>10.0</v>
      </c>
      <c r="F2933" s="2" t="s">
        <v>12</v>
      </c>
      <c r="G2933" s="2"/>
      <c r="H2933" s="2"/>
      <c r="I2933" s="2"/>
    </row>
    <row r="2934">
      <c r="A2934" s="2" t="s">
        <v>2967</v>
      </c>
      <c r="B2934" s="2" t="s">
        <v>2968</v>
      </c>
      <c r="C2934" s="2"/>
      <c r="D2934" s="2" t="s">
        <v>11</v>
      </c>
      <c r="E2934" s="2">
        <v>10.0</v>
      </c>
      <c r="F2934" s="2" t="s">
        <v>12</v>
      </c>
      <c r="G2934" s="2"/>
      <c r="H2934" s="2"/>
      <c r="I2934" s="2"/>
    </row>
    <row r="2935">
      <c r="A2935" s="2" t="s">
        <v>2969</v>
      </c>
      <c r="B2935" s="2" t="s">
        <v>2968</v>
      </c>
      <c r="C2935" s="2"/>
      <c r="D2935" s="2" t="s">
        <v>11</v>
      </c>
      <c r="E2935" s="2">
        <v>10.0</v>
      </c>
      <c r="F2935" s="2" t="s">
        <v>12</v>
      </c>
      <c r="G2935" s="2"/>
      <c r="H2935" s="2"/>
      <c r="I2935" s="2"/>
    </row>
    <row r="2936">
      <c r="A2936" s="1" t="s">
        <v>2970</v>
      </c>
      <c r="B2936" s="2" t="s">
        <v>2968</v>
      </c>
      <c r="C2936" s="2"/>
      <c r="D2936" s="2" t="s">
        <v>11</v>
      </c>
      <c r="E2936" s="2">
        <v>10.0</v>
      </c>
      <c r="F2936" s="2" t="s">
        <v>12</v>
      </c>
      <c r="G2936" s="2"/>
      <c r="H2936" s="2"/>
      <c r="I2936" s="2"/>
    </row>
    <row r="2937">
      <c r="A2937" s="1" t="s">
        <v>2971</v>
      </c>
      <c r="B2937" s="2" t="s">
        <v>2968</v>
      </c>
      <c r="C2937" s="2"/>
      <c r="D2937" s="2" t="s">
        <v>11</v>
      </c>
      <c r="E2937" s="2">
        <v>10.0</v>
      </c>
      <c r="F2937" s="2" t="s">
        <v>12</v>
      </c>
      <c r="G2937" s="2"/>
      <c r="H2937" s="2"/>
      <c r="I2937" s="2"/>
    </row>
    <row r="2938">
      <c r="A2938" s="2" t="s">
        <v>2972</v>
      </c>
      <c r="B2938" s="2" t="s">
        <v>2968</v>
      </c>
      <c r="C2938" s="2"/>
      <c r="D2938" s="2" t="s">
        <v>11</v>
      </c>
      <c r="E2938" s="2">
        <v>10.0</v>
      </c>
      <c r="F2938" s="2" t="s">
        <v>12</v>
      </c>
      <c r="G2938" s="2"/>
      <c r="H2938" s="2"/>
      <c r="I2938" s="2"/>
    </row>
    <row r="2939">
      <c r="A2939" s="1" t="s">
        <v>2973</v>
      </c>
      <c r="B2939" s="2" t="s">
        <v>2968</v>
      </c>
      <c r="C2939" s="2"/>
      <c r="D2939" s="2" t="s">
        <v>11</v>
      </c>
      <c r="E2939" s="2">
        <v>10.0</v>
      </c>
      <c r="F2939" s="2" t="s">
        <v>12</v>
      </c>
      <c r="G2939" s="2"/>
      <c r="H2939" s="2"/>
      <c r="I2939" s="2"/>
    </row>
    <row r="2940">
      <c r="A2940" s="2" t="s">
        <v>2974</v>
      </c>
      <c r="B2940" s="2" t="s">
        <v>2968</v>
      </c>
      <c r="C2940" s="2"/>
      <c r="D2940" s="2" t="s">
        <v>11</v>
      </c>
      <c r="E2940" s="2">
        <v>10.0</v>
      </c>
      <c r="F2940" s="2" t="s">
        <v>12</v>
      </c>
      <c r="G2940" s="2"/>
      <c r="H2940" s="2"/>
      <c r="I2940" s="2"/>
    </row>
    <row r="2941">
      <c r="A2941" s="2" t="s">
        <v>2975</v>
      </c>
      <c r="B2941" s="2" t="s">
        <v>2968</v>
      </c>
      <c r="C2941" s="2"/>
      <c r="D2941" s="2" t="s">
        <v>11</v>
      </c>
      <c r="E2941" s="2">
        <v>15.0</v>
      </c>
      <c r="F2941" s="2" t="s">
        <v>12</v>
      </c>
      <c r="G2941" s="2"/>
      <c r="H2941" s="2"/>
      <c r="I2941" s="2"/>
    </row>
    <row r="2942">
      <c r="A2942" s="1" t="s">
        <v>2976</v>
      </c>
      <c r="B2942" s="2" t="s">
        <v>2968</v>
      </c>
      <c r="C2942" s="2"/>
      <c r="D2942" s="2" t="s">
        <v>11</v>
      </c>
      <c r="E2942" s="2">
        <v>10.0</v>
      </c>
      <c r="F2942" s="2" t="s">
        <v>12</v>
      </c>
      <c r="G2942" s="2"/>
      <c r="H2942" s="2"/>
      <c r="I2942" s="2"/>
    </row>
    <row r="2943">
      <c r="A2943" s="1" t="s">
        <v>2977</v>
      </c>
      <c r="B2943" s="2" t="s">
        <v>2968</v>
      </c>
      <c r="C2943" s="2"/>
      <c r="D2943" s="2" t="s">
        <v>11</v>
      </c>
      <c r="E2943" s="2">
        <v>10.0</v>
      </c>
      <c r="F2943" s="2" t="s">
        <v>12</v>
      </c>
      <c r="G2943" s="2"/>
      <c r="H2943" s="2"/>
      <c r="I2943" s="2"/>
    </row>
    <row r="2944">
      <c r="A2944" s="1" t="s">
        <v>2978</v>
      </c>
      <c r="B2944" s="2" t="s">
        <v>2968</v>
      </c>
      <c r="C2944" s="2"/>
      <c r="D2944" s="2" t="s">
        <v>11</v>
      </c>
      <c r="E2944" s="2">
        <v>10.0</v>
      </c>
      <c r="F2944" s="2" t="s">
        <v>12</v>
      </c>
      <c r="G2944" s="2"/>
      <c r="H2944" s="2"/>
      <c r="I2944" s="2"/>
    </row>
    <row r="2945">
      <c r="A2945" s="1" t="s">
        <v>2979</v>
      </c>
      <c r="B2945" s="2" t="s">
        <v>2968</v>
      </c>
      <c r="C2945" s="2"/>
      <c r="D2945" s="2" t="s">
        <v>11</v>
      </c>
      <c r="E2945" s="2">
        <v>10.0</v>
      </c>
      <c r="F2945" s="2" t="s">
        <v>12</v>
      </c>
      <c r="G2945" s="2"/>
      <c r="H2945" s="2"/>
      <c r="I2945" s="2"/>
    </row>
    <row r="2946">
      <c r="A2946" s="2" t="s">
        <v>2980</v>
      </c>
      <c r="B2946" s="2" t="s">
        <v>2968</v>
      </c>
      <c r="C2946" s="2"/>
      <c r="D2946" s="2" t="s">
        <v>11</v>
      </c>
      <c r="E2946" s="2">
        <v>10.0</v>
      </c>
      <c r="F2946" s="2" t="s">
        <v>12</v>
      </c>
      <c r="G2946" s="2"/>
      <c r="H2946" s="2"/>
      <c r="I2946" s="2"/>
    </row>
    <row r="2947">
      <c r="A2947" s="2" t="s">
        <v>2981</v>
      </c>
      <c r="B2947" s="2" t="s">
        <v>2968</v>
      </c>
      <c r="C2947" s="2"/>
      <c r="D2947" s="2" t="s">
        <v>11</v>
      </c>
      <c r="E2947" s="2">
        <v>10.0</v>
      </c>
      <c r="F2947" s="2" t="s">
        <v>12</v>
      </c>
      <c r="G2947" s="2"/>
      <c r="H2947" s="2"/>
      <c r="I2947" s="2"/>
    </row>
    <row r="2948">
      <c r="A2948" s="1" t="s">
        <v>2982</v>
      </c>
      <c r="B2948" s="2" t="s">
        <v>2968</v>
      </c>
      <c r="C2948" s="2"/>
      <c r="D2948" s="2" t="s">
        <v>11</v>
      </c>
      <c r="E2948" s="2">
        <v>10.0</v>
      </c>
      <c r="F2948" s="2" t="s">
        <v>12</v>
      </c>
      <c r="G2948" s="2"/>
      <c r="H2948" s="2"/>
      <c r="I2948" s="2"/>
    </row>
    <row r="2949">
      <c r="A2949" s="1" t="s">
        <v>2983</v>
      </c>
      <c r="B2949" s="2" t="s">
        <v>2968</v>
      </c>
      <c r="C2949" s="2"/>
      <c r="D2949" s="2" t="s">
        <v>11</v>
      </c>
      <c r="E2949" s="2">
        <v>10.0</v>
      </c>
      <c r="F2949" s="2" t="s">
        <v>12</v>
      </c>
      <c r="G2949" s="2"/>
      <c r="H2949" s="2"/>
      <c r="I2949" s="2"/>
    </row>
    <row r="2950">
      <c r="A2950" s="1" t="s">
        <v>2984</v>
      </c>
      <c r="B2950" s="2" t="s">
        <v>2968</v>
      </c>
      <c r="C2950" s="2"/>
      <c r="D2950" s="2" t="s">
        <v>11</v>
      </c>
      <c r="E2950" s="2">
        <v>10.0</v>
      </c>
      <c r="F2950" s="2" t="s">
        <v>12</v>
      </c>
      <c r="G2950" s="2"/>
      <c r="H2950" s="2"/>
      <c r="I2950" s="2"/>
    </row>
    <row r="2951">
      <c r="A2951" s="1" t="s">
        <v>2985</v>
      </c>
      <c r="B2951" s="2" t="s">
        <v>2968</v>
      </c>
      <c r="C2951" s="2"/>
      <c r="D2951" s="2" t="s">
        <v>11</v>
      </c>
      <c r="E2951" s="2">
        <v>10.0</v>
      </c>
      <c r="F2951" s="2" t="s">
        <v>12</v>
      </c>
      <c r="G2951" s="2"/>
      <c r="H2951" s="2"/>
      <c r="I2951" s="2"/>
    </row>
    <row r="2952">
      <c r="A2952" s="1" t="s">
        <v>2986</v>
      </c>
      <c r="B2952" s="2" t="s">
        <v>2968</v>
      </c>
      <c r="C2952" s="2"/>
      <c r="D2952" s="2" t="s">
        <v>11</v>
      </c>
      <c r="E2952" s="2">
        <v>10.0</v>
      </c>
      <c r="F2952" s="2" t="s">
        <v>12</v>
      </c>
      <c r="G2952" s="2"/>
      <c r="H2952" s="2"/>
      <c r="I2952" s="2"/>
    </row>
    <row r="2953">
      <c r="A2953" s="1" t="s">
        <v>2987</v>
      </c>
      <c r="B2953" s="2" t="s">
        <v>2968</v>
      </c>
      <c r="C2953" s="2"/>
      <c r="D2953" s="2" t="s">
        <v>11</v>
      </c>
      <c r="E2953" s="2">
        <v>10.0</v>
      </c>
      <c r="F2953" s="2" t="s">
        <v>12</v>
      </c>
      <c r="G2953" s="2"/>
      <c r="H2953" s="2"/>
      <c r="I2953" s="2"/>
    </row>
    <row r="2954">
      <c r="A2954" s="2" t="s">
        <v>2988</v>
      </c>
      <c r="B2954" s="2" t="s">
        <v>2968</v>
      </c>
      <c r="C2954" s="2"/>
      <c r="D2954" s="2" t="s">
        <v>11</v>
      </c>
      <c r="E2954" s="2">
        <v>10.0</v>
      </c>
      <c r="F2954" s="2" t="s">
        <v>12</v>
      </c>
      <c r="G2954" s="2"/>
      <c r="H2954" s="2"/>
      <c r="I2954" s="2"/>
    </row>
    <row r="2955">
      <c r="A2955" s="2" t="s">
        <v>2989</v>
      </c>
      <c r="B2955" s="2" t="s">
        <v>2968</v>
      </c>
      <c r="C2955" s="2"/>
      <c r="D2955" s="2" t="s">
        <v>11</v>
      </c>
      <c r="E2955" s="2">
        <v>10.0</v>
      </c>
      <c r="F2955" s="2" t="s">
        <v>12</v>
      </c>
      <c r="G2955" s="2"/>
      <c r="H2955" s="2"/>
      <c r="I2955" s="2"/>
    </row>
    <row r="2956">
      <c r="A2956" s="2" t="s">
        <v>2990</v>
      </c>
      <c r="B2956" s="2" t="s">
        <v>2968</v>
      </c>
      <c r="C2956" s="2"/>
      <c r="D2956" s="2" t="s">
        <v>11</v>
      </c>
      <c r="E2956" s="2">
        <v>10.0</v>
      </c>
      <c r="F2956" s="2" t="s">
        <v>12</v>
      </c>
      <c r="G2956" s="2"/>
      <c r="H2956" s="2"/>
      <c r="I2956" s="2"/>
    </row>
    <row r="2957">
      <c r="A2957" s="1" t="s">
        <v>2991</v>
      </c>
      <c r="B2957" s="2" t="s">
        <v>2968</v>
      </c>
      <c r="C2957" s="2"/>
      <c r="D2957" s="2" t="s">
        <v>11</v>
      </c>
      <c r="E2957" s="2">
        <v>10.0</v>
      </c>
      <c r="F2957" s="2" t="s">
        <v>12</v>
      </c>
      <c r="G2957" s="2"/>
      <c r="H2957" s="2"/>
      <c r="I2957" s="2"/>
    </row>
    <row r="2958">
      <c r="A2958" s="2" t="s">
        <v>2992</v>
      </c>
      <c r="B2958" s="2" t="s">
        <v>2968</v>
      </c>
      <c r="C2958" s="2"/>
      <c r="D2958" s="2" t="s">
        <v>11</v>
      </c>
      <c r="E2958" s="2">
        <v>10.0</v>
      </c>
      <c r="F2958" s="2" t="s">
        <v>12</v>
      </c>
      <c r="G2958" s="2"/>
      <c r="H2958" s="2"/>
      <c r="I2958" s="2"/>
    </row>
    <row r="2959">
      <c r="A2959" s="1" t="s">
        <v>2993</v>
      </c>
      <c r="B2959" s="2" t="s">
        <v>2968</v>
      </c>
      <c r="C2959" s="2"/>
      <c r="D2959" s="2" t="s">
        <v>11</v>
      </c>
      <c r="E2959" s="2">
        <v>10.0</v>
      </c>
      <c r="F2959" s="2" t="s">
        <v>12</v>
      </c>
      <c r="G2959" s="2"/>
      <c r="H2959" s="2"/>
      <c r="I2959" s="2"/>
    </row>
    <row r="2960">
      <c r="A2960" s="2" t="s">
        <v>2994</v>
      </c>
      <c r="B2960" s="2" t="s">
        <v>2968</v>
      </c>
      <c r="C2960" s="2"/>
      <c r="D2960" s="2" t="s">
        <v>37</v>
      </c>
      <c r="E2960" s="2">
        <v>10.0</v>
      </c>
      <c r="F2960" s="2" t="s">
        <v>12</v>
      </c>
      <c r="G2960" s="2"/>
      <c r="H2960" s="2"/>
      <c r="I2960" s="2"/>
    </row>
    <row r="2961">
      <c r="A2961" s="1" t="s">
        <v>2995</v>
      </c>
      <c r="B2961" s="2" t="s">
        <v>2968</v>
      </c>
      <c r="C2961" s="2"/>
      <c r="D2961" s="2" t="s">
        <v>11</v>
      </c>
      <c r="E2961" s="2">
        <v>10.0</v>
      </c>
      <c r="F2961" s="2" t="s">
        <v>12</v>
      </c>
      <c r="G2961" s="2"/>
      <c r="H2961" s="2"/>
      <c r="I2961" s="2"/>
    </row>
    <row r="2962">
      <c r="A2962" s="1" t="s">
        <v>2996</v>
      </c>
      <c r="B2962" s="2" t="s">
        <v>2968</v>
      </c>
      <c r="C2962" s="2"/>
      <c r="D2962" s="2" t="s">
        <v>11</v>
      </c>
      <c r="E2962" s="2">
        <v>10.0</v>
      </c>
      <c r="F2962" s="2" t="s">
        <v>12</v>
      </c>
      <c r="G2962" s="2"/>
      <c r="H2962" s="2"/>
      <c r="I2962" s="2"/>
    </row>
    <row r="2963">
      <c r="A2963" s="1" t="s">
        <v>2997</v>
      </c>
      <c r="B2963" s="2" t="s">
        <v>2968</v>
      </c>
      <c r="C2963" s="2"/>
      <c r="D2963" s="2" t="s">
        <v>11</v>
      </c>
      <c r="E2963" s="2">
        <v>10.0</v>
      </c>
      <c r="F2963" s="2" t="s">
        <v>12</v>
      </c>
      <c r="G2963" s="2"/>
      <c r="H2963" s="2"/>
      <c r="I2963" s="2"/>
    </row>
    <row r="2964">
      <c r="A2964" s="1" t="s">
        <v>2998</v>
      </c>
      <c r="B2964" s="2" t="s">
        <v>2968</v>
      </c>
      <c r="C2964" s="2"/>
      <c r="D2964" s="2" t="s">
        <v>11</v>
      </c>
      <c r="E2964" s="2">
        <v>10.0</v>
      </c>
      <c r="F2964" s="2" t="s">
        <v>12</v>
      </c>
      <c r="G2964" s="2"/>
      <c r="H2964" s="2"/>
      <c r="I2964" s="2"/>
    </row>
    <row r="2965">
      <c r="A2965" s="1" t="s">
        <v>2998</v>
      </c>
      <c r="B2965" s="2" t="s">
        <v>2968</v>
      </c>
      <c r="C2965" s="2"/>
      <c r="D2965" s="2" t="s">
        <v>11</v>
      </c>
      <c r="E2965" s="2">
        <v>15.0</v>
      </c>
      <c r="F2965" s="2" t="s">
        <v>12</v>
      </c>
      <c r="G2965" s="2"/>
      <c r="H2965" s="2"/>
      <c r="I2965" s="2"/>
    </row>
    <row r="2966">
      <c r="A2966" s="1" t="s">
        <v>2999</v>
      </c>
      <c r="B2966" s="2" t="s">
        <v>2968</v>
      </c>
      <c r="C2966" s="2"/>
      <c r="D2966" s="2" t="s">
        <v>11</v>
      </c>
      <c r="E2966" s="2">
        <v>10.0</v>
      </c>
      <c r="F2966" s="2" t="s">
        <v>12</v>
      </c>
      <c r="G2966" s="2"/>
      <c r="H2966" s="2"/>
      <c r="I2966" s="2"/>
    </row>
    <row r="2967">
      <c r="A2967" s="1" t="s">
        <v>3000</v>
      </c>
      <c r="B2967" s="2" t="s">
        <v>2968</v>
      </c>
      <c r="C2967" s="2"/>
      <c r="D2967" s="2" t="s">
        <v>11</v>
      </c>
      <c r="E2967" s="2">
        <v>15.0</v>
      </c>
      <c r="F2967" s="2" t="s">
        <v>12</v>
      </c>
      <c r="G2967" s="2"/>
      <c r="H2967" s="2"/>
      <c r="I2967" s="2"/>
    </row>
    <row r="2968">
      <c r="A2968" s="1" t="s">
        <v>3001</v>
      </c>
      <c r="B2968" s="2" t="s">
        <v>2968</v>
      </c>
      <c r="C2968" s="2"/>
      <c r="D2968" s="2" t="s">
        <v>11</v>
      </c>
      <c r="E2968" s="2">
        <v>10.0</v>
      </c>
      <c r="F2968" s="2" t="s">
        <v>12</v>
      </c>
      <c r="G2968" s="2"/>
      <c r="H2968" s="2"/>
      <c r="I2968" s="2"/>
    </row>
    <row r="2969">
      <c r="A2969" s="1" t="s">
        <v>3002</v>
      </c>
      <c r="B2969" s="2" t="s">
        <v>2968</v>
      </c>
      <c r="C2969" s="2"/>
      <c r="D2969" s="2" t="s">
        <v>11</v>
      </c>
      <c r="E2969" s="2">
        <v>10.0</v>
      </c>
      <c r="F2969" s="2" t="s">
        <v>12</v>
      </c>
      <c r="G2969" s="2"/>
      <c r="H2969" s="2"/>
      <c r="I2969" s="2"/>
    </row>
    <row r="2970">
      <c r="A2970" s="1" t="s">
        <v>3003</v>
      </c>
      <c r="B2970" s="2" t="s">
        <v>2968</v>
      </c>
      <c r="C2970" s="2"/>
      <c r="D2970" s="2" t="s">
        <v>11</v>
      </c>
      <c r="E2970" s="2">
        <v>10.0</v>
      </c>
      <c r="F2970" s="2" t="s">
        <v>12</v>
      </c>
      <c r="G2970" s="2"/>
      <c r="H2970" s="2"/>
      <c r="I2970" s="2"/>
    </row>
    <row r="2971">
      <c r="A2971" s="1" t="s">
        <v>3004</v>
      </c>
      <c r="B2971" s="2" t="s">
        <v>2968</v>
      </c>
      <c r="C2971" s="2"/>
      <c r="D2971" s="2" t="s">
        <v>11</v>
      </c>
      <c r="E2971" s="2">
        <v>10.0</v>
      </c>
      <c r="F2971" s="2" t="s">
        <v>12</v>
      </c>
      <c r="G2971" s="2"/>
      <c r="H2971" s="2"/>
      <c r="I2971" s="2"/>
    </row>
    <row r="2972">
      <c r="A2972" s="1" t="s">
        <v>3005</v>
      </c>
      <c r="B2972" s="2" t="s">
        <v>2968</v>
      </c>
      <c r="C2972" s="2"/>
      <c r="D2972" s="2" t="s">
        <v>11</v>
      </c>
      <c r="E2972" s="2">
        <v>10.0</v>
      </c>
      <c r="F2972" s="2" t="s">
        <v>12</v>
      </c>
      <c r="G2972" s="2"/>
      <c r="H2972" s="2"/>
      <c r="I2972" s="2"/>
    </row>
    <row r="2973">
      <c r="A2973" s="1" t="s">
        <v>3006</v>
      </c>
      <c r="B2973" s="2" t="s">
        <v>2968</v>
      </c>
      <c r="C2973" s="2"/>
      <c r="D2973" s="2" t="s">
        <v>11</v>
      </c>
      <c r="E2973" s="2">
        <v>10.0</v>
      </c>
      <c r="F2973" s="2" t="s">
        <v>12</v>
      </c>
      <c r="G2973" s="2"/>
      <c r="H2973" s="2"/>
      <c r="I2973" s="2"/>
    </row>
    <row r="2974">
      <c r="A2974" s="1" t="s">
        <v>3007</v>
      </c>
      <c r="B2974" s="2" t="s">
        <v>2968</v>
      </c>
      <c r="C2974" s="2"/>
      <c r="D2974" s="2" t="s">
        <v>11</v>
      </c>
      <c r="E2974" s="2">
        <v>10.0</v>
      </c>
      <c r="F2974" s="2" t="s">
        <v>12</v>
      </c>
      <c r="G2974" s="2"/>
      <c r="H2974" s="2"/>
      <c r="I2974" s="2"/>
    </row>
    <row r="2975">
      <c r="A2975" s="2" t="s">
        <v>3008</v>
      </c>
      <c r="B2975" s="2" t="s">
        <v>3009</v>
      </c>
      <c r="C2975" s="2"/>
      <c r="D2975" s="2" t="s">
        <v>11</v>
      </c>
      <c r="E2975" s="2">
        <v>10.0</v>
      </c>
      <c r="F2975" s="2" t="s">
        <v>12</v>
      </c>
      <c r="G2975" s="2"/>
      <c r="H2975" s="2"/>
      <c r="I2975" s="2"/>
    </row>
    <row r="2976">
      <c r="A2976" s="2" t="s">
        <v>3010</v>
      </c>
      <c r="B2976" s="2" t="s">
        <v>3009</v>
      </c>
      <c r="C2976" s="2"/>
      <c r="D2976" s="2" t="s">
        <v>37</v>
      </c>
      <c r="E2976" s="2">
        <v>10.0</v>
      </c>
      <c r="F2976" s="2" t="s">
        <v>12</v>
      </c>
      <c r="G2976" s="2"/>
      <c r="H2976" s="2"/>
      <c r="I2976" s="2"/>
    </row>
    <row r="2977">
      <c r="A2977" s="1" t="s">
        <v>3011</v>
      </c>
      <c r="B2977" s="2" t="s">
        <v>3009</v>
      </c>
      <c r="C2977" s="2"/>
      <c r="D2977" s="2" t="s">
        <v>11</v>
      </c>
      <c r="E2977" s="2">
        <v>10.0</v>
      </c>
      <c r="F2977" s="2" t="s">
        <v>12</v>
      </c>
      <c r="G2977" s="2"/>
      <c r="H2977" s="2"/>
      <c r="I2977" s="2"/>
    </row>
    <row r="2978">
      <c r="A2978" s="2" t="s">
        <v>3012</v>
      </c>
      <c r="B2978" s="2" t="s">
        <v>3009</v>
      </c>
      <c r="C2978" s="2"/>
      <c r="D2978" s="2" t="s">
        <v>11</v>
      </c>
      <c r="E2978" s="2">
        <v>10.0</v>
      </c>
      <c r="F2978" s="2" t="s">
        <v>12</v>
      </c>
      <c r="G2978" s="2"/>
      <c r="H2978" s="2"/>
      <c r="I2978" s="2"/>
    </row>
    <row r="2979">
      <c r="A2979" s="2" t="s">
        <v>3013</v>
      </c>
      <c r="B2979" s="2" t="s">
        <v>3009</v>
      </c>
      <c r="C2979" s="2"/>
      <c r="D2979" s="2" t="s">
        <v>11</v>
      </c>
      <c r="E2979" s="2">
        <v>10.0</v>
      </c>
      <c r="F2979" s="2" t="s">
        <v>12</v>
      </c>
      <c r="G2979" s="2"/>
      <c r="H2979" s="2"/>
      <c r="I2979" s="2"/>
    </row>
    <row r="2980">
      <c r="A2980" s="2" t="s">
        <v>3014</v>
      </c>
      <c r="B2980" s="2" t="s">
        <v>3009</v>
      </c>
      <c r="C2980" s="2"/>
      <c r="D2980" s="2" t="s">
        <v>11</v>
      </c>
      <c r="E2980" s="2">
        <v>10.0</v>
      </c>
      <c r="F2980" s="2" t="s">
        <v>12</v>
      </c>
      <c r="G2980" s="2"/>
      <c r="H2980" s="2"/>
      <c r="I2980" s="2"/>
    </row>
    <row r="2981">
      <c r="A2981" s="1" t="s">
        <v>3015</v>
      </c>
      <c r="B2981" s="2" t="s">
        <v>3009</v>
      </c>
      <c r="C2981" s="2"/>
      <c r="D2981" s="2" t="s">
        <v>11</v>
      </c>
      <c r="E2981" s="2">
        <v>10.0</v>
      </c>
      <c r="F2981" s="2" t="s">
        <v>12</v>
      </c>
      <c r="G2981" s="2"/>
      <c r="H2981" s="2"/>
      <c r="I2981" s="2"/>
    </row>
    <row r="2982">
      <c r="A2982" s="1" t="s">
        <v>3016</v>
      </c>
      <c r="B2982" s="2" t="s">
        <v>3009</v>
      </c>
      <c r="C2982" s="2"/>
      <c r="D2982" s="2" t="s">
        <v>11</v>
      </c>
      <c r="E2982" s="2">
        <v>10.0</v>
      </c>
      <c r="F2982" s="2" t="s">
        <v>12</v>
      </c>
      <c r="G2982" s="2"/>
      <c r="H2982" s="2"/>
      <c r="I2982" s="2"/>
    </row>
    <row r="2983">
      <c r="A2983" s="1" t="s">
        <v>3017</v>
      </c>
      <c r="B2983" s="2" t="s">
        <v>3009</v>
      </c>
      <c r="C2983" s="2"/>
      <c r="D2983" s="2" t="s">
        <v>11</v>
      </c>
      <c r="E2983" s="2">
        <v>10.0</v>
      </c>
      <c r="F2983" s="2" t="s">
        <v>12</v>
      </c>
      <c r="G2983" s="2"/>
      <c r="H2983" s="2"/>
      <c r="I2983" s="2"/>
    </row>
    <row r="2984">
      <c r="A2984" s="1" t="s">
        <v>3018</v>
      </c>
      <c r="B2984" s="2" t="s">
        <v>3009</v>
      </c>
      <c r="C2984" s="2"/>
      <c r="D2984" s="2" t="s">
        <v>11</v>
      </c>
      <c r="E2984" s="2">
        <v>10.0</v>
      </c>
      <c r="F2984" s="2" t="s">
        <v>12</v>
      </c>
      <c r="G2984" s="2"/>
      <c r="H2984" s="2"/>
      <c r="I2984" s="2"/>
    </row>
    <row r="2985">
      <c r="A2985" s="1" t="s">
        <v>3019</v>
      </c>
      <c r="B2985" s="2" t="s">
        <v>3009</v>
      </c>
      <c r="C2985" s="2"/>
      <c r="D2985" s="2" t="s">
        <v>11</v>
      </c>
      <c r="E2985" s="2">
        <v>10.0</v>
      </c>
      <c r="F2985" s="2" t="s">
        <v>12</v>
      </c>
      <c r="G2985" s="2"/>
      <c r="H2985" s="2"/>
      <c r="I2985" s="2"/>
    </row>
    <row r="2986">
      <c r="A2986" s="2" t="s">
        <v>3020</v>
      </c>
      <c r="B2986" s="2" t="s">
        <v>3009</v>
      </c>
      <c r="C2986" s="2"/>
      <c r="D2986" s="2" t="s">
        <v>11</v>
      </c>
      <c r="E2986" s="2">
        <v>10.0</v>
      </c>
      <c r="F2986" s="2" t="s">
        <v>12</v>
      </c>
      <c r="G2986" s="2"/>
      <c r="H2986" s="2"/>
      <c r="I2986" s="2"/>
    </row>
    <row r="2987">
      <c r="A2987" s="1" t="s">
        <v>3021</v>
      </c>
      <c r="B2987" s="2" t="s">
        <v>3009</v>
      </c>
      <c r="C2987" s="2"/>
      <c r="D2987" s="2" t="s">
        <v>11</v>
      </c>
      <c r="E2987" s="2">
        <v>10.0</v>
      </c>
      <c r="F2987" s="2" t="s">
        <v>12</v>
      </c>
      <c r="G2987" s="2"/>
      <c r="H2987" s="2"/>
      <c r="I2987" s="2"/>
    </row>
    <row r="2988">
      <c r="A2988" s="1" t="s">
        <v>3022</v>
      </c>
      <c r="B2988" s="2" t="s">
        <v>3009</v>
      </c>
      <c r="C2988" s="2"/>
      <c r="D2988" s="2" t="s">
        <v>11</v>
      </c>
      <c r="E2988" s="2">
        <v>10.0</v>
      </c>
      <c r="F2988" s="2" t="s">
        <v>12</v>
      </c>
      <c r="G2988" s="2"/>
      <c r="H2988" s="2"/>
      <c r="I2988" s="2"/>
    </row>
    <row r="2989">
      <c r="A2989" s="1" t="s">
        <v>3023</v>
      </c>
      <c r="B2989" s="2" t="s">
        <v>3009</v>
      </c>
      <c r="C2989" s="2"/>
      <c r="D2989" s="2" t="s">
        <v>11</v>
      </c>
      <c r="E2989" s="2">
        <v>10.0</v>
      </c>
      <c r="F2989" s="2" t="s">
        <v>12</v>
      </c>
      <c r="G2989" s="2"/>
      <c r="H2989" s="2"/>
      <c r="I2989" s="2"/>
    </row>
    <row r="2990">
      <c r="A2990" s="1" t="s">
        <v>3024</v>
      </c>
      <c r="B2990" s="2" t="s">
        <v>3009</v>
      </c>
      <c r="C2990" s="2"/>
      <c r="D2990" s="2" t="s">
        <v>11</v>
      </c>
      <c r="E2990" s="2">
        <v>10.0</v>
      </c>
      <c r="F2990" s="2" t="s">
        <v>12</v>
      </c>
      <c r="G2990" s="2"/>
      <c r="H2990" s="2"/>
      <c r="I2990" s="2"/>
    </row>
    <row r="2991">
      <c r="A2991" s="1" t="s">
        <v>3025</v>
      </c>
      <c r="B2991" s="2" t="s">
        <v>3009</v>
      </c>
      <c r="C2991" s="2"/>
      <c r="D2991" s="2" t="s">
        <v>11</v>
      </c>
      <c r="E2991" s="2">
        <v>10.0</v>
      </c>
      <c r="F2991" s="2" t="s">
        <v>12</v>
      </c>
      <c r="G2991" s="2"/>
      <c r="H2991" s="2"/>
      <c r="I2991" s="2"/>
    </row>
    <row r="2992">
      <c r="A2992" s="2" t="s">
        <v>3026</v>
      </c>
      <c r="B2992" s="2" t="s">
        <v>3009</v>
      </c>
      <c r="C2992" s="2"/>
      <c r="D2992" s="2" t="s">
        <v>11</v>
      </c>
      <c r="E2992" s="2">
        <v>10.0</v>
      </c>
      <c r="F2992" s="2" t="s">
        <v>12</v>
      </c>
      <c r="G2992" s="2"/>
      <c r="H2992" s="2"/>
      <c r="I2992" s="2"/>
    </row>
    <row r="2993">
      <c r="A2993" s="1" t="s">
        <v>3027</v>
      </c>
      <c r="B2993" s="2" t="s">
        <v>3009</v>
      </c>
      <c r="C2993" s="2"/>
      <c r="D2993" s="2" t="s">
        <v>11</v>
      </c>
      <c r="E2993" s="2">
        <v>10.0</v>
      </c>
      <c r="F2993" s="2" t="s">
        <v>12</v>
      </c>
      <c r="G2993" s="2"/>
      <c r="H2993" s="2"/>
      <c r="I2993" s="2"/>
    </row>
    <row r="2994">
      <c r="A2994" s="1" t="s">
        <v>3028</v>
      </c>
      <c r="B2994" s="2" t="s">
        <v>3009</v>
      </c>
      <c r="C2994" s="2"/>
      <c r="D2994" s="2" t="s">
        <v>11</v>
      </c>
      <c r="E2994" s="2">
        <v>10.0</v>
      </c>
      <c r="F2994" s="2" t="s">
        <v>12</v>
      </c>
      <c r="G2994" s="2"/>
      <c r="H2994" s="2"/>
      <c r="I2994" s="2"/>
    </row>
    <row r="2995">
      <c r="A2995" s="1" t="s">
        <v>3029</v>
      </c>
      <c r="B2995" s="2" t="s">
        <v>3009</v>
      </c>
      <c r="C2995" s="2"/>
      <c r="D2995" s="2" t="s">
        <v>11</v>
      </c>
      <c r="E2995" s="2">
        <v>10.0</v>
      </c>
      <c r="F2995" s="2" t="s">
        <v>12</v>
      </c>
      <c r="G2995" s="2"/>
      <c r="H2995" s="2"/>
      <c r="I2995" s="2"/>
    </row>
    <row r="2996">
      <c r="A2996" s="2" t="s">
        <v>3030</v>
      </c>
      <c r="B2996" s="2" t="s">
        <v>3009</v>
      </c>
      <c r="C2996" s="2"/>
      <c r="D2996" s="2" t="s">
        <v>11</v>
      </c>
      <c r="E2996" s="2">
        <v>10.0</v>
      </c>
      <c r="F2996" s="2" t="s">
        <v>12</v>
      </c>
      <c r="G2996" s="2"/>
      <c r="H2996" s="2"/>
      <c r="I2996" s="2"/>
    </row>
    <row r="2997">
      <c r="A2997" s="1" t="s">
        <v>3031</v>
      </c>
      <c r="B2997" s="2" t="s">
        <v>3009</v>
      </c>
      <c r="C2997" s="2"/>
      <c r="D2997" s="2" t="s">
        <v>11</v>
      </c>
      <c r="E2997" s="2">
        <v>10.0</v>
      </c>
      <c r="F2997" s="2" t="s">
        <v>12</v>
      </c>
      <c r="G2997" s="2"/>
      <c r="H2997" s="2"/>
      <c r="I2997" s="2"/>
    </row>
    <row r="2998">
      <c r="A2998" s="1" t="s">
        <v>3032</v>
      </c>
      <c r="B2998" s="2" t="s">
        <v>3009</v>
      </c>
      <c r="C2998" s="2"/>
      <c r="D2998" s="2" t="s">
        <v>11</v>
      </c>
      <c r="E2998" s="2">
        <v>10.0</v>
      </c>
      <c r="F2998" s="2" t="s">
        <v>12</v>
      </c>
      <c r="G2998" s="2"/>
      <c r="H2998" s="2"/>
      <c r="I2998" s="2"/>
    </row>
    <row r="2999">
      <c r="A2999" s="2" t="s">
        <v>3033</v>
      </c>
      <c r="B2999" s="2" t="s">
        <v>3009</v>
      </c>
      <c r="C2999" s="2"/>
      <c r="D2999" s="2" t="s">
        <v>11</v>
      </c>
      <c r="E2999" s="2">
        <v>10.0</v>
      </c>
      <c r="F2999" s="2" t="s">
        <v>12</v>
      </c>
      <c r="G2999" s="2"/>
      <c r="H2999" s="2"/>
      <c r="I2999" s="2"/>
    </row>
    <row r="3000">
      <c r="A3000" s="2" t="s">
        <v>3034</v>
      </c>
      <c r="B3000" s="2" t="s">
        <v>3009</v>
      </c>
      <c r="C3000" s="2"/>
      <c r="D3000" s="2" t="s">
        <v>37</v>
      </c>
      <c r="E3000" s="2">
        <v>15.0</v>
      </c>
      <c r="F3000" s="2" t="s">
        <v>12</v>
      </c>
      <c r="G3000" s="2"/>
      <c r="H3000" s="2"/>
      <c r="I3000" s="2"/>
    </row>
    <row r="3001">
      <c r="A3001" s="2" t="s">
        <v>3035</v>
      </c>
      <c r="B3001" s="2" t="s">
        <v>3009</v>
      </c>
      <c r="C3001" s="2"/>
      <c r="D3001" s="2" t="s">
        <v>11</v>
      </c>
      <c r="E3001" s="2">
        <v>10.0</v>
      </c>
      <c r="F3001" s="2" t="s">
        <v>12</v>
      </c>
      <c r="G3001" s="2"/>
      <c r="H3001" s="2"/>
      <c r="I3001" s="2"/>
    </row>
    <row r="3002">
      <c r="A3002" s="1" t="s">
        <v>3036</v>
      </c>
      <c r="B3002" s="2" t="s">
        <v>3037</v>
      </c>
      <c r="C3002" s="2"/>
      <c r="D3002" s="2" t="s">
        <v>11</v>
      </c>
      <c r="E3002" s="2">
        <v>15.0</v>
      </c>
      <c r="F3002" s="2" t="s">
        <v>12</v>
      </c>
      <c r="G3002" s="2"/>
      <c r="H3002" s="2"/>
      <c r="I3002" s="2"/>
    </row>
    <row r="3003">
      <c r="A3003" s="1" t="s">
        <v>3038</v>
      </c>
      <c r="B3003" s="2" t="s">
        <v>3037</v>
      </c>
      <c r="C3003" s="2"/>
      <c r="D3003" s="2" t="s">
        <v>11</v>
      </c>
      <c r="E3003" s="2">
        <v>15.0</v>
      </c>
      <c r="F3003" s="2" t="s">
        <v>12</v>
      </c>
      <c r="G3003" s="2"/>
      <c r="H3003" s="2"/>
      <c r="I3003" s="2"/>
    </row>
    <row r="3004">
      <c r="A3004" s="1" t="s">
        <v>3039</v>
      </c>
      <c r="B3004" s="2" t="s">
        <v>3037</v>
      </c>
      <c r="C3004" s="2"/>
      <c r="D3004" s="2" t="s">
        <v>11</v>
      </c>
      <c r="E3004" s="2">
        <v>15.0</v>
      </c>
      <c r="F3004" s="2" t="s">
        <v>12</v>
      </c>
      <c r="G3004" s="2"/>
      <c r="H3004" s="2"/>
      <c r="I3004" s="2"/>
    </row>
    <row r="3005">
      <c r="A3005" s="1" t="s">
        <v>3040</v>
      </c>
      <c r="B3005" s="2" t="s">
        <v>3037</v>
      </c>
      <c r="C3005" s="2"/>
      <c r="D3005" s="2" t="s">
        <v>11</v>
      </c>
      <c r="E3005" s="2">
        <v>10.0</v>
      </c>
      <c r="F3005" s="2" t="s">
        <v>12</v>
      </c>
      <c r="G3005" s="2"/>
      <c r="H3005" s="2"/>
      <c r="I3005" s="2"/>
    </row>
    <row r="3006">
      <c r="A3006" s="2" t="s">
        <v>3041</v>
      </c>
      <c r="B3006" s="2" t="s">
        <v>3037</v>
      </c>
      <c r="C3006" s="2"/>
      <c r="D3006" s="2" t="s">
        <v>11</v>
      </c>
      <c r="E3006" s="2">
        <v>15.0</v>
      </c>
      <c r="F3006" s="2" t="s">
        <v>12</v>
      </c>
      <c r="G3006" s="2"/>
      <c r="H3006" s="2"/>
      <c r="I3006" s="2"/>
    </row>
    <row r="3007">
      <c r="A3007" s="2" t="s">
        <v>3042</v>
      </c>
      <c r="B3007" s="2" t="s">
        <v>3037</v>
      </c>
      <c r="C3007" s="2"/>
      <c r="D3007" s="2" t="s">
        <v>11</v>
      </c>
      <c r="E3007" s="2">
        <v>15.0</v>
      </c>
      <c r="F3007" s="2" t="s">
        <v>12</v>
      </c>
      <c r="G3007" s="2"/>
      <c r="H3007" s="2"/>
      <c r="I3007" s="2"/>
    </row>
    <row r="3008">
      <c r="A3008" s="1" t="s">
        <v>3043</v>
      </c>
      <c r="B3008" s="2" t="s">
        <v>3037</v>
      </c>
      <c r="C3008" s="2"/>
      <c r="D3008" s="2" t="s">
        <v>11</v>
      </c>
      <c r="E3008" s="2">
        <v>7.0</v>
      </c>
      <c r="F3008" s="2" t="s">
        <v>12</v>
      </c>
      <c r="G3008" s="2"/>
      <c r="H3008" s="2"/>
      <c r="I3008" s="2"/>
    </row>
    <row r="3009">
      <c r="A3009" s="1" t="s">
        <v>3044</v>
      </c>
      <c r="B3009" s="2" t="s">
        <v>3037</v>
      </c>
      <c r="C3009" s="2"/>
      <c r="D3009" s="2" t="s">
        <v>11</v>
      </c>
      <c r="E3009" s="2">
        <v>7.0</v>
      </c>
      <c r="F3009" s="2" t="s">
        <v>12</v>
      </c>
      <c r="G3009" s="2"/>
      <c r="H3009" s="2"/>
      <c r="I3009" s="2"/>
    </row>
    <row r="3010">
      <c r="A3010" s="1" t="s">
        <v>3045</v>
      </c>
      <c r="B3010" s="2" t="s">
        <v>3037</v>
      </c>
      <c r="C3010" s="2"/>
      <c r="D3010" s="2" t="s">
        <v>11</v>
      </c>
      <c r="E3010" s="2">
        <v>10.0</v>
      </c>
      <c r="F3010" s="2" t="s">
        <v>12</v>
      </c>
      <c r="G3010" s="2"/>
      <c r="H3010" s="2"/>
      <c r="I3010" s="2"/>
    </row>
    <row r="3011">
      <c r="A3011" s="1" t="s">
        <v>3046</v>
      </c>
      <c r="B3011" s="2" t="s">
        <v>3037</v>
      </c>
      <c r="C3011" s="2"/>
      <c r="D3011" s="2" t="s">
        <v>11</v>
      </c>
      <c r="E3011" s="2">
        <v>25.0</v>
      </c>
      <c r="F3011" s="2" t="s">
        <v>12</v>
      </c>
      <c r="G3011" s="2"/>
      <c r="H3011" s="2"/>
      <c r="I3011" s="2"/>
    </row>
    <row r="3012">
      <c r="A3012" s="1" t="s">
        <v>3047</v>
      </c>
      <c r="B3012" s="2" t="s">
        <v>3037</v>
      </c>
      <c r="C3012" s="2"/>
      <c r="D3012" s="2" t="s">
        <v>11</v>
      </c>
      <c r="E3012" s="2">
        <v>25.0</v>
      </c>
      <c r="F3012" s="2" t="s">
        <v>12</v>
      </c>
      <c r="G3012" s="2"/>
      <c r="H3012" s="2"/>
      <c r="I3012" s="2"/>
    </row>
    <row r="3013">
      <c r="A3013" s="1" t="s">
        <v>3048</v>
      </c>
      <c r="B3013" s="2" t="s">
        <v>3037</v>
      </c>
      <c r="C3013" s="2"/>
      <c r="D3013" s="2" t="s">
        <v>11</v>
      </c>
      <c r="E3013" s="2">
        <v>10.0</v>
      </c>
      <c r="F3013" s="2" t="s">
        <v>12</v>
      </c>
      <c r="G3013" s="2"/>
      <c r="H3013" s="2"/>
      <c r="I3013" s="2"/>
    </row>
    <row r="3014">
      <c r="A3014" s="1" t="s">
        <v>3048</v>
      </c>
      <c r="B3014" s="2" t="s">
        <v>3037</v>
      </c>
      <c r="C3014" s="2"/>
      <c r="D3014" s="2" t="s">
        <v>11</v>
      </c>
      <c r="E3014" s="2"/>
      <c r="F3014" s="2"/>
      <c r="G3014" s="2"/>
      <c r="H3014" s="2"/>
      <c r="I3014" s="2"/>
    </row>
    <row r="3015">
      <c r="A3015" s="1" t="s">
        <v>3049</v>
      </c>
      <c r="B3015" s="2" t="s">
        <v>3037</v>
      </c>
      <c r="C3015" s="2"/>
      <c r="D3015" s="2" t="s">
        <v>11</v>
      </c>
      <c r="E3015" s="2">
        <v>10.0</v>
      </c>
      <c r="F3015" s="2" t="s">
        <v>12</v>
      </c>
      <c r="G3015" s="2"/>
      <c r="H3015" s="2"/>
      <c r="I3015" s="2"/>
    </row>
    <row r="3016">
      <c r="A3016" s="1" t="s">
        <v>3049</v>
      </c>
      <c r="B3016" s="2" t="s">
        <v>3037</v>
      </c>
      <c r="C3016" s="2"/>
      <c r="D3016" s="2" t="s">
        <v>11</v>
      </c>
      <c r="E3016" s="2"/>
      <c r="F3016" s="2"/>
      <c r="G3016" s="2"/>
      <c r="H3016" s="2"/>
      <c r="I3016" s="2"/>
    </row>
    <row r="3017">
      <c r="A3017" s="1" t="s">
        <v>3050</v>
      </c>
      <c r="B3017" s="2" t="s">
        <v>3037</v>
      </c>
      <c r="C3017" s="2"/>
      <c r="D3017" s="2" t="s">
        <v>11</v>
      </c>
      <c r="E3017" s="2">
        <v>10.0</v>
      </c>
      <c r="F3017" s="2" t="s">
        <v>12</v>
      </c>
      <c r="G3017" s="2"/>
      <c r="H3017" s="2"/>
      <c r="I3017" s="2"/>
    </row>
    <row r="3018">
      <c r="A3018" s="1" t="s">
        <v>3051</v>
      </c>
      <c r="B3018" s="2" t="s">
        <v>3037</v>
      </c>
      <c r="C3018" s="2"/>
      <c r="D3018" s="2" t="s">
        <v>11</v>
      </c>
      <c r="E3018" s="2">
        <v>10.0</v>
      </c>
      <c r="F3018" s="2" t="s">
        <v>12</v>
      </c>
      <c r="G3018" s="2"/>
      <c r="H3018" s="2"/>
      <c r="I3018" s="2"/>
    </row>
    <row r="3019">
      <c r="A3019" s="1" t="s">
        <v>3052</v>
      </c>
      <c r="B3019" s="2" t="s">
        <v>3037</v>
      </c>
      <c r="C3019" s="2"/>
      <c r="D3019" s="2" t="s">
        <v>11</v>
      </c>
      <c r="E3019" s="2">
        <v>10.0</v>
      </c>
      <c r="F3019" s="2" t="s">
        <v>12</v>
      </c>
      <c r="G3019" s="2"/>
      <c r="H3019" s="2"/>
      <c r="I3019" s="2"/>
    </row>
    <row r="3020">
      <c r="A3020" s="1" t="s">
        <v>3053</v>
      </c>
      <c r="B3020" s="2" t="s">
        <v>3037</v>
      </c>
      <c r="C3020" s="2"/>
      <c r="D3020" s="2" t="s">
        <v>11</v>
      </c>
      <c r="E3020" s="2">
        <v>10.0</v>
      </c>
      <c r="F3020" s="2" t="s">
        <v>12</v>
      </c>
      <c r="G3020" s="2"/>
      <c r="H3020" s="2"/>
      <c r="I3020" s="2"/>
    </row>
    <row r="3021">
      <c r="A3021" s="2" t="s">
        <v>3054</v>
      </c>
      <c r="B3021" s="2" t="s">
        <v>3037</v>
      </c>
      <c r="C3021" s="2"/>
      <c r="D3021" s="2" t="s">
        <v>11</v>
      </c>
      <c r="E3021" s="2">
        <v>10.0</v>
      </c>
      <c r="F3021" s="2" t="s">
        <v>12</v>
      </c>
      <c r="G3021" s="2"/>
      <c r="H3021" s="2"/>
      <c r="I3021" s="2"/>
    </row>
    <row r="3022">
      <c r="A3022" s="2" t="s">
        <v>3055</v>
      </c>
      <c r="B3022" s="2" t="s">
        <v>3037</v>
      </c>
      <c r="C3022" s="1"/>
      <c r="D3022" s="2"/>
      <c r="E3022" s="2"/>
      <c r="F3022" s="2"/>
      <c r="G3022" s="2"/>
      <c r="H3022" s="2"/>
      <c r="I3022" s="2"/>
    </row>
    <row r="3023">
      <c r="A3023" s="1" t="s">
        <v>3056</v>
      </c>
      <c r="B3023" s="2" t="s">
        <v>3037</v>
      </c>
      <c r="C3023" s="2"/>
      <c r="D3023" s="2" t="s">
        <v>11</v>
      </c>
      <c r="E3023" s="2">
        <v>10.0</v>
      </c>
      <c r="F3023" s="2" t="s">
        <v>12</v>
      </c>
      <c r="G3023" s="2"/>
      <c r="H3023" s="2"/>
      <c r="I3023" s="2"/>
    </row>
    <row r="3024">
      <c r="A3024" s="1" t="s">
        <v>3057</v>
      </c>
      <c r="B3024" s="2" t="s">
        <v>3037</v>
      </c>
      <c r="C3024" s="2"/>
      <c r="D3024" s="2" t="s">
        <v>11</v>
      </c>
      <c r="E3024" s="2">
        <v>10.0</v>
      </c>
      <c r="F3024" s="2" t="s">
        <v>12</v>
      </c>
      <c r="G3024" s="2"/>
      <c r="H3024" s="2"/>
      <c r="I3024" s="2"/>
    </row>
    <row r="3025">
      <c r="A3025" s="1" t="s">
        <v>3058</v>
      </c>
      <c r="B3025" s="2" t="s">
        <v>3037</v>
      </c>
      <c r="C3025" s="2"/>
      <c r="D3025" s="2" t="s">
        <v>37</v>
      </c>
      <c r="E3025" s="2">
        <v>10.0</v>
      </c>
      <c r="F3025" s="2" t="s">
        <v>12</v>
      </c>
      <c r="G3025" s="2"/>
      <c r="H3025" s="2"/>
      <c r="I3025" s="2"/>
    </row>
    <row r="3026">
      <c r="A3026" s="2" t="s">
        <v>3059</v>
      </c>
      <c r="B3026" s="2" t="s">
        <v>3037</v>
      </c>
      <c r="C3026" s="2"/>
      <c r="D3026" s="2" t="s">
        <v>37</v>
      </c>
      <c r="E3026" s="2">
        <v>10.0</v>
      </c>
      <c r="F3026" s="2" t="s">
        <v>12</v>
      </c>
      <c r="G3026" s="2"/>
      <c r="H3026" s="2"/>
      <c r="I3026" s="2"/>
    </row>
    <row r="3027">
      <c r="A3027" s="2" t="s">
        <v>3060</v>
      </c>
      <c r="B3027" s="2" t="s">
        <v>3037</v>
      </c>
      <c r="C3027" s="2"/>
      <c r="D3027" s="2" t="s">
        <v>11</v>
      </c>
      <c r="E3027" s="2">
        <v>10.0</v>
      </c>
      <c r="F3027" s="2" t="s">
        <v>12</v>
      </c>
      <c r="G3027" s="2"/>
      <c r="H3027" s="2"/>
      <c r="I3027" s="2"/>
    </row>
    <row r="3028">
      <c r="A3028" s="1" t="s">
        <v>3061</v>
      </c>
      <c r="B3028" s="2" t="s">
        <v>3037</v>
      </c>
      <c r="C3028" s="2"/>
      <c r="D3028" s="2" t="s">
        <v>11</v>
      </c>
      <c r="E3028" s="2">
        <v>10.0</v>
      </c>
      <c r="F3028" s="2" t="s">
        <v>12</v>
      </c>
      <c r="G3028" s="2"/>
      <c r="H3028" s="2"/>
      <c r="I3028" s="2"/>
    </row>
    <row r="3029">
      <c r="A3029" s="2" t="s">
        <v>3062</v>
      </c>
      <c r="B3029" s="2" t="s">
        <v>3037</v>
      </c>
      <c r="C3029" s="2"/>
      <c r="D3029" s="2" t="s">
        <v>11</v>
      </c>
      <c r="E3029" s="2">
        <v>10.0</v>
      </c>
      <c r="F3029" s="2" t="s">
        <v>12</v>
      </c>
      <c r="G3029" s="2"/>
      <c r="H3029" s="2"/>
      <c r="I3029" s="2"/>
    </row>
    <row r="3030">
      <c r="A3030" s="2" t="s">
        <v>3063</v>
      </c>
      <c r="B3030" s="2" t="s">
        <v>3037</v>
      </c>
      <c r="C3030" s="2"/>
      <c r="D3030" s="2" t="s">
        <v>11</v>
      </c>
      <c r="E3030" s="2">
        <v>10.0</v>
      </c>
      <c r="F3030" s="2" t="s">
        <v>12</v>
      </c>
      <c r="G3030" s="2"/>
      <c r="H3030" s="2"/>
      <c r="I3030" s="2"/>
    </row>
    <row r="3031">
      <c r="A3031" s="1" t="s">
        <v>3064</v>
      </c>
      <c r="B3031" s="2" t="s">
        <v>3037</v>
      </c>
      <c r="C3031" s="2"/>
      <c r="D3031" s="2" t="s">
        <v>11</v>
      </c>
      <c r="E3031" s="2">
        <v>10.0</v>
      </c>
      <c r="F3031" s="2" t="s">
        <v>12</v>
      </c>
      <c r="G3031" s="2"/>
      <c r="H3031" s="2"/>
      <c r="I3031" s="2"/>
    </row>
    <row r="3032">
      <c r="A3032" s="1" t="s">
        <v>3065</v>
      </c>
      <c r="B3032" s="2" t="s">
        <v>3037</v>
      </c>
      <c r="C3032" s="2"/>
      <c r="D3032" s="2" t="s">
        <v>11</v>
      </c>
      <c r="E3032" s="2">
        <v>10.0</v>
      </c>
      <c r="F3032" s="2" t="s">
        <v>12</v>
      </c>
      <c r="G3032" s="2"/>
      <c r="H3032" s="2"/>
      <c r="I3032" s="2"/>
    </row>
    <row r="3033">
      <c r="A3033" s="1" t="s">
        <v>3066</v>
      </c>
      <c r="B3033" s="2" t="s">
        <v>3037</v>
      </c>
      <c r="C3033" s="2"/>
      <c r="D3033" s="2" t="s">
        <v>11</v>
      </c>
      <c r="E3033" s="2">
        <v>10.0</v>
      </c>
      <c r="F3033" s="2" t="s">
        <v>12</v>
      </c>
      <c r="G3033" s="2"/>
      <c r="H3033" s="2"/>
      <c r="I3033" s="2"/>
    </row>
    <row r="3034">
      <c r="A3034" s="1" t="s">
        <v>3067</v>
      </c>
      <c r="B3034" s="2" t="s">
        <v>3068</v>
      </c>
      <c r="C3034" s="2"/>
      <c r="D3034" s="2" t="s">
        <v>11</v>
      </c>
      <c r="E3034" s="2">
        <v>10.0</v>
      </c>
      <c r="F3034" s="2" t="s">
        <v>12</v>
      </c>
      <c r="G3034" s="2"/>
      <c r="H3034" s="2"/>
      <c r="I3034" s="2"/>
    </row>
    <row r="3035">
      <c r="A3035" s="1" t="s">
        <v>3069</v>
      </c>
      <c r="B3035" s="2" t="s">
        <v>3068</v>
      </c>
      <c r="C3035" s="2"/>
      <c r="D3035" s="2" t="s">
        <v>11</v>
      </c>
      <c r="E3035" s="2">
        <v>10.0</v>
      </c>
      <c r="F3035" s="2" t="s">
        <v>12</v>
      </c>
      <c r="G3035" s="2"/>
      <c r="H3035" s="2"/>
      <c r="I3035" s="2"/>
    </row>
    <row r="3036">
      <c r="A3036" s="1" t="s">
        <v>3070</v>
      </c>
      <c r="B3036" s="2" t="s">
        <v>3068</v>
      </c>
      <c r="C3036" s="2"/>
      <c r="D3036" s="2" t="s">
        <v>11</v>
      </c>
      <c r="E3036" s="2">
        <v>10.0</v>
      </c>
      <c r="F3036" s="2" t="s">
        <v>12</v>
      </c>
      <c r="G3036" s="2"/>
      <c r="H3036" s="2"/>
      <c r="I3036" s="2"/>
    </row>
    <row r="3037">
      <c r="A3037" s="1" t="s">
        <v>3071</v>
      </c>
      <c r="B3037" s="2" t="s">
        <v>3068</v>
      </c>
      <c r="C3037" s="2"/>
      <c r="D3037" s="2" t="s">
        <v>11</v>
      </c>
      <c r="E3037" s="2">
        <v>10.0</v>
      </c>
      <c r="F3037" s="2" t="s">
        <v>12</v>
      </c>
      <c r="G3037" s="2"/>
      <c r="H3037" s="2"/>
      <c r="I3037" s="2"/>
    </row>
    <row r="3038">
      <c r="A3038" s="1" t="s">
        <v>3072</v>
      </c>
      <c r="B3038" s="2" t="s">
        <v>3068</v>
      </c>
      <c r="C3038" s="2"/>
      <c r="D3038" s="2" t="s">
        <v>11</v>
      </c>
      <c r="E3038" s="2">
        <v>10.0</v>
      </c>
      <c r="F3038" s="2" t="s">
        <v>12</v>
      </c>
      <c r="G3038" s="2"/>
      <c r="H3038" s="2"/>
      <c r="I3038" s="2"/>
    </row>
    <row r="3039">
      <c r="A3039" s="1" t="s">
        <v>3073</v>
      </c>
      <c r="B3039" s="2" t="s">
        <v>3068</v>
      </c>
      <c r="C3039" s="2"/>
      <c r="D3039" s="2" t="s">
        <v>11</v>
      </c>
      <c r="E3039" s="2">
        <v>10.0</v>
      </c>
      <c r="F3039" s="2" t="s">
        <v>12</v>
      </c>
      <c r="G3039" s="2"/>
      <c r="H3039" s="2"/>
      <c r="I3039" s="2"/>
    </row>
    <row r="3040">
      <c r="A3040" s="2" t="s">
        <v>3074</v>
      </c>
      <c r="B3040" s="2" t="s">
        <v>3068</v>
      </c>
      <c r="C3040" s="2"/>
      <c r="D3040" s="2" t="s">
        <v>11</v>
      </c>
      <c r="E3040" s="2">
        <v>10.0</v>
      </c>
      <c r="F3040" s="2" t="s">
        <v>12</v>
      </c>
      <c r="G3040" s="2"/>
      <c r="H3040" s="2"/>
      <c r="I3040" s="2"/>
    </row>
    <row r="3041">
      <c r="A3041" s="2" t="s">
        <v>3075</v>
      </c>
      <c r="B3041" s="2" t="s">
        <v>3068</v>
      </c>
      <c r="C3041" s="2"/>
      <c r="D3041" s="2" t="s">
        <v>11</v>
      </c>
      <c r="E3041" s="2">
        <v>10.0</v>
      </c>
      <c r="F3041" s="2" t="s">
        <v>12</v>
      </c>
      <c r="G3041" s="2"/>
      <c r="H3041" s="2"/>
      <c r="I3041" s="2"/>
    </row>
    <row r="3042">
      <c r="A3042" s="2" t="s">
        <v>3076</v>
      </c>
      <c r="B3042" s="2" t="s">
        <v>3068</v>
      </c>
      <c r="C3042" s="2"/>
      <c r="D3042" s="2" t="s">
        <v>11</v>
      </c>
      <c r="E3042" s="2">
        <v>10.0</v>
      </c>
      <c r="F3042" s="2" t="s">
        <v>12</v>
      </c>
      <c r="G3042" s="2"/>
      <c r="H3042" s="2"/>
      <c r="I3042" s="2"/>
    </row>
    <row r="3043">
      <c r="A3043" s="1" t="s">
        <v>3077</v>
      </c>
      <c r="B3043" s="2" t="s">
        <v>3068</v>
      </c>
      <c r="C3043" s="2"/>
      <c r="D3043" s="2" t="s">
        <v>11</v>
      </c>
      <c r="E3043" s="2">
        <v>10.0</v>
      </c>
      <c r="F3043" s="2" t="s">
        <v>12</v>
      </c>
      <c r="G3043" s="2"/>
      <c r="H3043" s="2"/>
      <c r="I3043" s="2"/>
    </row>
    <row r="3044">
      <c r="A3044" s="1" t="s">
        <v>3078</v>
      </c>
      <c r="B3044" s="2" t="s">
        <v>3068</v>
      </c>
      <c r="C3044" s="2"/>
      <c r="D3044" s="2" t="s">
        <v>11</v>
      </c>
      <c r="E3044" s="2">
        <v>10.0</v>
      </c>
      <c r="F3044" s="2" t="s">
        <v>12</v>
      </c>
      <c r="G3044" s="2"/>
      <c r="H3044" s="2"/>
      <c r="I3044" s="2"/>
    </row>
    <row r="3045">
      <c r="A3045" s="1" t="s">
        <v>3079</v>
      </c>
      <c r="B3045" s="2" t="s">
        <v>3068</v>
      </c>
      <c r="C3045" s="2"/>
      <c r="D3045" s="2" t="s">
        <v>11</v>
      </c>
      <c r="E3045" s="2">
        <v>10.0</v>
      </c>
      <c r="F3045" s="2" t="s">
        <v>12</v>
      </c>
      <c r="G3045" s="2"/>
      <c r="H3045" s="2"/>
      <c r="I3045" s="2"/>
    </row>
    <row r="3046">
      <c r="A3046" s="2" t="s">
        <v>3080</v>
      </c>
      <c r="B3046" s="2" t="s">
        <v>3068</v>
      </c>
      <c r="C3046" s="2"/>
      <c r="D3046" s="2" t="s">
        <v>11</v>
      </c>
      <c r="E3046" s="2">
        <v>10.0</v>
      </c>
      <c r="F3046" s="2" t="s">
        <v>12</v>
      </c>
      <c r="G3046" s="2"/>
      <c r="H3046" s="2"/>
      <c r="I3046" s="2"/>
    </row>
    <row r="3047">
      <c r="A3047" s="1" t="s">
        <v>3081</v>
      </c>
      <c r="B3047" s="2" t="s">
        <v>3068</v>
      </c>
      <c r="C3047" s="2"/>
      <c r="D3047" s="2" t="s">
        <v>11</v>
      </c>
      <c r="E3047" s="2">
        <v>10.0</v>
      </c>
      <c r="F3047" s="2" t="s">
        <v>12</v>
      </c>
      <c r="G3047" s="2"/>
      <c r="H3047" s="2"/>
      <c r="I3047" s="2"/>
    </row>
    <row r="3048">
      <c r="A3048" s="1" t="s">
        <v>3082</v>
      </c>
      <c r="B3048" s="2" t="s">
        <v>3068</v>
      </c>
      <c r="C3048" s="2"/>
      <c r="D3048" s="2" t="s">
        <v>11</v>
      </c>
      <c r="E3048" s="2">
        <v>10.0</v>
      </c>
      <c r="F3048" s="2" t="s">
        <v>12</v>
      </c>
      <c r="G3048" s="2"/>
      <c r="H3048" s="2"/>
      <c r="I3048" s="2"/>
    </row>
    <row r="3049">
      <c r="A3049" s="1" t="s">
        <v>3083</v>
      </c>
      <c r="B3049" s="2" t="s">
        <v>3068</v>
      </c>
      <c r="C3049" s="2"/>
      <c r="D3049" s="2" t="s">
        <v>11</v>
      </c>
      <c r="E3049" s="2">
        <v>10.0</v>
      </c>
      <c r="F3049" s="2" t="s">
        <v>12</v>
      </c>
      <c r="G3049" s="2"/>
      <c r="H3049" s="2"/>
      <c r="I3049" s="2"/>
    </row>
    <row r="3050">
      <c r="A3050" s="1" t="s">
        <v>3084</v>
      </c>
      <c r="B3050" s="2" t="s">
        <v>3068</v>
      </c>
      <c r="C3050" s="2"/>
      <c r="D3050" s="2" t="s">
        <v>11</v>
      </c>
      <c r="E3050" s="2">
        <v>10.0</v>
      </c>
      <c r="F3050" s="2" t="s">
        <v>12</v>
      </c>
      <c r="G3050" s="2"/>
      <c r="H3050" s="2"/>
      <c r="I3050" s="2"/>
    </row>
    <row r="3051">
      <c r="A3051" s="1" t="s">
        <v>3085</v>
      </c>
      <c r="B3051" s="2" t="s">
        <v>3068</v>
      </c>
      <c r="C3051" s="2"/>
      <c r="D3051" s="2" t="s">
        <v>11</v>
      </c>
      <c r="E3051" s="2">
        <v>10.0</v>
      </c>
      <c r="F3051" s="2" t="s">
        <v>12</v>
      </c>
      <c r="G3051" s="2"/>
      <c r="H3051" s="2"/>
      <c r="I3051" s="2"/>
    </row>
    <row r="3052">
      <c r="A3052" s="1" t="s">
        <v>3085</v>
      </c>
      <c r="B3052" s="2" t="s">
        <v>3068</v>
      </c>
      <c r="C3052" s="2"/>
      <c r="D3052" s="2" t="s">
        <v>11</v>
      </c>
      <c r="E3052" s="2"/>
      <c r="F3052" s="2"/>
      <c r="G3052" s="2"/>
      <c r="H3052" s="2"/>
      <c r="I3052" s="2"/>
    </row>
    <row r="3053">
      <c r="A3053" s="1" t="s">
        <v>3086</v>
      </c>
      <c r="B3053" s="2" t="s">
        <v>3068</v>
      </c>
      <c r="C3053" s="2"/>
      <c r="D3053" s="2" t="s">
        <v>11</v>
      </c>
      <c r="E3053" s="2">
        <v>10.0</v>
      </c>
      <c r="F3053" s="2" t="s">
        <v>12</v>
      </c>
      <c r="G3053" s="2"/>
      <c r="H3053" s="2"/>
      <c r="I3053" s="2"/>
    </row>
    <row r="3054">
      <c r="A3054" s="1" t="s">
        <v>3086</v>
      </c>
      <c r="B3054" s="2" t="s">
        <v>3068</v>
      </c>
      <c r="C3054" s="2"/>
      <c r="D3054" s="2" t="s">
        <v>11</v>
      </c>
      <c r="E3054" s="2"/>
      <c r="F3054" s="2"/>
      <c r="G3054" s="2"/>
      <c r="H3054" s="2"/>
      <c r="I3054" s="2"/>
    </row>
    <row r="3055">
      <c r="A3055" s="1" t="s">
        <v>3087</v>
      </c>
      <c r="B3055" s="2" t="s">
        <v>3068</v>
      </c>
      <c r="C3055" s="2"/>
      <c r="D3055" s="2" t="s">
        <v>11</v>
      </c>
      <c r="E3055" s="2">
        <v>10.0</v>
      </c>
      <c r="F3055" s="2" t="s">
        <v>12</v>
      </c>
      <c r="G3055" s="2"/>
      <c r="H3055" s="2"/>
      <c r="I3055" s="2"/>
    </row>
    <row r="3056">
      <c r="A3056" s="1" t="s">
        <v>3088</v>
      </c>
      <c r="B3056" s="2" t="s">
        <v>3068</v>
      </c>
      <c r="C3056" s="2"/>
      <c r="D3056" s="2" t="s">
        <v>11</v>
      </c>
      <c r="E3056" s="2">
        <v>10.0</v>
      </c>
      <c r="F3056" s="2" t="s">
        <v>12</v>
      </c>
      <c r="G3056" s="2"/>
      <c r="H3056" s="2"/>
      <c r="I3056" s="2"/>
    </row>
    <row r="3057">
      <c r="A3057" s="1" t="s">
        <v>3089</v>
      </c>
      <c r="B3057" s="2" t="s">
        <v>3068</v>
      </c>
      <c r="C3057" s="2"/>
      <c r="D3057" s="2" t="s">
        <v>11</v>
      </c>
      <c r="E3057" s="2">
        <v>10.0</v>
      </c>
      <c r="F3057" s="2" t="s">
        <v>12</v>
      </c>
      <c r="G3057" s="2"/>
      <c r="H3057" s="2"/>
      <c r="I3057" s="2"/>
    </row>
    <row r="3058">
      <c r="A3058" s="1" t="s">
        <v>3090</v>
      </c>
      <c r="B3058" s="2" t="s">
        <v>3068</v>
      </c>
      <c r="C3058" s="2"/>
      <c r="D3058" s="2" t="s">
        <v>11</v>
      </c>
      <c r="E3058" s="2">
        <v>10.0</v>
      </c>
      <c r="F3058" s="2" t="s">
        <v>12</v>
      </c>
      <c r="G3058" s="2"/>
      <c r="H3058" s="2"/>
      <c r="I3058" s="2"/>
    </row>
    <row r="3059">
      <c r="A3059" s="1" t="s">
        <v>3091</v>
      </c>
      <c r="B3059" s="2" t="s">
        <v>3068</v>
      </c>
      <c r="C3059" s="2"/>
      <c r="D3059" s="2" t="s">
        <v>11</v>
      </c>
      <c r="E3059" s="2">
        <v>10.0</v>
      </c>
      <c r="F3059" s="2" t="s">
        <v>12</v>
      </c>
      <c r="G3059" s="2"/>
      <c r="H3059" s="2"/>
      <c r="I3059" s="2"/>
    </row>
    <row r="3060">
      <c r="A3060" s="1" t="s">
        <v>3092</v>
      </c>
      <c r="B3060" s="2" t="s">
        <v>3068</v>
      </c>
      <c r="C3060" s="2"/>
      <c r="D3060" s="2" t="s">
        <v>11</v>
      </c>
      <c r="E3060" s="2">
        <v>10.0</v>
      </c>
      <c r="F3060" s="2" t="s">
        <v>12</v>
      </c>
      <c r="G3060" s="2"/>
      <c r="H3060" s="2"/>
      <c r="I3060" s="2"/>
    </row>
    <row r="3061">
      <c r="A3061" s="1" t="s">
        <v>3093</v>
      </c>
      <c r="B3061" s="2" t="s">
        <v>3068</v>
      </c>
      <c r="C3061" s="2"/>
      <c r="D3061" s="2" t="s">
        <v>11</v>
      </c>
      <c r="E3061" s="2">
        <v>10.0</v>
      </c>
      <c r="F3061" s="2" t="s">
        <v>12</v>
      </c>
      <c r="G3061" s="2"/>
      <c r="H3061" s="2"/>
      <c r="I3061" s="2"/>
    </row>
    <row r="3062">
      <c r="A3062" s="2" t="s">
        <v>3094</v>
      </c>
      <c r="B3062" s="2" t="s">
        <v>3068</v>
      </c>
      <c r="C3062" s="2"/>
      <c r="D3062" s="2" t="s">
        <v>11</v>
      </c>
      <c r="E3062" s="2">
        <v>10.0</v>
      </c>
      <c r="F3062" s="2" t="s">
        <v>12</v>
      </c>
      <c r="G3062" s="2"/>
      <c r="H3062" s="2"/>
      <c r="I3062" s="2"/>
    </row>
    <row r="3063">
      <c r="A3063" s="1" t="s">
        <v>3095</v>
      </c>
      <c r="B3063" s="2" t="s">
        <v>3068</v>
      </c>
      <c r="C3063" s="2"/>
      <c r="D3063" s="2" t="s">
        <v>11</v>
      </c>
      <c r="E3063" s="2">
        <v>10.0</v>
      </c>
      <c r="F3063" s="2" t="s">
        <v>12</v>
      </c>
      <c r="G3063" s="2"/>
      <c r="H3063" s="2"/>
      <c r="I3063" s="2"/>
    </row>
    <row r="3064">
      <c r="A3064" s="1" t="s">
        <v>3096</v>
      </c>
      <c r="B3064" s="2" t="s">
        <v>3068</v>
      </c>
      <c r="C3064" s="2"/>
      <c r="D3064" s="2" t="s">
        <v>11</v>
      </c>
      <c r="E3064" s="2">
        <v>10.0</v>
      </c>
      <c r="F3064" s="2" t="s">
        <v>12</v>
      </c>
      <c r="G3064" s="2"/>
      <c r="H3064" s="2"/>
      <c r="I3064" s="2"/>
    </row>
    <row r="3065">
      <c r="A3065" s="1" t="s">
        <v>3097</v>
      </c>
      <c r="B3065" s="2" t="s">
        <v>3068</v>
      </c>
      <c r="C3065" s="2"/>
      <c r="D3065" s="2" t="s">
        <v>11</v>
      </c>
      <c r="E3065" s="2">
        <v>10.0</v>
      </c>
      <c r="F3065" s="2" t="s">
        <v>12</v>
      </c>
      <c r="G3065" s="2"/>
      <c r="H3065" s="2"/>
      <c r="I3065" s="2"/>
    </row>
    <row r="3066">
      <c r="A3066" s="1" t="s">
        <v>3098</v>
      </c>
      <c r="B3066" s="2" t="s">
        <v>3068</v>
      </c>
      <c r="C3066" s="2"/>
      <c r="D3066" s="2" t="s">
        <v>11</v>
      </c>
      <c r="E3066" s="2">
        <v>10.0</v>
      </c>
      <c r="F3066" s="2" t="s">
        <v>12</v>
      </c>
      <c r="G3066" s="2"/>
      <c r="H3066" s="2"/>
      <c r="I3066" s="2"/>
    </row>
    <row r="3067">
      <c r="A3067" s="1" t="s">
        <v>3099</v>
      </c>
      <c r="B3067" s="2" t="s">
        <v>3068</v>
      </c>
      <c r="C3067" s="2"/>
      <c r="D3067" s="2" t="s">
        <v>11</v>
      </c>
      <c r="E3067" s="2">
        <v>10.0</v>
      </c>
      <c r="F3067" s="2" t="s">
        <v>12</v>
      </c>
      <c r="G3067" s="2"/>
      <c r="H3067" s="2"/>
      <c r="I3067" s="2"/>
    </row>
    <row r="3068">
      <c r="A3068" s="1" t="s">
        <v>3100</v>
      </c>
      <c r="B3068" s="2" t="s">
        <v>3068</v>
      </c>
      <c r="C3068" s="2"/>
      <c r="D3068" s="2" t="s">
        <v>37</v>
      </c>
      <c r="E3068" s="2">
        <v>10.0</v>
      </c>
      <c r="F3068" s="2" t="s">
        <v>12</v>
      </c>
      <c r="G3068" s="2"/>
      <c r="H3068" s="2"/>
      <c r="I3068" s="2"/>
    </row>
    <row r="3069">
      <c r="A3069" s="1" t="s">
        <v>3101</v>
      </c>
      <c r="B3069" s="2" t="s">
        <v>3068</v>
      </c>
      <c r="C3069" s="2"/>
      <c r="D3069" s="2" t="s">
        <v>37</v>
      </c>
      <c r="E3069" s="2">
        <v>10.0</v>
      </c>
      <c r="F3069" s="2" t="s">
        <v>12</v>
      </c>
      <c r="G3069" s="2"/>
      <c r="H3069" s="2"/>
      <c r="I3069" s="2"/>
    </row>
    <row r="3070">
      <c r="A3070" s="1" t="s">
        <v>3102</v>
      </c>
      <c r="B3070" s="2" t="s">
        <v>3068</v>
      </c>
      <c r="C3070" s="2"/>
      <c r="D3070" s="2" t="s">
        <v>37</v>
      </c>
      <c r="E3070" s="2">
        <v>10.0</v>
      </c>
      <c r="F3070" s="2" t="s">
        <v>12</v>
      </c>
      <c r="G3070" s="2"/>
      <c r="H3070" s="2"/>
      <c r="I3070" s="2"/>
    </row>
    <row r="3071">
      <c r="A3071" s="1" t="s">
        <v>3103</v>
      </c>
      <c r="B3071" s="2" t="s">
        <v>3068</v>
      </c>
      <c r="C3071" s="2"/>
      <c r="D3071" s="2" t="s">
        <v>37</v>
      </c>
      <c r="E3071" s="2">
        <v>10.0</v>
      </c>
      <c r="F3071" s="2" t="s">
        <v>12</v>
      </c>
      <c r="G3071" s="2"/>
      <c r="H3071" s="2"/>
      <c r="I3071" s="2"/>
    </row>
    <row r="3072">
      <c r="A3072" s="1" t="s">
        <v>3104</v>
      </c>
      <c r="B3072" s="2" t="s">
        <v>3068</v>
      </c>
      <c r="C3072" s="2"/>
      <c r="D3072" s="2" t="s">
        <v>37</v>
      </c>
      <c r="E3072" s="2">
        <v>10.0</v>
      </c>
      <c r="F3072" s="2" t="s">
        <v>12</v>
      </c>
      <c r="G3072" s="2"/>
      <c r="H3072" s="2"/>
      <c r="I3072" s="2"/>
    </row>
    <row r="3073">
      <c r="A3073" s="1" t="s">
        <v>3105</v>
      </c>
      <c r="B3073" s="2" t="s">
        <v>3068</v>
      </c>
      <c r="C3073" s="2"/>
      <c r="D3073" s="2" t="s">
        <v>11</v>
      </c>
      <c r="E3073" s="2">
        <v>15.0</v>
      </c>
      <c r="F3073" s="2" t="s">
        <v>12</v>
      </c>
      <c r="G3073" s="2"/>
      <c r="H3073" s="2"/>
      <c r="I3073" s="2"/>
    </row>
    <row r="3074">
      <c r="A3074" s="1" t="s">
        <v>3106</v>
      </c>
      <c r="B3074" s="2" t="s">
        <v>3068</v>
      </c>
      <c r="C3074" s="2"/>
      <c r="D3074" s="2" t="s">
        <v>11</v>
      </c>
      <c r="E3074" s="2">
        <v>10.0</v>
      </c>
      <c r="F3074" s="2" t="s">
        <v>12</v>
      </c>
      <c r="G3074" s="2"/>
      <c r="H3074" s="2"/>
      <c r="I3074" s="2"/>
    </row>
    <row r="3075">
      <c r="A3075" s="1" t="s">
        <v>3107</v>
      </c>
      <c r="B3075" s="2" t="s">
        <v>3068</v>
      </c>
      <c r="C3075" s="2"/>
      <c r="D3075" s="2" t="s">
        <v>11</v>
      </c>
      <c r="E3075" s="2">
        <v>10.0</v>
      </c>
      <c r="F3075" s="2" t="s">
        <v>12</v>
      </c>
      <c r="G3075" s="2"/>
      <c r="H3075" s="2"/>
      <c r="I3075" s="2"/>
    </row>
    <row r="3076">
      <c r="A3076" s="1" t="s">
        <v>3108</v>
      </c>
      <c r="B3076" s="2" t="s">
        <v>3068</v>
      </c>
      <c r="C3076" s="2"/>
      <c r="D3076" s="2" t="s">
        <v>11</v>
      </c>
      <c r="E3076" s="2">
        <v>15.0</v>
      </c>
      <c r="F3076" s="2" t="s">
        <v>12</v>
      </c>
      <c r="G3076" s="2"/>
      <c r="H3076" s="2"/>
      <c r="I3076" s="2"/>
    </row>
    <row r="3077">
      <c r="A3077" s="1" t="s">
        <v>3108</v>
      </c>
      <c r="B3077" s="2" t="s">
        <v>3068</v>
      </c>
      <c r="C3077" s="2"/>
      <c r="D3077" s="2" t="s">
        <v>11</v>
      </c>
      <c r="E3077" s="2"/>
      <c r="F3077" s="2"/>
      <c r="G3077" s="2"/>
      <c r="H3077" s="2"/>
      <c r="I3077" s="2"/>
    </row>
    <row r="3078">
      <c r="A3078" s="1" t="s">
        <v>3109</v>
      </c>
      <c r="B3078" s="2" t="s">
        <v>3068</v>
      </c>
      <c r="C3078" s="2"/>
      <c r="D3078" s="2" t="s">
        <v>37</v>
      </c>
      <c r="E3078" s="2">
        <v>10.0</v>
      </c>
      <c r="F3078" s="2" t="s">
        <v>12</v>
      </c>
      <c r="G3078" s="2"/>
      <c r="H3078" s="2"/>
      <c r="I3078" s="2"/>
    </row>
    <row r="3079">
      <c r="A3079" s="2" t="s">
        <v>3110</v>
      </c>
      <c r="B3079" s="2" t="s">
        <v>3068</v>
      </c>
      <c r="C3079" s="2"/>
      <c r="D3079" s="2" t="s">
        <v>11</v>
      </c>
      <c r="E3079" s="2">
        <v>10.0</v>
      </c>
      <c r="F3079" s="2" t="s">
        <v>12</v>
      </c>
      <c r="G3079" s="2"/>
      <c r="H3079" s="2"/>
      <c r="I3079" s="2"/>
    </row>
    <row r="3080">
      <c r="A3080" s="1" t="s">
        <v>3111</v>
      </c>
      <c r="B3080" s="2" t="s">
        <v>3068</v>
      </c>
      <c r="C3080" s="2"/>
      <c r="D3080" s="2" t="s">
        <v>11</v>
      </c>
      <c r="E3080" s="2">
        <v>7.0</v>
      </c>
      <c r="F3080" s="2" t="s">
        <v>12</v>
      </c>
      <c r="G3080" s="2"/>
      <c r="H3080" s="2"/>
      <c r="I3080" s="2"/>
    </row>
    <row r="3081">
      <c r="A3081" s="1" t="s">
        <v>3112</v>
      </c>
      <c r="B3081" s="2" t="s">
        <v>3068</v>
      </c>
      <c r="C3081" s="2"/>
      <c r="D3081" s="2" t="s">
        <v>11</v>
      </c>
      <c r="E3081" s="2">
        <v>7.0</v>
      </c>
      <c r="F3081" s="2" t="s">
        <v>12</v>
      </c>
      <c r="G3081" s="2"/>
      <c r="H3081" s="2"/>
      <c r="I3081" s="2"/>
    </row>
    <row r="3082">
      <c r="A3082" s="1" t="s">
        <v>3113</v>
      </c>
      <c r="B3082" s="2" t="s">
        <v>3068</v>
      </c>
      <c r="C3082" s="2"/>
      <c r="D3082" s="2" t="s">
        <v>11</v>
      </c>
      <c r="E3082" s="2">
        <v>7.0</v>
      </c>
      <c r="F3082" s="2" t="s">
        <v>12</v>
      </c>
      <c r="G3082" s="2"/>
      <c r="H3082" s="2"/>
      <c r="I3082" s="2"/>
    </row>
    <row r="3083">
      <c r="A3083" s="1" t="s">
        <v>3114</v>
      </c>
      <c r="B3083" s="2" t="s">
        <v>3068</v>
      </c>
      <c r="C3083" s="2"/>
      <c r="D3083" s="2" t="s">
        <v>11</v>
      </c>
      <c r="E3083" s="2">
        <v>10.0</v>
      </c>
      <c r="F3083" s="2" t="s">
        <v>12</v>
      </c>
      <c r="G3083" s="2"/>
      <c r="H3083" s="2"/>
      <c r="I3083" s="2"/>
    </row>
    <row r="3084">
      <c r="A3084" s="1" t="s">
        <v>3115</v>
      </c>
      <c r="B3084" s="2" t="s">
        <v>3068</v>
      </c>
      <c r="C3084" s="2"/>
      <c r="D3084" s="2" t="s">
        <v>11</v>
      </c>
      <c r="E3084" s="2">
        <v>10.0</v>
      </c>
      <c r="F3084" s="2" t="s">
        <v>12</v>
      </c>
      <c r="G3084" s="2"/>
      <c r="H3084" s="2"/>
      <c r="I3084" s="2"/>
    </row>
    <row r="3085">
      <c r="A3085" s="1" t="s">
        <v>3116</v>
      </c>
      <c r="B3085" s="2" t="s">
        <v>3068</v>
      </c>
      <c r="C3085" s="2"/>
      <c r="D3085" s="2" t="s">
        <v>11</v>
      </c>
      <c r="E3085" s="2">
        <v>15.0</v>
      </c>
      <c r="F3085" s="2" t="s">
        <v>12</v>
      </c>
      <c r="G3085" s="2"/>
      <c r="H3085" s="2"/>
      <c r="I3085" s="2"/>
    </row>
    <row r="3086">
      <c r="A3086" s="1" t="s">
        <v>3117</v>
      </c>
      <c r="B3086" s="2" t="s">
        <v>3068</v>
      </c>
      <c r="C3086" s="2"/>
      <c r="D3086" s="2" t="s">
        <v>11</v>
      </c>
      <c r="E3086" s="2">
        <v>15.0</v>
      </c>
      <c r="F3086" s="2" t="s">
        <v>12</v>
      </c>
      <c r="G3086" s="2"/>
      <c r="H3086" s="2"/>
      <c r="I3086" s="2"/>
    </row>
    <row r="3087">
      <c r="A3087" s="1" t="s">
        <v>3118</v>
      </c>
      <c r="B3087" s="2" t="s">
        <v>3068</v>
      </c>
      <c r="C3087" s="2"/>
      <c r="D3087" s="2" t="s">
        <v>11</v>
      </c>
      <c r="E3087" s="2">
        <v>10.0</v>
      </c>
      <c r="F3087" s="2" t="s">
        <v>12</v>
      </c>
      <c r="G3087" s="2"/>
      <c r="H3087" s="2"/>
      <c r="I3087" s="2"/>
    </row>
    <row r="3088">
      <c r="A3088" s="1" t="s">
        <v>3119</v>
      </c>
      <c r="B3088" s="2" t="s">
        <v>3068</v>
      </c>
      <c r="C3088" s="2"/>
      <c r="D3088" s="2" t="s">
        <v>11</v>
      </c>
      <c r="E3088" s="2">
        <v>10.0</v>
      </c>
      <c r="F3088" s="2" t="s">
        <v>12</v>
      </c>
      <c r="G3088" s="2"/>
      <c r="H3088" s="2"/>
      <c r="I3088" s="2"/>
    </row>
    <row r="3089">
      <c r="A3089" s="1" t="s">
        <v>3120</v>
      </c>
      <c r="B3089" s="2" t="s">
        <v>3068</v>
      </c>
      <c r="C3089" s="2"/>
      <c r="D3089" s="2" t="s">
        <v>11</v>
      </c>
      <c r="E3089" s="2">
        <v>10.0</v>
      </c>
      <c r="F3089" s="2" t="s">
        <v>12</v>
      </c>
      <c r="G3089" s="2"/>
      <c r="H3089" s="2"/>
      <c r="I3089" s="2"/>
    </row>
    <row r="3090">
      <c r="A3090" s="1" t="s">
        <v>3121</v>
      </c>
      <c r="B3090" s="2" t="s">
        <v>3068</v>
      </c>
      <c r="C3090" s="2"/>
      <c r="D3090" s="2" t="s">
        <v>11</v>
      </c>
      <c r="E3090" s="2">
        <v>10.0</v>
      </c>
      <c r="F3090" s="2" t="s">
        <v>12</v>
      </c>
      <c r="G3090" s="2"/>
      <c r="H3090" s="2"/>
      <c r="I3090" s="2"/>
    </row>
    <row r="3091">
      <c r="A3091" s="1" t="s">
        <v>3122</v>
      </c>
      <c r="B3091" s="2" t="s">
        <v>3068</v>
      </c>
      <c r="C3091" s="2"/>
      <c r="D3091" s="2" t="s">
        <v>11</v>
      </c>
      <c r="E3091" s="2">
        <v>10.0</v>
      </c>
      <c r="F3091" s="2" t="s">
        <v>12</v>
      </c>
      <c r="G3091" s="2"/>
      <c r="H3091" s="2"/>
      <c r="I3091" s="2"/>
    </row>
    <row r="3092">
      <c r="A3092" s="1" t="s">
        <v>3123</v>
      </c>
      <c r="B3092" s="2" t="s">
        <v>3068</v>
      </c>
      <c r="C3092" s="2"/>
      <c r="D3092" s="2" t="s">
        <v>11</v>
      </c>
      <c r="E3092" s="2">
        <v>10.0</v>
      </c>
      <c r="F3092" s="2" t="s">
        <v>12</v>
      </c>
      <c r="G3092" s="2"/>
      <c r="H3092" s="2"/>
      <c r="I3092" s="2"/>
    </row>
    <row r="3093">
      <c r="A3093" s="1" t="s">
        <v>3124</v>
      </c>
      <c r="B3093" s="2" t="s">
        <v>3068</v>
      </c>
      <c r="C3093" s="2"/>
      <c r="D3093" s="2" t="s">
        <v>11</v>
      </c>
      <c r="E3093" s="2">
        <v>10.0</v>
      </c>
      <c r="F3093" s="2" t="s">
        <v>12</v>
      </c>
      <c r="G3093" s="2"/>
      <c r="H3093" s="2"/>
      <c r="I3093" s="2"/>
    </row>
    <row r="3094">
      <c r="A3094" s="1" t="s">
        <v>3125</v>
      </c>
      <c r="B3094" s="2" t="s">
        <v>3068</v>
      </c>
      <c r="C3094" s="2"/>
      <c r="D3094" s="2" t="s">
        <v>11</v>
      </c>
      <c r="E3094" s="2">
        <v>10.0</v>
      </c>
      <c r="F3094" s="2" t="s">
        <v>12</v>
      </c>
      <c r="G3094" s="2"/>
      <c r="H3094" s="2"/>
      <c r="I3094" s="2"/>
    </row>
    <row r="3095">
      <c r="A3095" s="1" t="s">
        <v>3126</v>
      </c>
      <c r="B3095" s="2" t="s">
        <v>3068</v>
      </c>
      <c r="C3095" s="2"/>
      <c r="D3095" s="2" t="s">
        <v>11</v>
      </c>
      <c r="E3095" s="2">
        <v>10.0</v>
      </c>
      <c r="F3095" s="2" t="s">
        <v>12</v>
      </c>
      <c r="G3095" s="2"/>
      <c r="H3095" s="2"/>
      <c r="I3095" s="2"/>
    </row>
    <row r="3096">
      <c r="A3096" s="1" t="s">
        <v>3127</v>
      </c>
      <c r="B3096" s="2" t="s">
        <v>3068</v>
      </c>
      <c r="C3096" s="2"/>
      <c r="D3096" s="2" t="s">
        <v>11</v>
      </c>
      <c r="E3096" s="2">
        <v>10.0</v>
      </c>
      <c r="F3096" s="2" t="s">
        <v>12</v>
      </c>
      <c r="G3096" s="2"/>
      <c r="H3096" s="2"/>
      <c r="I3096" s="2"/>
    </row>
    <row r="3097">
      <c r="A3097" s="1" t="s">
        <v>3128</v>
      </c>
      <c r="B3097" s="2" t="s">
        <v>3068</v>
      </c>
      <c r="C3097" s="2"/>
      <c r="D3097" s="2" t="s">
        <v>11</v>
      </c>
      <c r="E3097" s="2">
        <v>10.0</v>
      </c>
      <c r="F3097" s="2" t="s">
        <v>12</v>
      </c>
      <c r="G3097" s="2"/>
      <c r="H3097" s="2"/>
      <c r="I3097" s="2"/>
    </row>
    <row r="3098">
      <c r="A3098" s="2" t="s">
        <v>3129</v>
      </c>
      <c r="B3098" s="2" t="s">
        <v>3068</v>
      </c>
      <c r="C3098" s="1"/>
      <c r="D3098" s="2"/>
      <c r="E3098" s="2"/>
      <c r="F3098" s="2"/>
      <c r="G3098" s="2"/>
      <c r="H3098" s="2"/>
      <c r="I3098" s="2"/>
    </row>
    <row r="3099">
      <c r="A3099" s="2" t="s">
        <v>3130</v>
      </c>
      <c r="B3099" s="2" t="s">
        <v>3068</v>
      </c>
      <c r="C3099" s="2"/>
      <c r="D3099" s="2" t="s">
        <v>11</v>
      </c>
      <c r="E3099" s="2">
        <v>10.0</v>
      </c>
      <c r="F3099" s="2" t="s">
        <v>12</v>
      </c>
      <c r="G3099" s="2"/>
      <c r="H3099" s="2"/>
      <c r="I3099" s="2"/>
    </row>
    <row r="3100">
      <c r="A3100" s="1" t="s">
        <v>3131</v>
      </c>
      <c r="B3100" s="2" t="s">
        <v>3068</v>
      </c>
      <c r="C3100" s="2"/>
      <c r="D3100" s="2" t="s">
        <v>11</v>
      </c>
      <c r="E3100" s="2">
        <v>10.0</v>
      </c>
      <c r="F3100" s="2" t="s">
        <v>12</v>
      </c>
      <c r="G3100" s="2"/>
      <c r="H3100" s="2"/>
      <c r="I3100" s="2"/>
    </row>
    <row r="3101">
      <c r="A3101" s="1" t="s">
        <v>3132</v>
      </c>
      <c r="B3101" s="2" t="s">
        <v>3068</v>
      </c>
      <c r="C3101" s="2"/>
      <c r="D3101" s="2" t="s">
        <v>11</v>
      </c>
      <c r="E3101" s="2">
        <v>10.0</v>
      </c>
      <c r="F3101" s="2" t="s">
        <v>12</v>
      </c>
      <c r="G3101" s="2"/>
      <c r="H3101" s="2"/>
      <c r="I3101" s="2"/>
    </row>
    <row r="3102">
      <c r="A3102" s="2" t="s">
        <v>3133</v>
      </c>
      <c r="B3102" s="2" t="s">
        <v>3134</v>
      </c>
      <c r="C3102" s="1"/>
      <c r="D3102" s="2"/>
      <c r="E3102" s="2"/>
      <c r="F3102" s="2"/>
      <c r="G3102" s="2"/>
      <c r="H3102" s="2"/>
      <c r="I3102" s="2"/>
    </row>
    <row r="3103">
      <c r="A3103" s="2" t="s">
        <v>3135</v>
      </c>
      <c r="B3103" s="2" t="s">
        <v>3134</v>
      </c>
      <c r="C3103" s="1"/>
      <c r="D3103" s="2"/>
      <c r="E3103" s="2"/>
      <c r="F3103" s="2"/>
      <c r="G3103" s="2"/>
      <c r="H3103" s="2"/>
      <c r="I3103" s="2"/>
    </row>
    <row r="3104">
      <c r="A3104" s="2" t="s">
        <v>3136</v>
      </c>
      <c r="B3104" s="2" t="s">
        <v>3134</v>
      </c>
      <c r="C3104" s="1"/>
      <c r="D3104" s="2"/>
      <c r="E3104" s="2"/>
      <c r="F3104" s="2"/>
      <c r="G3104" s="2"/>
      <c r="H3104" s="2"/>
      <c r="I3104" s="2"/>
    </row>
    <row r="3105">
      <c r="A3105" s="2" t="s">
        <v>3137</v>
      </c>
      <c r="B3105" s="2" t="s">
        <v>3134</v>
      </c>
      <c r="C3105" s="1"/>
      <c r="D3105" s="2"/>
      <c r="E3105" s="2"/>
      <c r="F3105" s="2"/>
      <c r="G3105" s="2"/>
      <c r="H3105" s="2"/>
      <c r="I3105" s="2"/>
    </row>
    <row r="3106">
      <c r="A3106" s="1" t="s">
        <v>3138</v>
      </c>
      <c r="B3106" s="2" t="s">
        <v>3134</v>
      </c>
      <c r="C3106" s="2"/>
      <c r="D3106" s="2" t="s">
        <v>37</v>
      </c>
      <c r="E3106" s="2">
        <v>10.0</v>
      </c>
      <c r="F3106" s="2" t="s">
        <v>12</v>
      </c>
      <c r="G3106" s="2"/>
      <c r="H3106" s="2"/>
      <c r="I3106" s="2"/>
    </row>
    <row r="3107">
      <c r="A3107" s="1" t="s">
        <v>3139</v>
      </c>
      <c r="B3107" s="2" t="s">
        <v>3134</v>
      </c>
      <c r="C3107" s="2"/>
      <c r="D3107" s="2" t="s">
        <v>37</v>
      </c>
      <c r="E3107" s="2">
        <v>10.0</v>
      </c>
      <c r="F3107" s="2" t="s">
        <v>12</v>
      </c>
      <c r="G3107" s="2"/>
      <c r="H3107" s="2"/>
      <c r="I3107" s="2"/>
    </row>
    <row r="3108">
      <c r="A3108" s="2" t="s">
        <v>3140</v>
      </c>
      <c r="B3108" s="2" t="s">
        <v>3134</v>
      </c>
      <c r="C3108" s="2"/>
      <c r="D3108" s="2" t="s">
        <v>37</v>
      </c>
      <c r="E3108" s="2">
        <v>15.0</v>
      </c>
      <c r="F3108" s="2" t="s">
        <v>12</v>
      </c>
      <c r="G3108" s="2"/>
      <c r="H3108" s="2"/>
      <c r="I3108" s="2"/>
    </row>
    <row r="3109">
      <c r="A3109" s="2" t="s">
        <v>3141</v>
      </c>
      <c r="B3109" s="2" t="s">
        <v>3134</v>
      </c>
      <c r="C3109" s="2"/>
      <c r="D3109" s="2" t="s">
        <v>37</v>
      </c>
      <c r="E3109" s="2">
        <v>15.0</v>
      </c>
      <c r="F3109" s="2" t="s">
        <v>12</v>
      </c>
      <c r="G3109" s="2"/>
      <c r="H3109" s="2"/>
      <c r="I3109" s="2"/>
    </row>
    <row r="3110">
      <c r="A3110" s="2" t="s">
        <v>3142</v>
      </c>
      <c r="B3110" s="2" t="s">
        <v>3134</v>
      </c>
      <c r="C3110" s="1"/>
      <c r="D3110" s="2"/>
      <c r="E3110" s="2"/>
      <c r="F3110" s="2"/>
      <c r="G3110" s="2"/>
      <c r="H3110" s="2"/>
      <c r="I3110" s="2"/>
    </row>
    <row r="3111">
      <c r="A3111" s="2" t="s">
        <v>3143</v>
      </c>
      <c r="B3111" s="2" t="s">
        <v>3134</v>
      </c>
      <c r="C3111" s="1"/>
      <c r="D3111" s="2"/>
      <c r="E3111" s="2"/>
      <c r="F3111" s="2"/>
      <c r="G3111" s="2"/>
      <c r="H3111" s="2"/>
      <c r="I3111" s="2"/>
    </row>
    <row r="3112">
      <c r="A3112" s="2" t="s">
        <v>3144</v>
      </c>
      <c r="B3112" s="2" t="s">
        <v>3134</v>
      </c>
      <c r="C3112" s="1"/>
      <c r="D3112" s="2"/>
      <c r="E3112" s="2"/>
      <c r="F3112" s="2"/>
      <c r="G3112" s="2"/>
      <c r="H3112" s="2"/>
      <c r="I3112" s="2"/>
    </row>
    <row r="3113">
      <c r="A3113" s="2" t="s">
        <v>3145</v>
      </c>
      <c r="B3113" s="2" t="s">
        <v>3134</v>
      </c>
      <c r="C3113" s="1"/>
      <c r="D3113" s="2"/>
      <c r="E3113" s="2"/>
      <c r="F3113" s="2"/>
      <c r="G3113" s="2"/>
      <c r="H3113" s="2"/>
      <c r="I3113" s="2"/>
    </row>
    <row r="3114">
      <c r="A3114" s="2" t="s">
        <v>3146</v>
      </c>
      <c r="B3114" s="2" t="s">
        <v>3134</v>
      </c>
      <c r="C3114" s="1"/>
      <c r="D3114" s="2"/>
      <c r="E3114" s="2"/>
      <c r="F3114" s="2"/>
      <c r="G3114" s="2"/>
      <c r="H3114" s="2"/>
      <c r="I3114" s="2"/>
    </row>
    <row r="3115">
      <c r="A3115" s="2" t="s">
        <v>3147</v>
      </c>
      <c r="B3115" s="2" t="s">
        <v>3134</v>
      </c>
      <c r="C3115" s="1"/>
      <c r="D3115" s="1" t="s">
        <v>300</v>
      </c>
      <c r="E3115" s="1" t="s">
        <v>301</v>
      </c>
      <c r="F3115" s="1" t="s">
        <v>302</v>
      </c>
      <c r="G3115" s="2"/>
      <c r="H3115" s="2"/>
      <c r="I3115" s="2"/>
    </row>
    <row r="3116">
      <c r="A3116" s="2" t="s">
        <v>3148</v>
      </c>
      <c r="B3116" s="2" t="s">
        <v>3134</v>
      </c>
      <c r="C3116" s="1"/>
      <c r="D3116" s="2"/>
      <c r="E3116" s="2"/>
      <c r="F3116" s="2"/>
      <c r="G3116" s="2"/>
      <c r="H3116" s="2"/>
      <c r="I3116" s="2"/>
    </row>
    <row r="3117">
      <c r="A3117" s="2" t="s">
        <v>3149</v>
      </c>
      <c r="B3117" s="2" t="s">
        <v>3134</v>
      </c>
      <c r="C3117" s="1"/>
      <c r="D3117" s="2"/>
      <c r="E3117" s="2"/>
      <c r="F3117" s="2"/>
      <c r="G3117" s="2"/>
      <c r="H3117" s="2"/>
      <c r="I3117" s="2"/>
    </row>
    <row r="3118">
      <c r="A3118" s="2" t="s">
        <v>3150</v>
      </c>
      <c r="B3118" s="2" t="s">
        <v>3134</v>
      </c>
      <c r="C3118" s="1"/>
      <c r="D3118" s="2"/>
      <c r="E3118" s="2"/>
      <c r="F3118" s="2"/>
      <c r="G3118" s="2"/>
      <c r="H3118" s="2"/>
      <c r="I3118" s="2"/>
    </row>
    <row r="3119">
      <c r="A3119" s="2" t="s">
        <v>3151</v>
      </c>
      <c r="B3119" s="2" t="s">
        <v>3134</v>
      </c>
      <c r="C3119" s="1"/>
      <c r="D3119" s="2"/>
      <c r="E3119" s="2"/>
      <c r="F3119" s="2"/>
      <c r="G3119" s="2"/>
      <c r="H3119" s="2"/>
      <c r="I3119" s="2"/>
    </row>
    <row r="3120">
      <c r="A3120" s="2" t="s">
        <v>3152</v>
      </c>
      <c r="B3120" s="2" t="s">
        <v>3153</v>
      </c>
      <c r="C3120" s="1"/>
      <c r="D3120" s="2"/>
      <c r="E3120" s="2"/>
      <c r="F3120" s="2"/>
      <c r="G3120" s="2"/>
      <c r="H3120" s="2"/>
      <c r="I3120" s="2"/>
    </row>
    <row r="3121">
      <c r="A3121" s="2" t="s">
        <v>3154</v>
      </c>
      <c r="B3121" s="2" t="s">
        <v>3153</v>
      </c>
      <c r="C3121" s="1"/>
      <c r="D3121" s="2"/>
      <c r="E3121" s="2"/>
      <c r="F3121" s="2"/>
      <c r="G3121" s="2"/>
      <c r="H3121" s="2"/>
      <c r="I3121" s="2"/>
    </row>
    <row r="3122">
      <c r="A3122" s="2" t="s">
        <v>3155</v>
      </c>
      <c r="B3122" s="2" t="s">
        <v>3153</v>
      </c>
      <c r="C3122" s="1"/>
      <c r="D3122" s="2"/>
      <c r="E3122" s="2"/>
      <c r="F3122" s="2"/>
      <c r="G3122" s="2"/>
      <c r="H3122" s="2"/>
      <c r="I3122" s="2"/>
    </row>
    <row r="3123">
      <c r="A3123" s="2" t="s">
        <v>3156</v>
      </c>
      <c r="B3123" s="2" t="s">
        <v>3153</v>
      </c>
      <c r="C3123" s="1"/>
      <c r="D3123" s="2"/>
      <c r="E3123" s="2"/>
      <c r="F3123" s="2"/>
      <c r="G3123" s="2"/>
      <c r="H3123" s="2"/>
      <c r="I3123" s="2"/>
    </row>
    <row r="3124">
      <c r="A3124" s="2" t="s">
        <v>3157</v>
      </c>
      <c r="B3124" s="2" t="s">
        <v>3153</v>
      </c>
      <c r="C3124" s="1"/>
      <c r="D3124" s="2"/>
      <c r="E3124" s="2"/>
      <c r="F3124" s="2"/>
      <c r="G3124" s="2"/>
      <c r="H3124" s="2"/>
      <c r="I3124" s="2"/>
    </row>
    <row r="3125">
      <c r="A3125" s="2" t="s">
        <v>3158</v>
      </c>
      <c r="B3125" s="2" t="s">
        <v>3153</v>
      </c>
      <c r="C3125" s="1"/>
      <c r="D3125" s="2"/>
      <c r="E3125" s="2"/>
      <c r="F3125" s="2"/>
      <c r="G3125" s="2"/>
      <c r="H3125" s="2"/>
      <c r="I3125" s="2"/>
    </row>
    <row r="3126">
      <c r="A3126" s="2" t="s">
        <v>3159</v>
      </c>
      <c r="B3126" s="2" t="s">
        <v>3153</v>
      </c>
      <c r="C3126" s="1"/>
      <c r="D3126" s="2"/>
      <c r="E3126" s="2"/>
      <c r="F3126" s="2"/>
      <c r="G3126" s="2"/>
      <c r="H3126" s="2"/>
      <c r="I3126" s="2"/>
    </row>
    <row r="3127">
      <c r="A3127" s="2" t="s">
        <v>3160</v>
      </c>
      <c r="B3127" s="2" t="s">
        <v>3153</v>
      </c>
      <c r="C3127" s="1"/>
      <c r="D3127" s="2"/>
      <c r="E3127" s="2"/>
      <c r="F3127" s="2"/>
      <c r="G3127" s="2"/>
      <c r="H3127" s="2"/>
      <c r="I3127" s="2"/>
    </row>
    <row r="3128">
      <c r="A3128" s="2" t="s">
        <v>3161</v>
      </c>
      <c r="B3128" s="2" t="s">
        <v>3153</v>
      </c>
      <c r="C3128" s="1"/>
      <c r="D3128" s="2"/>
      <c r="E3128" s="2"/>
      <c r="F3128" s="2"/>
      <c r="G3128" s="2"/>
      <c r="H3128" s="2"/>
      <c r="I3128" s="2"/>
    </row>
    <row r="3129">
      <c r="A3129" s="2" t="s">
        <v>3162</v>
      </c>
      <c r="B3129" s="2" t="s">
        <v>3153</v>
      </c>
      <c r="C3129" s="1"/>
      <c r="D3129" s="2"/>
      <c r="E3129" s="2"/>
      <c r="F3129" s="2"/>
      <c r="G3129" s="2"/>
      <c r="H3129" s="2"/>
      <c r="I3129" s="2"/>
    </row>
    <row r="3130">
      <c r="A3130" s="2" t="s">
        <v>3163</v>
      </c>
      <c r="B3130" s="2" t="s">
        <v>3153</v>
      </c>
      <c r="C3130" s="1"/>
      <c r="D3130" s="2"/>
      <c r="E3130" s="2"/>
      <c r="F3130" s="2"/>
      <c r="G3130" s="2"/>
      <c r="H3130" s="2"/>
      <c r="I3130" s="2"/>
    </row>
    <row r="3131">
      <c r="A3131" s="1" t="s">
        <v>3164</v>
      </c>
      <c r="B3131" s="2" t="s">
        <v>3153</v>
      </c>
      <c r="C3131" s="2"/>
      <c r="D3131" s="2" t="s">
        <v>11</v>
      </c>
      <c r="E3131" s="2">
        <v>7.0</v>
      </c>
      <c r="F3131" s="2" t="s">
        <v>12</v>
      </c>
      <c r="G3131" s="2"/>
      <c r="H3131" s="2"/>
      <c r="I3131" s="2"/>
    </row>
    <row r="3132">
      <c r="A3132" s="2" t="s">
        <v>3165</v>
      </c>
      <c r="B3132" s="2" t="s">
        <v>3153</v>
      </c>
      <c r="C3132" s="1"/>
      <c r="D3132" s="2"/>
      <c r="E3132" s="2"/>
      <c r="F3132" s="2"/>
      <c r="G3132" s="2"/>
      <c r="H3132" s="2"/>
      <c r="I3132" s="2"/>
    </row>
    <row r="3133">
      <c r="A3133" s="2" t="s">
        <v>3166</v>
      </c>
      <c r="B3133" s="2" t="s">
        <v>3153</v>
      </c>
      <c r="C3133" s="1"/>
      <c r="D3133" s="2"/>
      <c r="E3133" s="2"/>
      <c r="F3133" s="2"/>
      <c r="G3133" s="2"/>
      <c r="H3133" s="2"/>
      <c r="I3133" s="2"/>
    </row>
    <row r="3134">
      <c r="A3134" s="2" t="s">
        <v>3167</v>
      </c>
      <c r="B3134" s="2" t="s">
        <v>3153</v>
      </c>
      <c r="C3134" s="1"/>
      <c r="D3134" s="2"/>
      <c r="E3134" s="2"/>
      <c r="F3134" s="2"/>
      <c r="G3134" s="2"/>
      <c r="H3134" s="2"/>
      <c r="I3134" s="2"/>
    </row>
    <row r="3135">
      <c r="A3135" s="1" t="s">
        <v>3168</v>
      </c>
      <c r="B3135" s="2" t="s">
        <v>3153</v>
      </c>
      <c r="C3135" s="2"/>
      <c r="D3135" s="2" t="s">
        <v>11</v>
      </c>
      <c r="E3135" s="2">
        <v>10.0</v>
      </c>
      <c r="F3135" s="2" t="s">
        <v>12</v>
      </c>
      <c r="G3135" s="2"/>
      <c r="H3135" s="2"/>
      <c r="I3135" s="2"/>
    </row>
    <row r="3136">
      <c r="A3136" s="1" t="s">
        <v>3169</v>
      </c>
      <c r="B3136" s="2" t="s">
        <v>3153</v>
      </c>
      <c r="C3136" s="2"/>
      <c r="D3136" s="2" t="s">
        <v>11</v>
      </c>
      <c r="E3136" s="2">
        <v>10.0</v>
      </c>
      <c r="F3136" s="2" t="s">
        <v>12</v>
      </c>
      <c r="G3136" s="2"/>
      <c r="H3136" s="2"/>
      <c r="I3136" s="2"/>
    </row>
    <row r="3137">
      <c r="A3137" s="2" t="s">
        <v>3170</v>
      </c>
      <c r="B3137" s="2" t="s">
        <v>3153</v>
      </c>
      <c r="C3137" s="1"/>
      <c r="D3137" s="2"/>
      <c r="E3137" s="2"/>
      <c r="F3137" s="2"/>
      <c r="G3137" s="2"/>
      <c r="H3137" s="2"/>
      <c r="I3137" s="2"/>
    </row>
    <row r="3138">
      <c r="A3138" s="2" t="s">
        <v>3171</v>
      </c>
      <c r="B3138" s="2" t="s">
        <v>3153</v>
      </c>
      <c r="C3138" s="1"/>
      <c r="D3138" s="2"/>
      <c r="E3138" s="2"/>
      <c r="F3138" s="2"/>
      <c r="G3138" s="2"/>
      <c r="H3138" s="2"/>
      <c r="I3138" s="2"/>
    </row>
    <row r="3139">
      <c r="A3139" s="2" t="s">
        <v>3172</v>
      </c>
      <c r="B3139" s="2" t="s">
        <v>3153</v>
      </c>
      <c r="C3139" s="1"/>
      <c r="D3139" s="2"/>
      <c r="E3139" s="2"/>
      <c r="F3139" s="2"/>
      <c r="G3139" s="2"/>
      <c r="H3139" s="2"/>
      <c r="I3139" s="2"/>
    </row>
    <row r="3140">
      <c r="A3140" s="2" t="s">
        <v>3173</v>
      </c>
      <c r="B3140" s="2" t="s">
        <v>3153</v>
      </c>
      <c r="C3140" s="1"/>
      <c r="D3140" s="2"/>
      <c r="E3140" s="2"/>
      <c r="F3140" s="2"/>
      <c r="G3140" s="2"/>
      <c r="H3140" s="2"/>
      <c r="I3140" s="2"/>
    </row>
    <row r="3141">
      <c r="A3141" s="2" t="s">
        <v>3174</v>
      </c>
      <c r="B3141" s="2" t="s">
        <v>3153</v>
      </c>
      <c r="C3141" s="1"/>
      <c r="D3141" s="2"/>
      <c r="E3141" s="2"/>
      <c r="F3141" s="2"/>
      <c r="G3141" s="2"/>
      <c r="H3141" s="2"/>
      <c r="I3141" s="2"/>
    </row>
    <row r="3142">
      <c r="A3142" s="1" t="s">
        <v>3175</v>
      </c>
      <c r="B3142" s="2" t="s">
        <v>3153</v>
      </c>
      <c r="C3142" s="2"/>
      <c r="D3142" s="2" t="s">
        <v>11</v>
      </c>
      <c r="E3142" s="2">
        <v>10.0</v>
      </c>
      <c r="F3142" s="2" t="s">
        <v>12</v>
      </c>
      <c r="G3142" s="2"/>
      <c r="H3142" s="2"/>
      <c r="I3142" s="2"/>
    </row>
    <row r="3143">
      <c r="A3143" s="2" t="s">
        <v>3176</v>
      </c>
      <c r="B3143" s="2" t="s">
        <v>3153</v>
      </c>
      <c r="C3143" s="2"/>
      <c r="D3143" s="2" t="s">
        <v>11</v>
      </c>
      <c r="E3143" s="2">
        <v>10.0</v>
      </c>
      <c r="F3143" s="2" t="s">
        <v>12</v>
      </c>
      <c r="G3143" s="2"/>
      <c r="H3143" s="2"/>
      <c r="I3143" s="2"/>
    </row>
    <row r="3144">
      <c r="A3144" s="2" t="s">
        <v>3177</v>
      </c>
      <c r="B3144" s="2" t="s">
        <v>3153</v>
      </c>
      <c r="C3144" s="1"/>
      <c r="D3144" s="2"/>
      <c r="E3144" s="2"/>
      <c r="F3144" s="2"/>
      <c r="G3144" s="2"/>
      <c r="H3144" s="2"/>
      <c r="I3144" s="2"/>
    </row>
    <row r="3145">
      <c r="A3145" s="2" t="s">
        <v>3178</v>
      </c>
      <c r="B3145" s="2" t="s">
        <v>3153</v>
      </c>
      <c r="C3145" s="1"/>
      <c r="D3145" s="2"/>
      <c r="E3145" s="2"/>
      <c r="F3145" s="2"/>
      <c r="G3145" s="2"/>
      <c r="H3145" s="2"/>
      <c r="I3145" s="2"/>
    </row>
    <row r="3146">
      <c r="A3146" s="1" t="s">
        <v>3179</v>
      </c>
      <c r="B3146" s="2" t="s">
        <v>3153</v>
      </c>
      <c r="C3146" s="2"/>
      <c r="D3146" s="2" t="s">
        <v>11</v>
      </c>
      <c r="E3146" s="2">
        <v>3.0</v>
      </c>
      <c r="F3146" s="2" t="s">
        <v>12</v>
      </c>
      <c r="G3146" s="2"/>
      <c r="H3146" s="2"/>
      <c r="I3146" s="2"/>
    </row>
    <row r="3147">
      <c r="A3147" s="1" t="s">
        <v>3180</v>
      </c>
      <c r="B3147" s="2" t="s">
        <v>3153</v>
      </c>
      <c r="C3147" s="2"/>
      <c r="D3147" s="2" t="s">
        <v>11</v>
      </c>
      <c r="E3147" s="2">
        <v>10.0</v>
      </c>
      <c r="F3147" s="2" t="s">
        <v>12</v>
      </c>
      <c r="G3147" s="2"/>
      <c r="H3147" s="2"/>
      <c r="I3147" s="2"/>
    </row>
    <row r="3148">
      <c r="A3148" s="1" t="s">
        <v>3181</v>
      </c>
      <c r="B3148" s="2" t="s">
        <v>3153</v>
      </c>
      <c r="C3148" s="2"/>
      <c r="D3148" s="2" t="s">
        <v>11</v>
      </c>
      <c r="E3148" s="2">
        <v>10.0</v>
      </c>
      <c r="F3148" s="2" t="s">
        <v>12</v>
      </c>
      <c r="G3148" s="2"/>
      <c r="H3148" s="2"/>
      <c r="I3148" s="2"/>
    </row>
    <row r="3149">
      <c r="A3149" s="2" t="s">
        <v>3182</v>
      </c>
      <c r="B3149" s="2" t="s">
        <v>3153</v>
      </c>
      <c r="C3149" s="1"/>
      <c r="D3149" s="2"/>
      <c r="E3149" s="2"/>
      <c r="F3149" s="2"/>
      <c r="G3149" s="2"/>
      <c r="H3149" s="2"/>
      <c r="I3149" s="2"/>
    </row>
    <row r="3150">
      <c r="A3150" s="2" t="s">
        <v>3183</v>
      </c>
      <c r="B3150" s="2" t="s">
        <v>3153</v>
      </c>
      <c r="C3150" s="1"/>
      <c r="D3150" s="2"/>
      <c r="E3150" s="2"/>
      <c r="F3150" s="2"/>
      <c r="G3150" s="2"/>
      <c r="H3150" s="2"/>
      <c r="I3150" s="2"/>
    </row>
    <row r="3151">
      <c r="A3151" s="2" t="s">
        <v>3184</v>
      </c>
      <c r="B3151" s="2" t="s">
        <v>3153</v>
      </c>
      <c r="C3151" s="1"/>
      <c r="D3151" s="2"/>
      <c r="E3151" s="2"/>
      <c r="F3151" s="2"/>
      <c r="G3151" s="2"/>
      <c r="H3151" s="2"/>
      <c r="I3151" s="2"/>
    </row>
    <row r="3152">
      <c r="A3152" s="2" t="s">
        <v>3185</v>
      </c>
      <c r="B3152" s="2" t="s">
        <v>3153</v>
      </c>
      <c r="C3152" s="1"/>
      <c r="D3152" s="2"/>
      <c r="E3152" s="2"/>
      <c r="F3152" s="2"/>
      <c r="G3152" s="2"/>
      <c r="H3152" s="2"/>
      <c r="I3152" s="2"/>
    </row>
    <row r="3153">
      <c r="A3153" s="2" t="s">
        <v>3186</v>
      </c>
      <c r="B3153" s="2" t="s">
        <v>3153</v>
      </c>
      <c r="C3153" s="1"/>
      <c r="D3153" s="2"/>
      <c r="E3153" s="2"/>
      <c r="F3153" s="2"/>
      <c r="G3153" s="2"/>
      <c r="H3153" s="2"/>
      <c r="I3153" s="2"/>
    </row>
    <row r="3154">
      <c r="A3154" s="2" t="s">
        <v>3187</v>
      </c>
      <c r="B3154" s="2" t="s">
        <v>3153</v>
      </c>
      <c r="C3154" s="1"/>
      <c r="D3154" s="2"/>
      <c r="E3154" s="2"/>
      <c r="F3154" s="2"/>
      <c r="G3154" s="2"/>
      <c r="H3154" s="2"/>
      <c r="I3154" s="2"/>
    </row>
    <row r="3155">
      <c r="A3155" s="2" t="s">
        <v>3188</v>
      </c>
      <c r="B3155" s="2" t="s">
        <v>3153</v>
      </c>
      <c r="C3155" s="1"/>
      <c r="D3155" s="2"/>
      <c r="E3155" s="2"/>
      <c r="F3155" s="2"/>
      <c r="G3155" s="2"/>
      <c r="H3155" s="2"/>
      <c r="I3155" s="2"/>
    </row>
    <row r="3156">
      <c r="A3156" s="2" t="s">
        <v>3189</v>
      </c>
      <c r="B3156" s="2" t="s">
        <v>3153</v>
      </c>
      <c r="C3156" s="1"/>
      <c r="D3156" s="2"/>
      <c r="E3156" s="2"/>
      <c r="F3156" s="2"/>
      <c r="G3156" s="2"/>
      <c r="H3156" s="2"/>
      <c r="I3156" s="2"/>
    </row>
    <row r="3157">
      <c r="A3157" s="2" t="s">
        <v>3190</v>
      </c>
      <c r="B3157" s="2" t="s">
        <v>3153</v>
      </c>
      <c r="C3157" s="1"/>
      <c r="D3157" s="2"/>
      <c r="E3157" s="2"/>
      <c r="F3157" s="2"/>
      <c r="G3157" s="2"/>
      <c r="H3157" s="2"/>
      <c r="I3157" s="2"/>
    </row>
    <row r="3158">
      <c r="A3158" s="2" t="s">
        <v>3191</v>
      </c>
      <c r="B3158" s="2" t="s">
        <v>3153</v>
      </c>
      <c r="C3158" s="1"/>
      <c r="D3158" s="2"/>
      <c r="E3158" s="2"/>
      <c r="F3158" s="2"/>
      <c r="G3158" s="2"/>
      <c r="H3158" s="2"/>
      <c r="I3158" s="2"/>
    </row>
    <row r="3159">
      <c r="A3159" s="2" t="s">
        <v>3192</v>
      </c>
      <c r="B3159" s="2" t="s">
        <v>3153</v>
      </c>
      <c r="C3159" s="1"/>
      <c r="D3159" s="2"/>
      <c r="E3159" s="2"/>
      <c r="F3159" s="2"/>
      <c r="G3159" s="2"/>
      <c r="H3159" s="2"/>
      <c r="I3159" s="2"/>
    </row>
    <row r="3160">
      <c r="A3160" s="2" t="s">
        <v>3193</v>
      </c>
      <c r="B3160" s="2" t="s">
        <v>3153</v>
      </c>
      <c r="C3160" s="1"/>
      <c r="D3160" s="2"/>
      <c r="E3160" s="2"/>
      <c r="F3160" s="2"/>
      <c r="G3160" s="2"/>
      <c r="H3160" s="2"/>
      <c r="I3160" s="2"/>
    </row>
    <row r="3161">
      <c r="A3161" s="2" t="s">
        <v>3194</v>
      </c>
      <c r="B3161" s="2" t="s">
        <v>3153</v>
      </c>
      <c r="C3161" s="1"/>
      <c r="D3161" s="2"/>
      <c r="E3161" s="2"/>
      <c r="F3161" s="2"/>
      <c r="G3161" s="2"/>
      <c r="H3161" s="2"/>
      <c r="I3161" s="2"/>
    </row>
    <row r="3162">
      <c r="A3162" s="2" t="s">
        <v>3195</v>
      </c>
      <c r="B3162" s="2" t="s">
        <v>3153</v>
      </c>
      <c r="C3162" s="1"/>
      <c r="D3162" s="2"/>
      <c r="E3162" s="2"/>
      <c r="F3162" s="2"/>
      <c r="G3162" s="2"/>
      <c r="H3162" s="2"/>
      <c r="I3162" s="2"/>
    </row>
    <row r="3163">
      <c r="A3163" s="2" t="s">
        <v>3196</v>
      </c>
      <c r="B3163" s="2" t="s">
        <v>3153</v>
      </c>
      <c r="C3163" s="1"/>
      <c r="D3163" s="2"/>
      <c r="E3163" s="2"/>
      <c r="F3163" s="2"/>
      <c r="G3163" s="2"/>
      <c r="H3163" s="2"/>
      <c r="I3163" s="2"/>
    </row>
    <row r="3164">
      <c r="A3164" s="2" t="s">
        <v>3197</v>
      </c>
      <c r="B3164" s="2" t="s">
        <v>3153</v>
      </c>
      <c r="C3164" s="1"/>
      <c r="D3164" s="1" t="s">
        <v>300</v>
      </c>
      <c r="E3164" s="1" t="s">
        <v>2274</v>
      </c>
      <c r="F3164" s="1" t="s">
        <v>302</v>
      </c>
      <c r="G3164" s="2"/>
      <c r="H3164" s="2"/>
      <c r="I3164" s="2"/>
    </row>
    <row r="3165">
      <c r="A3165" s="1" t="s">
        <v>3198</v>
      </c>
      <c r="B3165" s="2" t="s">
        <v>3199</v>
      </c>
      <c r="C3165" s="2"/>
      <c r="D3165" s="2" t="s">
        <v>11</v>
      </c>
      <c r="E3165" s="2">
        <v>10.0</v>
      </c>
      <c r="F3165" s="2" t="s">
        <v>12</v>
      </c>
      <c r="G3165" s="2"/>
      <c r="H3165" s="2"/>
      <c r="I3165" s="2"/>
    </row>
    <row r="3166">
      <c r="A3166" s="1" t="s">
        <v>3200</v>
      </c>
      <c r="B3166" s="2" t="s">
        <v>3199</v>
      </c>
      <c r="C3166" s="2"/>
      <c r="D3166" s="2" t="s">
        <v>11</v>
      </c>
      <c r="E3166" s="2">
        <v>10.0</v>
      </c>
      <c r="F3166" s="2" t="s">
        <v>12</v>
      </c>
      <c r="G3166" s="2"/>
      <c r="H3166" s="2"/>
      <c r="I3166" s="2"/>
    </row>
    <row r="3167">
      <c r="A3167" s="1" t="s">
        <v>3201</v>
      </c>
      <c r="B3167" s="2" t="s">
        <v>3199</v>
      </c>
      <c r="C3167" s="2"/>
      <c r="D3167" s="2" t="s">
        <v>11</v>
      </c>
      <c r="E3167" s="2">
        <v>15.0</v>
      </c>
      <c r="F3167" s="2" t="s">
        <v>12</v>
      </c>
      <c r="G3167" s="2"/>
      <c r="H3167" s="2"/>
      <c r="I3167" s="2"/>
    </row>
    <row r="3168">
      <c r="A3168" s="2" t="s">
        <v>3202</v>
      </c>
      <c r="B3168" s="2" t="s">
        <v>3199</v>
      </c>
      <c r="C3168" s="2"/>
      <c r="D3168" s="2" t="s">
        <v>11</v>
      </c>
      <c r="E3168" s="2">
        <v>15.0</v>
      </c>
      <c r="F3168" s="2" t="s">
        <v>12</v>
      </c>
      <c r="G3168" s="2"/>
      <c r="H3168" s="2"/>
      <c r="I3168" s="2"/>
    </row>
    <row r="3169">
      <c r="A3169" s="2" t="s">
        <v>3202</v>
      </c>
      <c r="B3169" s="2" t="s">
        <v>3199</v>
      </c>
      <c r="C3169" s="2"/>
      <c r="D3169" s="2" t="s">
        <v>11</v>
      </c>
      <c r="E3169" s="2"/>
      <c r="F3169" s="2"/>
      <c r="G3169" s="2"/>
      <c r="H3169" s="2"/>
      <c r="I3169" s="2"/>
    </row>
    <row r="3170">
      <c r="A3170" s="2" t="s">
        <v>3203</v>
      </c>
      <c r="B3170" s="2" t="s">
        <v>3199</v>
      </c>
      <c r="C3170" s="2"/>
      <c r="D3170" s="2" t="s">
        <v>11</v>
      </c>
      <c r="E3170" s="2">
        <v>10.0</v>
      </c>
      <c r="F3170" s="2" t="s">
        <v>12</v>
      </c>
      <c r="G3170" s="2"/>
      <c r="H3170" s="2"/>
      <c r="I3170" s="2"/>
    </row>
    <row r="3171">
      <c r="A3171" s="2" t="s">
        <v>3204</v>
      </c>
      <c r="B3171" s="2" t="s">
        <v>3199</v>
      </c>
      <c r="C3171" s="2"/>
      <c r="D3171" s="2" t="s">
        <v>11</v>
      </c>
      <c r="E3171" s="2">
        <v>15.0</v>
      </c>
      <c r="F3171" s="2" t="s">
        <v>12</v>
      </c>
      <c r="G3171" s="2"/>
      <c r="H3171" s="2"/>
      <c r="I3171" s="2"/>
    </row>
    <row r="3172">
      <c r="A3172" s="1" t="s">
        <v>3205</v>
      </c>
      <c r="B3172" s="2" t="s">
        <v>3199</v>
      </c>
      <c r="C3172" s="2"/>
      <c r="D3172" s="2" t="s">
        <v>11</v>
      </c>
      <c r="E3172" s="2">
        <v>15.0</v>
      </c>
      <c r="F3172" s="2" t="s">
        <v>12</v>
      </c>
      <c r="G3172" s="2"/>
      <c r="H3172" s="2"/>
      <c r="I3172" s="2"/>
    </row>
    <row r="3173">
      <c r="A3173" s="2" t="s">
        <v>3206</v>
      </c>
      <c r="B3173" s="2" t="s">
        <v>3199</v>
      </c>
      <c r="C3173" s="2"/>
      <c r="D3173" s="2" t="s">
        <v>11</v>
      </c>
      <c r="E3173" s="2">
        <v>10.0</v>
      </c>
      <c r="F3173" s="2" t="s">
        <v>12</v>
      </c>
      <c r="G3173" s="2"/>
      <c r="H3173" s="2"/>
      <c r="I3173" s="2"/>
    </row>
    <row r="3174">
      <c r="A3174" s="2" t="s">
        <v>3206</v>
      </c>
      <c r="B3174" s="2" t="s">
        <v>3199</v>
      </c>
      <c r="C3174" s="2"/>
      <c r="D3174" s="2" t="s">
        <v>11</v>
      </c>
      <c r="E3174" s="2"/>
      <c r="F3174" s="2"/>
      <c r="G3174" s="2"/>
      <c r="H3174" s="2"/>
      <c r="I3174" s="2"/>
    </row>
    <row r="3175">
      <c r="A3175" s="2" t="s">
        <v>3207</v>
      </c>
      <c r="B3175" s="2" t="s">
        <v>3199</v>
      </c>
      <c r="C3175" s="2"/>
      <c r="D3175" s="2" t="s">
        <v>11</v>
      </c>
      <c r="E3175" s="2">
        <v>10.0</v>
      </c>
      <c r="F3175" s="2" t="s">
        <v>12</v>
      </c>
      <c r="G3175" s="2"/>
      <c r="H3175" s="2"/>
      <c r="I3175" s="2"/>
    </row>
    <row r="3176">
      <c r="A3176" s="2" t="s">
        <v>3208</v>
      </c>
      <c r="B3176" s="2" t="s">
        <v>3199</v>
      </c>
      <c r="C3176" s="2"/>
      <c r="D3176" s="2" t="s">
        <v>11</v>
      </c>
      <c r="E3176" s="2">
        <v>15.0</v>
      </c>
      <c r="F3176" s="2" t="s">
        <v>12</v>
      </c>
      <c r="G3176" s="2"/>
      <c r="H3176" s="2"/>
      <c r="I3176" s="2"/>
    </row>
    <row r="3177">
      <c r="A3177" s="1" t="s">
        <v>3209</v>
      </c>
      <c r="B3177" s="2" t="s">
        <v>3199</v>
      </c>
      <c r="C3177" s="2"/>
      <c r="D3177" s="2" t="s">
        <v>11</v>
      </c>
      <c r="E3177" s="2">
        <v>15.0</v>
      </c>
      <c r="F3177" s="2" t="s">
        <v>12</v>
      </c>
      <c r="G3177" s="2"/>
      <c r="H3177" s="2"/>
      <c r="I3177" s="2"/>
    </row>
    <row r="3178">
      <c r="A3178" s="2" t="s">
        <v>3210</v>
      </c>
      <c r="B3178" s="2" t="s">
        <v>3199</v>
      </c>
      <c r="C3178" s="2"/>
      <c r="D3178" s="2" t="s">
        <v>11</v>
      </c>
      <c r="E3178" s="2">
        <v>10.0</v>
      </c>
      <c r="F3178" s="2" t="s">
        <v>12</v>
      </c>
      <c r="G3178" s="2"/>
      <c r="H3178" s="2"/>
      <c r="I3178" s="2"/>
    </row>
    <row r="3179">
      <c r="A3179" s="2" t="s">
        <v>3211</v>
      </c>
      <c r="B3179" s="2" t="s">
        <v>3199</v>
      </c>
      <c r="C3179" s="2"/>
      <c r="D3179" s="2" t="s">
        <v>11</v>
      </c>
      <c r="E3179" s="2"/>
      <c r="F3179" s="2"/>
      <c r="G3179" s="2"/>
      <c r="H3179" s="2"/>
      <c r="I3179" s="2"/>
    </row>
    <row r="3180">
      <c r="A3180" s="2" t="s">
        <v>3212</v>
      </c>
      <c r="B3180" s="2" t="s">
        <v>3199</v>
      </c>
      <c r="C3180" s="2"/>
      <c r="D3180" s="2" t="s">
        <v>11</v>
      </c>
      <c r="E3180" s="2">
        <v>10.0</v>
      </c>
      <c r="F3180" s="2" t="s">
        <v>12</v>
      </c>
      <c r="G3180" s="2"/>
      <c r="H3180" s="2"/>
      <c r="I3180" s="2"/>
    </row>
    <row r="3181">
      <c r="A3181" s="2" t="s">
        <v>3213</v>
      </c>
      <c r="B3181" s="2" t="s">
        <v>3199</v>
      </c>
      <c r="C3181" s="2"/>
      <c r="D3181" s="2" t="s">
        <v>11</v>
      </c>
      <c r="E3181" s="2"/>
      <c r="F3181" s="2"/>
      <c r="G3181" s="2"/>
      <c r="H3181" s="2"/>
      <c r="I3181" s="2"/>
    </row>
    <row r="3182">
      <c r="A3182" s="2" t="s">
        <v>3214</v>
      </c>
      <c r="B3182" s="2" t="s">
        <v>3199</v>
      </c>
      <c r="C3182" s="1"/>
      <c r="D3182" s="2"/>
      <c r="E3182" s="2"/>
      <c r="F3182" s="2"/>
      <c r="G3182" s="2"/>
      <c r="H3182" s="2"/>
      <c r="I3182" s="2"/>
    </row>
    <row r="3183">
      <c r="A3183" s="2" t="s">
        <v>3215</v>
      </c>
      <c r="B3183" s="2" t="s">
        <v>3199</v>
      </c>
      <c r="C3183" s="2"/>
      <c r="D3183" s="2" t="s">
        <v>11</v>
      </c>
      <c r="E3183" s="2">
        <v>10.0</v>
      </c>
      <c r="F3183" s="2" t="s">
        <v>12</v>
      </c>
      <c r="G3183" s="2"/>
      <c r="H3183" s="2"/>
      <c r="I3183" s="2"/>
    </row>
    <row r="3184">
      <c r="A3184" s="2" t="s">
        <v>3216</v>
      </c>
      <c r="B3184" s="2" t="s">
        <v>3199</v>
      </c>
      <c r="C3184" s="2"/>
      <c r="D3184" s="1" t="s">
        <v>11</v>
      </c>
      <c r="E3184" s="2">
        <v>4.0</v>
      </c>
      <c r="F3184" s="2" t="s">
        <v>12</v>
      </c>
      <c r="G3184" s="2"/>
      <c r="H3184" s="2"/>
      <c r="I3184" s="2"/>
    </row>
    <row r="3185">
      <c r="A3185" s="2" t="s">
        <v>3217</v>
      </c>
      <c r="B3185" s="2" t="s">
        <v>3199</v>
      </c>
      <c r="C3185" s="2"/>
      <c r="D3185" s="2" t="s">
        <v>37</v>
      </c>
      <c r="E3185" s="2">
        <v>10.0</v>
      </c>
      <c r="F3185" s="2" t="s">
        <v>12</v>
      </c>
      <c r="G3185" s="2"/>
      <c r="H3185" s="2"/>
      <c r="I3185" s="2"/>
    </row>
    <row r="3186">
      <c r="A3186" s="2" t="s">
        <v>3218</v>
      </c>
      <c r="B3186" s="2" t="s">
        <v>3199</v>
      </c>
      <c r="C3186" s="2"/>
      <c r="D3186" s="2" t="s">
        <v>37</v>
      </c>
      <c r="E3186" s="2">
        <v>10.0</v>
      </c>
      <c r="F3186" s="2" t="s">
        <v>12</v>
      </c>
      <c r="G3186" s="2"/>
      <c r="H3186" s="2"/>
      <c r="I3186" s="2"/>
    </row>
    <row r="3187">
      <c r="A3187" s="1" t="s">
        <v>3219</v>
      </c>
      <c r="B3187" s="2" t="s">
        <v>3199</v>
      </c>
      <c r="C3187" s="2"/>
      <c r="D3187" s="2" t="s">
        <v>11</v>
      </c>
      <c r="E3187" s="2">
        <v>10.0</v>
      </c>
      <c r="F3187" s="2" t="s">
        <v>12</v>
      </c>
      <c r="G3187" s="2"/>
      <c r="H3187" s="2"/>
      <c r="I3187" s="2"/>
    </row>
    <row r="3188">
      <c r="A3188" s="1" t="s">
        <v>3219</v>
      </c>
      <c r="B3188" s="2" t="s">
        <v>3199</v>
      </c>
      <c r="C3188" s="2"/>
      <c r="D3188" s="2" t="s">
        <v>11</v>
      </c>
      <c r="E3188" s="2">
        <v>15.0</v>
      </c>
      <c r="F3188" s="2" t="s">
        <v>12</v>
      </c>
      <c r="G3188" s="2"/>
      <c r="H3188" s="2"/>
      <c r="I3188" s="2"/>
    </row>
    <row r="3189">
      <c r="A3189" s="1" t="s">
        <v>3220</v>
      </c>
      <c r="B3189" s="2" t="s">
        <v>3199</v>
      </c>
      <c r="C3189" s="2"/>
      <c r="D3189" s="2" t="s">
        <v>11</v>
      </c>
      <c r="E3189" s="2">
        <v>20.0</v>
      </c>
      <c r="F3189" s="2" t="s">
        <v>12</v>
      </c>
      <c r="G3189" s="2"/>
      <c r="H3189" s="2"/>
      <c r="I3189" s="2"/>
    </row>
    <row r="3190">
      <c r="A3190" s="2" t="s">
        <v>3221</v>
      </c>
      <c r="B3190" s="2" t="s">
        <v>3199</v>
      </c>
      <c r="C3190" s="2"/>
      <c r="D3190" s="2" t="s">
        <v>37</v>
      </c>
      <c r="E3190" s="2">
        <v>10.0</v>
      </c>
      <c r="F3190" s="2" t="s">
        <v>12</v>
      </c>
      <c r="G3190" s="2"/>
      <c r="H3190" s="2"/>
      <c r="I3190" s="2"/>
    </row>
    <row r="3191">
      <c r="A3191" s="2" t="s">
        <v>3222</v>
      </c>
      <c r="B3191" s="2" t="s">
        <v>3199</v>
      </c>
      <c r="C3191" s="2"/>
      <c r="D3191" s="2" t="s">
        <v>11</v>
      </c>
      <c r="E3191" s="2">
        <v>10.0</v>
      </c>
      <c r="F3191" s="2" t="s">
        <v>12</v>
      </c>
      <c r="G3191" s="2"/>
      <c r="H3191" s="2"/>
      <c r="I3191" s="2"/>
    </row>
    <row r="3192">
      <c r="A3192" s="1" t="s">
        <v>3223</v>
      </c>
      <c r="B3192" s="2" t="s">
        <v>3199</v>
      </c>
      <c r="C3192" s="2"/>
      <c r="D3192" s="2" t="s">
        <v>11</v>
      </c>
      <c r="E3192" s="2">
        <v>10.0</v>
      </c>
      <c r="F3192" s="2" t="s">
        <v>12</v>
      </c>
      <c r="G3192" s="2"/>
      <c r="H3192" s="2"/>
      <c r="I3192" s="2"/>
    </row>
    <row r="3193">
      <c r="A3193" s="1" t="s">
        <v>3223</v>
      </c>
      <c r="B3193" s="2" t="s">
        <v>3199</v>
      </c>
      <c r="C3193" s="2"/>
      <c r="D3193" s="2" t="s">
        <v>11</v>
      </c>
      <c r="E3193" s="2"/>
      <c r="F3193" s="2"/>
      <c r="G3193" s="2"/>
      <c r="H3193" s="2"/>
      <c r="I3193" s="2"/>
    </row>
    <row r="3194">
      <c r="A3194" s="1" t="s">
        <v>3224</v>
      </c>
      <c r="B3194" s="2" t="s">
        <v>3199</v>
      </c>
      <c r="C3194" s="2"/>
      <c r="D3194" s="2" t="s">
        <v>11</v>
      </c>
      <c r="E3194" s="2">
        <v>10.0</v>
      </c>
      <c r="F3194" s="2" t="s">
        <v>12</v>
      </c>
      <c r="G3194" s="2"/>
      <c r="H3194" s="2"/>
      <c r="I3194" s="2"/>
    </row>
    <row r="3195">
      <c r="A3195" s="1" t="s">
        <v>3225</v>
      </c>
      <c r="B3195" s="2" t="s">
        <v>3199</v>
      </c>
      <c r="C3195" s="2"/>
      <c r="D3195" s="2" t="s">
        <v>11</v>
      </c>
      <c r="E3195" s="2">
        <v>10.0</v>
      </c>
      <c r="F3195" s="2" t="s">
        <v>12</v>
      </c>
      <c r="G3195" s="2"/>
      <c r="H3195" s="2"/>
      <c r="I3195" s="2"/>
    </row>
    <row r="3196">
      <c r="A3196" s="1" t="s">
        <v>3225</v>
      </c>
      <c r="B3196" s="2" t="s">
        <v>3199</v>
      </c>
      <c r="C3196" s="2"/>
      <c r="D3196" s="2" t="s">
        <v>11</v>
      </c>
      <c r="E3196" s="2">
        <v>15.0</v>
      </c>
      <c r="F3196" s="2" t="s">
        <v>12</v>
      </c>
      <c r="G3196" s="2"/>
      <c r="H3196" s="2"/>
      <c r="I3196" s="2"/>
    </row>
    <row r="3197">
      <c r="A3197" s="1" t="s">
        <v>3226</v>
      </c>
      <c r="B3197" s="2" t="s">
        <v>3199</v>
      </c>
      <c r="C3197" s="2"/>
      <c r="D3197" s="2" t="s">
        <v>11</v>
      </c>
      <c r="E3197" s="2">
        <v>15.0</v>
      </c>
      <c r="F3197" s="2" t="s">
        <v>12</v>
      </c>
      <c r="G3197" s="2"/>
      <c r="H3197" s="2"/>
      <c r="I3197" s="2"/>
    </row>
    <row r="3198">
      <c r="A3198" s="1" t="s">
        <v>3227</v>
      </c>
      <c r="B3198" s="2" t="s">
        <v>3199</v>
      </c>
      <c r="C3198" s="2"/>
      <c r="D3198" s="2" t="s">
        <v>11</v>
      </c>
      <c r="E3198" s="2">
        <v>15.0</v>
      </c>
      <c r="F3198" s="2" t="s">
        <v>12</v>
      </c>
      <c r="G3198" s="2"/>
      <c r="H3198" s="2"/>
      <c r="I3198" s="2"/>
    </row>
    <row r="3199">
      <c r="A3199" s="1" t="s">
        <v>3228</v>
      </c>
      <c r="B3199" s="2" t="s">
        <v>3199</v>
      </c>
      <c r="C3199" s="2"/>
      <c r="D3199" s="2" t="s">
        <v>11</v>
      </c>
      <c r="E3199" s="2">
        <v>10.0</v>
      </c>
      <c r="F3199" s="2" t="s">
        <v>12</v>
      </c>
      <c r="G3199" s="2"/>
      <c r="H3199" s="2"/>
      <c r="I3199" s="2"/>
    </row>
    <row r="3200">
      <c r="A3200" s="1" t="s">
        <v>3229</v>
      </c>
      <c r="B3200" s="2" t="s">
        <v>3199</v>
      </c>
      <c r="C3200" s="2"/>
      <c r="D3200" s="2" t="s">
        <v>11</v>
      </c>
      <c r="E3200" s="2">
        <v>10.0</v>
      </c>
      <c r="F3200" s="2" t="s">
        <v>12</v>
      </c>
      <c r="G3200" s="2"/>
      <c r="H3200" s="2"/>
      <c r="I3200" s="2"/>
    </row>
    <row r="3201">
      <c r="A3201" s="1" t="s">
        <v>3230</v>
      </c>
      <c r="B3201" s="2" t="s">
        <v>3199</v>
      </c>
      <c r="C3201" s="2"/>
      <c r="D3201" s="2" t="s">
        <v>11</v>
      </c>
      <c r="E3201" s="2">
        <v>15.0</v>
      </c>
      <c r="F3201" s="2" t="s">
        <v>12</v>
      </c>
      <c r="G3201" s="2"/>
      <c r="H3201" s="2"/>
      <c r="I3201" s="2"/>
    </row>
    <row r="3202">
      <c r="A3202" s="1" t="s">
        <v>3231</v>
      </c>
      <c r="B3202" s="2" t="s">
        <v>3199</v>
      </c>
      <c r="C3202" s="2"/>
      <c r="D3202" s="2" t="s">
        <v>11</v>
      </c>
      <c r="E3202" s="2">
        <v>15.0</v>
      </c>
      <c r="F3202" s="2" t="s">
        <v>12</v>
      </c>
      <c r="G3202" s="2"/>
      <c r="H3202" s="2"/>
      <c r="I3202" s="2"/>
    </row>
    <row r="3203">
      <c r="A3203" s="1" t="s">
        <v>3232</v>
      </c>
      <c r="B3203" s="2" t="s">
        <v>3199</v>
      </c>
      <c r="C3203" s="2"/>
      <c r="D3203" s="2" t="s">
        <v>11</v>
      </c>
      <c r="E3203" s="2">
        <v>15.0</v>
      </c>
      <c r="F3203" s="2" t="s">
        <v>12</v>
      </c>
      <c r="G3203" s="2"/>
      <c r="H3203" s="2"/>
      <c r="I3203" s="2"/>
    </row>
    <row r="3204">
      <c r="A3204" s="1" t="s">
        <v>3233</v>
      </c>
      <c r="B3204" s="2" t="s">
        <v>3199</v>
      </c>
      <c r="C3204" s="2"/>
      <c r="D3204" s="2" t="s">
        <v>11</v>
      </c>
      <c r="E3204" s="2">
        <v>10.0</v>
      </c>
      <c r="F3204" s="2" t="s">
        <v>12</v>
      </c>
      <c r="G3204" s="2"/>
      <c r="H3204" s="2"/>
      <c r="I3204" s="2"/>
    </row>
    <row r="3205">
      <c r="A3205" s="1" t="s">
        <v>3233</v>
      </c>
      <c r="B3205" s="2" t="s">
        <v>3199</v>
      </c>
      <c r="C3205" s="2"/>
      <c r="D3205" s="2" t="s">
        <v>11</v>
      </c>
      <c r="E3205" s="2">
        <v>15.0</v>
      </c>
      <c r="F3205" s="2" t="s">
        <v>12</v>
      </c>
      <c r="G3205" s="2"/>
      <c r="H3205" s="2"/>
      <c r="I3205" s="2"/>
    </row>
    <row r="3206">
      <c r="A3206" s="1" t="s">
        <v>3234</v>
      </c>
      <c r="B3206" s="2" t="s">
        <v>3199</v>
      </c>
      <c r="C3206" s="2"/>
      <c r="D3206" s="2" t="s">
        <v>11</v>
      </c>
      <c r="E3206" s="2">
        <v>15.0</v>
      </c>
      <c r="F3206" s="2" t="s">
        <v>12</v>
      </c>
      <c r="G3206" s="2"/>
      <c r="H3206" s="2"/>
      <c r="I3206" s="2"/>
    </row>
    <row r="3207">
      <c r="A3207" s="1" t="s">
        <v>3235</v>
      </c>
      <c r="B3207" s="2" t="s">
        <v>3199</v>
      </c>
      <c r="C3207" s="2"/>
      <c r="D3207" s="2" t="s">
        <v>11</v>
      </c>
      <c r="E3207" s="2">
        <v>15.0</v>
      </c>
      <c r="F3207" s="2" t="s">
        <v>12</v>
      </c>
      <c r="G3207" s="2"/>
      <c r="H3207" s="2"/>
      <c r="I3207" s="2"/>
    </row>
    <row r="3208">
      <c r="A3208" s="1" t="s">
        <v>3236</v>
      </c>
      <c r="B3208" s="2" t="s">
        <v>3199</v>
      </c>
      <c r="C3208" s="2"/>
      <c r="D3208" s="2" t="s">
        <v>11</v>
      </c>
      <c r="E3208" s="2">
        <v>10.0</v>
      </c>
      <c r="F3208" s="2" t="s">
        <v>12</v>
      </c>
      <c r="G3208" s="2"/>
      <c r="H3208" s="2"/>
      <c r="I3208" s="2"/>
    </row>
    <row r="3209">
      <c r="A3209" s="1" t="s">
        <v>3237</v>
      </c>
      <c r="B3209" s="2" t="s">
        <v>3199</v>
      </c>
      <c r="C3209" s="2"/>
      <c r="D3209" s="2" t="s">
        <v>11</v>
      </c>
      <c r="E3209" s="2">
        <v>10.0</v>
      </c>
      <c r="F3209" s="2" t="s">
        <v>12</v>
      </c>
      <c r="G3209" s="2"/>
      <c r="H3209" s="2"/>
      <c r="I3209" s="2"/>
    </row>
    <row r="3210">
      <c r="A3210" s="1" t="s">
        <v>3238</v>
      </c>
      <c r="B3210" s="2" t="s">
        <v>3199</v>
      </c>
      <c r="C3210" s="2"/>
      <c r="D3210" s="2" t="s">
        <v>11</v>
      </c>
      <c r="E3210" s="2">
        <v>10.0</v>
      </c>
      <c r="F3210" s="2" t="s">
        <v>12</v>
      </c>
      <c r="G3210" s="2"/>
      <c r="H3210" s="2"/>
      <c r="I3210" s="2"/>
    </row>
    <row r="3211">
      <c r="A3211" s="1" t="s">
        <v>3239</v>
      </c>
      <c r="B3211" s="2" t="s">
        <v>3240</v>
      </c>
      <c r="C3211" s="1"/>
      <c r="D3211" s="2"/>
      <c r="E3211" s="2"/>
      <c r="F3211" s="2"/>
      <c r="G3211" s="2"/>
      <c r="H3211" s="2"/>
      <c r="I3211" s="2"/>
    </row>
    <row r="3212">
      <c r="A3212" s="1" t="s">
        <v>3241</v>
      </c>
      <c r="B3212" s="2" t="s">
        <v>3240</v>
      </c>
      <c r="C3212" s="2"/>
      <c r="D3212" s="2" t="s">
        <v>11</v>
      </c>
      <c r="E3212" s="2">
        <v>10.0</v>
      </c>
      <c r="F3212" s="2" t="s">
        <v>12</v>
      </c>
      <c r="G3212" s="2"/>
      <c r="H3212" s="2"/>
      <c r="I3212" s="2"/>
    </row>
    <row r="3213">
      <c r="A3213" s="2" t="s">
        <v>3242</v>
      </c>
      <c r="B3213" s="2" t="s">
        <v>3243</v>
      </c>
      <c r="C3213" s="1"/>
      <c r="D3213" s="1" t="s">
        <v>300</v>
      </c>
      <c r="E3213" s="1" t="s">
        <v>2274</v>
      </c>
      <c r="F3213" s="1" t="s">
        <v>302</v>
      </c>
      <c r="G3213" s="2"/>
      <c r="H3213" s="2"/>
      <c r="I3213" s="2"/>
    </row>
    <row r="3214">
      <c r="A3214" s="2" t="s">
        <v>3244</v>
      </c>
      <c r="B3214" s="2" t="s">
        <v>3243</v>
      </c>
      <c r="C3214" s="1"/>
      <c r="D3214" s="2"/>
      <c r="E3214" s="2"/>
      <c r="F3214" s="2"/>
      <c r="G3214" s="2"/>
      <c r="H3214" s="2"/>
      <c r="I3214" s="2"/>
    </row>
    <row r="3215">
      <c r="A3215" s="1" t="s">
        <v>3245</v>
      </c>
      <c r="B3215" s="2" t="s">
        <v>3243</v>
      </c>
      <c r="C3215" s="1"/>
      <c r="D3215" s="2"/>
      <c r="E3215" s="2"/>
      <c r="F3215" s="2"/>
      <c r="G3215" s="2"/>
      <c r="H3215" s="2"/>
      <c r="I3215" s="2"/>
    </row>
    <row r="3216">
      <c r="A3216" s="1" t="s">
        <v>3246</v>
      </c>
      <c r="B3216" s="2" t="s">
        <v>3243</v>
      </c>
      <c r="C3216" s="1"/>
      <c r="D3216" s="2"/>
      <c r="E3216" s="2"/>
      <c r="F3216" s="2"/>
      <c r="G3216" s="2"/>
      <c r="H3216" s="2"/>
      <c r="I3216" s="2"/>
    </row>
    <row r="3217">
      <c r="A3217" s="1" t="s">
        <v>3247</v>
      </c>
      <c r="B3217" s="2" t="s">
        <v>3243</v>
      </c>
      <c r="C3217" s="2"/>
      <c r="D3217" s="2" t="s">
        <v>11</v>
      </c>
      <c r="E3217" s="2">
        <v>15.0</v>
      </c>
      <c r="F3217" s="2" t="s">
        <v>12</v>
      </c>
      <c r="G3217" s="2"/>
      <c r="H3217" s="2"/>
      <c r="I3217" s="2"/>
    </row>
    <row r="3218">
      <c r="A3218" s="1" t="s">
        <v>3248</v>
      </c>
      <c r="B3218" s="2" t="s">
        <v>3243</v>
      </c>
      <c r="C3218" s="2"/>
      <c r="D3218" s="2" t="s">
        <v>11</v>
      </c>
      <c r="E3218" s="2">
        <v>15.0</v>
      </c>
      <c r="F3218" s="2" t="s">
        <v>12</v>
      </c>
      <c r="G3218" s="2"/>
      <c r="H3218" s="2"/>
      <c r="I3218" s="2"/>
    </row>
    <row r="3219">
      <c r="A3219" s="2" t="s">
        <v>3249</v>
      </c>
      <c r="B3219" s="2" t="s">
        <v>3243</v>
      </c>
      <c r="C3219" s="1"/>
      <c r="D3219" s="2"/>
      <c r="E3219" s="2"/>
      <c r="F3219" s="2"/>
      <c r="G3219" s="2"/>
      <c r="H3219" s="2"/>
      <c r="I3219" s="2"/>
    </row>
    <row r="3220">
      <c r="A3220" s="2" t="s">
        <v>3250</v>
      </c>
      <c r="B3220" s="2" t="s">
        <v>3243</v>
      </c>
      <c r="C3220" s="1"/>
      <c r="D3220" s="2"/>
      <c r="E3220" s="2"/>
      <c r="F3220" s="2"/>
      <c r="G3220" s="2"/>
      <c r="H3220" s="2"/>
      <c r="I3220" s="2"/>
    </row>
    <row r="3221">
      <c r="A3221" s="2" t="s">
        <v>3251</v>
      </c>
      <c r="B3221" s="2" t="s">
        <v>3243</v>
      </c>
      <c r="C3221" s="1"/>
      <c r="D3221" s="2"/>
      <c r="E3221" s="2"/>
      <c r="F3221" s="2"/>
      <c r="G3221" s="2"/>
      <c r="H3221" s="2"/>
      <c r="I3221" s="2"/>
    </row>
    <row r="3222">
      <c r="A3222" s="1" t="s">
        <v>3252</v>
      </c>
      <c r="B3222" s="2" t="s">
        <v>3243</v>
      </c>
      <c r="C3222" s="2"/>
      <c r="D3222" s="2" t="s">
        <v>11</v>
      </c>
      <c r="E3222" s="2">
        <v>10.0</v>
      </c>
      <c r="F3222" s="2" t="s">
        <v>12</v>
      </c>
      <c r="G3222" s="2"/>
      <c r="H3222" s="2"/>
      <c r="I3222" s="2"/>
    </row>
    <row r="3223">
      <c r="A3223" s="1" t="s">
        <v>3253</v>
      </c>
      <c r="B3223" s="2" t="s">
        <v>3243</v>
      </c>
      <c r="C3223" s="2"/>
      <c r="D3223" s="2" t="s">
        <v>11</v>
      </c>
      <c r="E3223" s="2">
        <v>10.0</v>
      </c>
      <c r="F3223" s="2" t="s">
        <v>12</v>
      </c>
      <c r="G3223" s="2"/>
      <c r="H3223" s="2"/>
      <c r="I3223" s="2"/>
    </row>
    <row r="3224">
      <c r="A3224" s="2" t="s">
        <v>3254</v>
      </c>
      <c r="B3224" s="2" t="s">
        <v>3243</v>
      </c>
      <c r="C3224" s="2"/>
      <c r="D3224" s="2" t="s">
        <v>11</v>
      </c>
      <c r="E3224" s="2">
        <v>10.0</v>
      </c>
      <c r="F3224" s="2" t="s">
        <v>12</v>
      </c>
      <c r="G3224" s="2"/>
      <c r="H3224" s="2"/>
      <c r="I3224" s="2"/>
    </row>
    <row r="3225">
      <c r="A3225" s="2" t="s">
        <v>3255</v>
      </c>
      <c r="B3225" s="2" t="s">
        <v>3243</v>
      </c>
      <c r="C3225" s="2"/>
      <c r="D3225" s="2" t="s">
        <v>11</v>
      </c>
      <c r="E3225" s="2">
        <v>10.0</v>
      </c>
      <c r="F3225" s="2" t="s">
        <v>12</v>
      </c>
      <c r="G3225" s="2"/>
      <c r="H3225" s="2"/>
      <c r="I3225" s="2"/>
    </row>
    <row r="3226">
      <c r="A3226" s="1" t="s">
        <v>3256</v>
      </c>
      <c r="B3226" s="2" t="s">
        <v>3243</v>
      </c>
      <c r="C3226" s="2"/>
      <c r="D3226" s="2" t="s">
        <v>11</v>
      </c>
      <c r="E3226" s="2">
        <v>10.0</v>
      </c>
      <c r="F3226" s="2" t="s">
        <v>12</v>
      </c>
      <c r="G3226" s="2"/>
      <c r="H3226" s="2"/>
      <c r="I3226" s="2"/>
    </row>
    <row r="3227">
      <c r="A3227" s="2" t="s">
        <v>3257</v>
      </c>
      <c r="B3227" s="2" t="s">
        <v>3243</v>
      </c>
      <c r="C3227" s="2"/>
      <c r="D3227" s="2" t="s">
        <v>11</v>
      </c>
      <c r="E3227" s="2">
        <v>10.0</v>
      </c>
      <c r="F3227" s="2" t="s">
        <v>12</v>
      </c>
      <c r="G3227" s="2"/>
      <c r="H3227" s="2"/>
      <c r="I3227" s="2"/>
    </row>
    <row r="3228">
      <c r="A3228" s="2" t="s">
        <v>3258</v>
      </c>
      <c r="B3228" s="2" t="s">
        <v>3243</v>
      </c>
      <c r="C3228" s="2"/>
      <c r="D3228" s="2" t="s">
        <v>11</v>
      </c>
      <c r="E3228" s="2">
        <v>10.0</v>
      </c>
      <c r="F3228" s="2" t="s">
        <v>12</v>
      </c>
      <c r="G3228" s="2"/>
      <c r="H3228" s="2"/>
      <c r="I3228" s="2"/>
    </row>
    <row r="3229">
      <c r="A3229" s="1" t="s">
        <v>3259</v>
      </c>
      <c r="B3229" s="2" t="s">
        <v>3243</v>
      </c>
      <c r="C3229" s="2"/>
      <c r="D3229" s="2" t="s">
        <v>11</v>
      </c>
      <c r="E3229" s="2">
        <v>10.0</v>
      </c>
      <c r="F3229" s="2" t="s">
        <v>12</v>
      </c>
      <c r="G3229" s="2"/>
      <c r="H3229" s="2"/>
      <c r="I3229" s="2"/>
    </row>
    <row r="3230">
      <c r="A3230" s="2" t="s">
        <v>3260</v>
      </c>
      <c r="B3230" s="2" t="s">
        <v>3243</v>
      </c>
      <c r="C3230" s="1"/>
      <c r="D3230" s="2"/>
      <c r="E3230" s="2"/>
      <c r="F3230" s="2"/>
      <c r="G3230" s="2"/>
      <c r="H3230" s="2"/>
      <c r="I3230" s="2"/>
    </row>
    <row r="3231">
      <c r="A3231" s="2" t="s">
        <v>3261</v>
      </c>
      <c r="B3231" s="2" t="s">
        <v>3243</v>
      </c>
      <c r="C3231" s="1"/>
      <c r="D3231" s="2"/>
      <c r="E3231" s="2"/>
      <c r="F3231" s="2"/>
      <c r="G3231" s="2"/>
      <c r="H3231" s="2"/>
      <c r="I3231" s="2"/>
    </row>
    <row r="3232">
      <c r="A3232" s="1" t="s">
        <v>3262</v>
      </c>
      <c r="B3232" s="2" t="s">
        <v>3243</v>
      </c>
      <c r="C3232" s="2"/>
      <c r="D3232" s="2" t="s">
        <v>11</v>
      </c>
      <c r="E3232" s="2">
        <v>6.0</v>
      </c>
      <c r="F3232" s="2" t="s">
        <v>12</v>
      </c>
      <c r="G3232" s="2"/>
      <c r="H3232" s="2"/>
      <c r="I3232" s="2"/>
    </row>
    <row r="3233">
      <c r="A3233" s="2" t="s">
        <v>3263</v>
      </c>
      <c r="B3233" s="2" t="s">
        <v>3243</v>
      </c>
      <c r="C3233" s="2"/>
      <c r="D3233" s="2" t="s">
        <v>37</v>
      </c>
      <c r="E3233" s="2">
        <v>10.0</v>
      </c>
      <c r="F3233" s="2" t="s">
        <v>12</v>
      </c>
      <c r="G3233" s="2"/>
      <c r="H3233" s="2"/>
      <c r="I3233" s="2"/>
    </row>
    <row r="3234">
      <c r="A3234" s="2" t="s">
        <v>3264</v>
      </c>
      <c r="B3234" s="2" t="s">
        <v>3243</v>
      </c>
      <c r="C3234" s="2"/>
      <c r="D3234" s="2" t="s">
        <v>11</v>
      </c>
      <c r="E3234" s="2">
        <v>10.0</v>
      </c>
      <c r="F3234" s="2" t="s">
        <v>12</v>
      </c>
      <c r="G3234" s="2"/>
      <c r="H3234" s="2"/>
      <c r="I3234" s="2"/>
    </row>
    <row r="3235">
      <c r="A3235" s="2" t="s">
        <v>3265</v>
      </c>
      <c r="B3235" s="2" t="s">
        <v>3243</v>
      </c>
      <c r="C3235" s="2"/>
      <c r="D3235" s="2" t="s">
        <v>11</v>
      </c>
      <c r="E3235" s="2">
        <v>10.0</v>
      </c>
      <c r="F3235" s="2" t="s">
        <v>12</v>
      </c>
      <c r="G3235" s="2"/>
      <c r="H3235" s="2"/>
      <c r="I3235" s="2"/>
    </row>
    <row r="3236">
      <c r="A3236" s="1" t="s">
        <v>3266</v>
      </c>
      <c r="B3236" s="2" t="s">
        <v>3243</v>
      </c>
      <c r="C3236" s="2"/>
      <c r="D3236" s="2" t="s">
        <v>11</v>
      </c>
      <c r="E3236" s="2">
        <v>10.0</v>
      </c>
      <c r="F3236" s="2" t="s">
        <v>12</v>
      </c>
      <c r="G3236" s="2"/>
      <c r="H3236" s="2"/>
      <c r="I3236" s="2"/>
    </row>
    <row r="3237">
      <c r="A3237" s="1" t="s">
        <v>3267</v>
      </c>
      <c r="B3237" s="2" t="s">
        <v>3243</v>
      </c>
      <c r="C3237" s="2"/>
      <c r="D3237" s="2" t="s">
        <v>11</v>
      </c>
      <c r="E3237" s="2">
        <v>10.0</v>
      </c>
      <c r="F3237" s="2" t="s">
        <v>12</v>
      </c>
      <c r="G3237" s="2"/>
      <c r="H3237" s="2"/>
      <c r="I3237" s="2"/>
    </row>
    <row r="3238">
      <c r="A3238" s="2" t="s">
        <v>3268</v>
      </c>
      <c r="B3238" s="2" t="s">
        <v>3243</v>
      </c>
      <c r="C3238" s="1"/>
      <c r="D3238" s="2"/>
      <c r="E3238" s="2"/>
      <c r="F3238" s="2"/>
      <c r="G3238" s="2"/>
      <c r="H3238" s="2"/>
      <c r="I3238" s="2"/>
    </row>
    <row r="3239">
      <c r="A3239" s="2" t="s">
        <v>3269</v>
      </c>
      <c r="B3239" s="2" t="s">
        <v>3243</v>
      </c>
      <c r="C3239" s="1"/>
      <c r="D3239" s="2"/>
      <c r="E3239" s="2"/>
      <c r="F3239" s="2"/>
      <c r="G3239" s="2"/>
      <c r="H3239" s="2"/>
      <c r="I3239" s="2"/>
    </row>
    <row r="3240">
      <c r="A3240" s="2" t="s">
        <v>3270</v>
      </c>
      <c r="B3240" s="2" t="s">
        <v>3243</v>
      </c>
      <c r="C3240" s="2"/>
      <c r="D3240" s="2" t="s">
        <v>11</v>
      </c>
      <c r="E3240" s="2">
        <v>15.0</v>
      </c>
      <c r="F3240" s="2" t="s">
        <v>12</v>
      </c>
      <c r="G3240" s="2"/>
      <c r="H3240" s="2"/>
      <c r="I3240" s="2"/>
    </row>
    <row r="3241">
      <c r="A3241" s="2" t="s">
        <v>3271</v>
      </c>
      <c r="B3241" s="2" t="s">
        <v>3243</v>
      </c>
      <c r="C3241" s="2"/>
      <c r="D3241" s="2" t="s">
        <v>11</v>
      </c>
      <c r="E3241" s="2">
        <v>10.0</v>
      </c>
      <c r="F3241" s="2" t="s">
        <v>12</v>
      </c>
      <c r="G3241" s="2"/>
      <c r="H3241" s="2"/>
      <c r="I3241" s="2"/>
    </row>
    <row r="3242">
      <c r="A3242" s="2" t="s">
        <v>3272</v>
      </c>
      <c r="B3242" s="2" t="s">
        <v>3243</v>
      </c>
      <c r="C3242" s="2"/>
      <c r="D3242" s="2" t="s">
        <v>11</v>
      </c>
      <c r="E3242" s="2">
        <v>10.0</v>
      </c>
      <c r="F3242" s="2" t="s">
        <v>12</v>
      </c>
      <c r="G3242" s="2"/>
      <c r="H3242" s="2"/>
      <c r="I3242" s="2"/>
    </row>
    <row r="3243">
      <c r="A3243" s="2" t="s">
        <v>3273</v>
      </c>
      <c r="B3243" s="2" t="s">
        <v>3243</v>
      </c>
      <c r="C3243" s="2"/>
      <c r="D3243" s="2" t="s">
        <v>11</v>
      </c>
      <c r="E3243" s="2">
        <v>10.0</v>
      </c>
      <c r="F3243" s="2" t="s">
        <v>12</v>
      </c>
      <c r="G3243" s="2"/>
      <c r="H3243" s="2"/>
      <c r="I3243" s="2"/>
    </row>
    <row r="3244">
      <c r="A3244" s="2" t="s">
        <v>3274</v>
      </c>
      <c r="B3244" s="2" t="s">
        <v>3243</v>
      </c>
      <c r="C3244" s="2"/>
      <c r="D3244" s="2" t="s">
        <v>11</v>
      </c>
      <c r="E3244" s="2">
        <v>10.0</v>
      </c>
      <c r="F3244" s="2" t="s">
        <v>12</v>
      </c>
      <c r="G3244" s="2"/>
      <c r="H3244" s="2"/>
      <c r="I3244" s="2"/>
    </row>
    <row r="3245">
      <c r="A3245" s="2" t="s">
        <v>3275</v>
      </c>
      <c r="B3245" s="2" t="s">
        <v>3243</v>
      </c>
      <c r="C3245" s="2"/>
      <c r="D3245" s="2" t="s">
        <v>11</v>
      </c>
      <c r="E3245" s="2">
        <v>10.0</v>
      </c>
      <c r="F3245" s="2" t="s">
        <v>12</v>
      </c>
      <c r="G3245" s="2"/>
      <c r="H3245" s="2"/>
      <c r="I3245" s="2"/>
    </row>
    <row r="3246">
      <c r="A3246" s="1" t="s">
        <v>3276</v>
      </c>
      <c r="B3246" s="2" t="s">
        <v>3243</v>
      </c>
      <c r="C3246" s="2"/>
      <c r="D3246" s="2" t="s">
        <v>11</v>
      </c>
      <c r="E3246" s="2">
        <v>10.0</v>
      </c>
      <c r="F3246" s="2" t="s">
        <v>12</v>
      </c>
      <c r="G3246" s="2"/>
      <c r="H3246" s="2"/>
      <c r="I3246" s="2"/>
    </row>
    <row r="3247">
      <c r="A3247" s="2" t="s">
        <v>3277</v>
      </c>
      <c r="B3247" s="2" t="s">
        <v>3243</v>
      </c>
      <c r="C3247" s="2"/>
      <c r="D3247" s="2" t="s">
        <v>37</v>
      </c>
      <c r="E3247" s="2">
        <v>10.0</v>
      </c>
      <c r="F3247" s="2" t="s">
        <v>12</v>
      </c>
      <c r="G3247" s="2"/>
      <c r="H3247" s="2"/>
      <c r="I3247" s="2"/>
    </row>
    <row r="3248">
      <c r="A3248" s="2" t="s">
        <v>3278</v>
      </c>
      <c r="B3248" s="2" t="s">
        <v>3243</v>
      </c>
      <c r="C3248" s="2"/>
      <c r="D3248" s="2" t="s">
        <v>37</v>
      </c>
      <c r="E3248" s="2">
        <v>10.0</v>
      </c>
      <c r="F3248" s="2" t="s">
        <v>12</v>
      </c>
      <c r="G3248" s="2"/>
      <c r="H3248" s="2"/>
      <c r="I3248" s="2"/>
    </row>
    <row r="3249">
      <c r="A3249" s="1" t="s">
        <v>3279</v>
      </c>
      <c r="B3249" s="2" t="s">
        <v>3243</v>
      </c>
      <c r="C3249" s="2"/>
      <c r="D3249" s="2" t="s">
        <v>11</v>
      </c>
      <c r="E3249" s="2">
        <v>10.0</v>
      </c>
      <c r="F3249" s="2" t="s">
        <v>12</v>
      </c>
      <c r="G3249" s="2"/>
      <c r="H3249" s="2"/>
      <c r="I3249" s="2"/>
    </row>
    <row r="3250">
      <c r="A3250" s="2" t="s">
        <v>3280</v>
      </c>
      <c r="B3250" s="2" t="s">
        <v>3243</v>
      </c>
      <c r="C3250" s="2"/>
      <c r="D3250" s="2" t="s">
        <v>11</v>
      </c>
      <c r="E3250" s="2">
        <v>10.0</v>
      </c>
      <c r="F3250" s="2" t="s">
        <v>12</v>
      </c>
      <c r="G3250" s="2"/>
      <c r="H3250" s="2"/>
      <c r="I3250" s="2"/>
    </row>
    <row r="3251">
      <c r="A3251" s="1" t="s">
        <v>3281</v>
      </c>
      <c r="B3251" s="2" t="s">
        <v>3243</v>
      </c>
      <c r="C3251" s="2"/>
      <c r="D3251" s="1" t="s">
        <v>11</v>
      </c>
      <c r="E3251" s="2">
        <v>4.0</v>
      </c>
      <c r="F3251" s="2" t="s">
        <v>12</v>
      </c>
      <c r="G3251" s="2"/>
      <c r="H3251" s="2"/>
      <c r="I3251" s="2"/>
    </row>
    <row r="3252">
      <c r="A3252" s="1" t="s">
        <v>3282</v>
      </c>
      <c r="B3252" s="2" t="s">
        <v>3243</v>
      </c>
      <c r="C3252" s="2"/>
      <c r="D3252" s="2" t="s">
        <v>11</v>
      </c>
      <c r="E3252" s="2">
        <v>10.0</v>
      </c>
      <c r="F3252" s="2" t="s">
        <v>12</v>
      </c>
      <c r="G3252" s="2"/>
      <c r="H3252" s="2"/>
      <c r="I3252" s="2"/>
    </row>
    <row r="3253">
      <c r="A3253" s="1" t="s">
        <v>3283</v>
      </c>
      <c r="B3253" s="2" t="s">
        <v>3243</v>
      </c>
      <c r="C3253" s="2"/>
      <c r="D3253" s="2" t="s">
        <v>11</v>
      </c>
      <c r="E3253" s="2">
        <v>10.0</v>
      </c>
      <c r="F3253" s="2" t="s">
        <v>12</v>
      </c>
      <c r="G3253" s="2"/>
      <c r="H3253" s="2"/>
      <c r="I3253" s="2"/>
    </row>
    <row r="3254">
      <c r="A3254" s="1" t="s">
        <v>3284</v>
      </c>
      <c r="B3254" s="2" t="s">
        <v>3243</v>
      </c>
      <c r="C3254" s="2"/>
      <c r="D3254" s="2" t="s">
        <v>11</v>
      </c>
      <c r="E3254" s="2">
        <v>10.0</v>
      </c>
      <c r="F3254" s="2" t="s">
        <v>12</v>
      </c>
      <c r="G3254" s="2"/>
      <c r="H3254" s="2"/>
      <c r="I3254" s="2"/>
    </row>
    <row r="3255">
      <c r="A3255" s="2" t="s">
        <v>3285</v>
      </c>
      <c r="B3255" s="2" t="s">
        <v>3243</v>
      </c>
      <c r="C3255" s="2"/>
      <c r="D3255" s="2" t="s">
        <v>11</v>
      </c>
      <c r="E3255" s="2">
        <v>10.0</v>
      </c>
      <c r="F3255" s="2" t="s">
        <v>12</v>
      </c>
      <c r="G3255" s="2"/>
      <c r="H3255" s="2"/>
      <c r="I3255" s="2"/>
    </row>
    <row r="3256">
      <c r="A3256" s="1" t="s">
        <v>3286</v>
      </c>
      <c r="B3256" s="2" t="s">
        <v>3243</v>
      </c>
      <c r="C3256" s="2"/>
      <c r="D3256" s="2" t="s">
        <v>11</v>
      </c>
      <c r="E3256" s="2">
        <v>10.0</v>
      </c>
      <c r="F3256" s="2" t="s">
        <v>12</v>
      </c>
      <c r="G3256" s="2"/>
      <c r="H3256" s="2"/>
      <c r="I3256" s="2"/>
    </row>
    <row r="3257">
      <c r="A3257" s="1" t="s">
        <v>3287</v>
      </c>
      <c r="B3257" s="2" t="s">
        <v>3243</v>
      </c>
      <c r="C3257" s="2"/>
      <c r="D3257" s="2" t="s">
        <v>11</v>
      </c>
      <c r="E3257" s="2">
        <v>10.0</v>
      </c>
      <c r="F3257" s="2" t="s">
        <v>12</v>
      </c>
      <c r="G3257" s="2"/>
      <c r="H3257" s="2"/>
      <c r="I3257" s="2"/>
    </row>
    <row r="3258">
      <c r="A3258" s="1" t="s">
        <v>3288</v>
      </c>
      <c r="B3258" s="2" t="s">
        <v>3289</v>
      </c>
      <c r="C3258" s="1"/>
      <c r="D3258" s="2"/>
      <c r="E3258" s="2"/>
      <c r="F3258" s="2"/>
      <c r="G3258" s="2"/>
      <c r="H3258" s="2"/>
      <c r="I3258" s="2"/>
    </row>
    <row r="3259">
      <c r="A3259" s="1" t="s">
        <v>3290</v>
      </c>
      <c r="B3259" s="2" t="s">
        <v>3289</v>
      </c>
      <c r="C3259" s="1"/>
      <c r="D3259" s="2"/>
      <c r="E3259" s="2"/>
      <c r="F3259" s="2"/>
      <c r="G3259" s="2"/>
      <c r="H3259" s="2"/>
      <c r="I3259" s="2"/>
    </row>
    <row r="3260">
      <c r="A3260" s="1" t="s">
        <v>3291</v>
      </c>
      <c r="B3260" s="2" t="s">
        <v>3289</v>
      </c>
      <c r="C3260" s="2"/>
      <c r="D3260" s="2" t="s">
        <v>11</v>
      </c>
      <c r="E3260" s="2">
        <v>6.0</v>
      </c>
      <c r="F3260" s="2" t="s">
        <v>12</v>
      </c>
      <c r="G3260" s="2"/>
      <c r="H3260" s="2"/>
      <c r="I3260" s="2"/>
    </row>
    <row r="3261">
      <c r="A3261" s="1" t="s">
        <v>3292</v>
      </c>
      <c r="B3261" s="2" t="s">
        <v>3289</v>
      </c>
      <c r="C3261" s="2"/>
      <c r="D3261" s="2" t="s">
        <v>11</v>
      </c>
      <c r="E3261" s="2">
        <v>3.0</v>
      </c>
      <c r="F3261" s="2" t="s">
        <v>12</v>
      </c>
      <c r="G3261" s="2"/>
      <c r="H3261" s="2"/>
      <c r="I3261" s="2"/>
    </row>
    <row r="3262">
      <c r="A3262" s="2" t="s">
        <v>3293</v>
      </c>
      <c r="B3262" s="2" t="s">
        <v>3289</v>
      </c>
      <c r="C3262" s="2"/>
      <c r="D3262" s="2" t="s">
        <v>11</v>
      </c>
      <c r="E3262" s="2">
        <v>3.0</v>
      </c>
      <c r="F3262" s="2" t="s">
        <v>12</v>
      </c>
      <c r="G3262" s="2"/>
      <c r="H3262" s="2"/>
      <c r="I3262" s="2"/>
    </row>
    <row r="3263">
      <c r="A3263" s="1" t="s">
        <v>3294</v>
      </c>
      <c r="B3263" s="2" t="s">
        <v>3289</v>
      </c>
      <c r="C3263" s="1"/>
      <c r="D3263" s="2"/>
      <c r="E3263" s="2"/>
      <c r="F3263" s="2"/>
      <c r="G3263" s="2"/>
      <c r="H3263" s="2"/>
      <c r="I3263" s="2"/>
    </row>
    <row r="3264">
      <c r="A3264" s="2" t="s">
        <v>3295</v>
      </c>
      <c r="B3264" s="2" t="s">
        <v>3289</v>
      </c>
      <c r="C3264" s="2"/>
      <c r="D3264" s="2" t="s">
        <v>11</v>
      </c>
      <c r="E3264" s="2">
        <v>10.0</v>
      </c>
      <c r="F3264" s="2" t="s">
        <v>12</v>
      </c>
      <c r="G3264" s="2"/>
      <c r="H3264" s="2"/>
      <c r="I3264" s="2"/>
    </row>
    <row r="3265">
      <c r="A3265" s="2" t="s">
        <v>3296</v>
      </c>
      <c r="B3265" s="2" t="s">
        <v>3289</v>
      </c>
      <c r="C3265" s="2"/>
      <c r="D3265" s="2" t="s">
        <v>11</v>
      </c>
      <c r="E3265" s="2">
        <v>10.0</v>
      </c>
      <c r="F3265" s="2" t="s">
        <v>12</v>
      </c>
      <c r="G3265" s="2"/>
      <c r="H3265" s="2"/>
      <c r="I3265" s="2"/>
    </row>
    <row r="3266">
      <c r="A3266" s="2" t="s">
        <v>3297</v>
      </c>
      <c r="B3266" s="2" t="s">
        <v>3289</v>
      </c>
      <c r="C3266" s="2"/>
      <c r="D3266" s="2" t="s">
        <v>11</v>
      </c>
      <c r="E3266" s="2">
        <v>10.0</v>
      </c>
      <c r="F3266" s="2" t="s">
        <v>12</v>
      </c>
      <c r="G3266" s="2"/>
      <c r="H3266" s="2"/>
      <c r="I3266" s="2"/>
    </row>
    <row r="3267">
      <c r="A3267" s="1" t="s">
        <v>3298</v>
      </c>
      <c r="B3267" s="2" t="s">
        <v>3289</v>
      </c>
      <c r="C3267" s="1"/>
      <c r="D3267" s="2"/>
      <c r="E3267" s="2"/>
      <c r="F3267" s="2"/>
      <c r="G3267" s="2"/>
      <c r="H3267" s="2"/>
      <c r="I3267" s="2"/>
    </row>
    <row r="3268">
      <c r="A3268" s="1" t="s">
        <v>3299</v>
      </c>
      <c r="B3268" s="2" t="s">
        <v>3289</v>
      </c>
      <c r="C3268" s="1"/>
      <c r="D3268" s="2"/>
      <c r="E3268" s="2"/>
      <c r="F3268" s="2"/>
      <c r="G3268" s="2"/>
      <c r="H3268" s="2"/>
      <c r="I3268" s="2"/>
    </row>
    <row r="3269">
      <c r="A3269" s="1" t="s">
        <v>3300</v>
      </c>
      <c r="B3269" s="2" t="s">
        <v>3289</v>
      </c>
      <c r="C3269" s="2"/>
      <c r="D3269" s="2" t="s">
        <v>11</v>
      </c>
      <c r="E3269" s="2">
        <v>15.0</v>
      </c>
      <c r="F3269" s="2" t="s">
        <v>12</v>
      </c>
      <c r="G3269" s="2"/>
      <c r="H3269" s="2"/>
      <c r="I3269" s="2"/>
    </row>
    <row r="3270">
      <c r="A3270" s="2" t="s">
        <v>3301</v>
      </c>
      <c r="B3270" s="2" t="s">
        <v>3289</v>
      </c>
      <c r="C3270" s="1"/>
      <c r="D3270" s="2"/>
      <c r="E3270" s="2"/>
      <c r="F3270" s="2"/>
      <c r="G3270" s="2"/>
      <c r="H3270" s="2"/>
      <c r="I3270" s="2"/>
    </row>
    <row r="3271">
      <c r="A3271" s="2" t="s">
        <v>3302</v>
      </c>
      <c r="B3271" s="2" t="s">
        <v>3289</v>
      </c>
      <c r="C3271" s="1"/>
      <c r="D3271" s="2"/>
      <c r="E3271" s="2"/>
      <c r="F3271" s="2"/>
      <c r="G3271" s="2"/>
      <c r="H3271" s="2"/>
      <c r="I3271" s="2"/>
    </row>
    <row r="3272">
      <c r="A3272" s="2" t="s">
        <v>3303</v>
      </c>
      <c r="B3272" s="2" t="s">
        <v>3289</v>
      </c>
      <c r="C3272" s="1"/>
      <c r="D3272" s="2"/>
      <c r="E3272" s="2"/>
      <c r="F3272" s="2"/>
      <c r="G3272" s="2"/>
      <c r="H3272" s="2"/>
      <c r="I3272" s="2"/>
    </row>
    <row r="3273">
      <c r="A3273" s="2" t="s">
        <v>3304</v>
      </c>
      <c r="B3273" s="2" t="s">
        <v>3289</v>
      </c>
      <c r="C3273" s="2"/>
      <c r="D3273" s="2" t="s">
        <v>11</v>
      </c>
      <c r="E3273" s="2">
        <v>15.0</v>
      </c>
      <c r="F3273" s="2" t="s">
        <v>12</v>
      </c>
      <c r="G3273" s="2"/>
      <c r="H3273" s="2"/>
      <c r="I3273" s="2"/>
    </row>
    <row r="3274">
      <c r="A3274" s="2" t="s">
        <v>3305</v>
      </c>
      <c r="B3274" s="2" t="s">
        <v>3289</v>
      </c>
      <c r="C3274" s="1"/>
      <c r="D3274" s="2"/>
      <c r="E3274" s="2"/>
      <c r="F3274" s="2"/>
      <c r="G3274" s="2"/>
      <c r="H3274" s="2"/>
      <c r="I3274" s="2"/>
    </row>
    <row r="3275">
      <c r="A3275" s="2" t="s">
        <v>3306</v>
      </c>
      <c r="B3275" s="2" t="s">
        <v>3289</v>
      </c>
      <c r="C3275" s="2"/>
      <c r="D3275" s="2" t="s">
        <v>11</v>
      </c>
      <c r="E3275" s="2">
        <v>10.0</v>
      </c>
      <c r="F3275" s="2" t="s">
        <v>12</v>
      </c>
      <c r="G3275" s="2"/>
      <c r="H3275" s="2"/>
      <c r="I3275" s="2"/>
    </row>
    <row r="3276">
      <c r="A3276" s="2" t="s">
        <v>3307</v>
      </c>
      <c r="B3276" s="2" t="s">
        <v>3289</v>
      </c>
      <c r="C3276" s="2"/>
      <c r="D3276" s="2" t="s">
        <v>11</v>
      </c>
      <c r="E3276" s="2">
        <v>15.0</v>
      </c>
      <c r="F3276" s="2" t="s">
        <v>12</v>
      </c>
      <c r="G3276" s="2"/>
      <c r="H3276" s="2"/>
      <c r="I3276" s="2"/>
    </row>
    <row r="3277">
      <c r="A3277" s="2" t="s">
        <v>3308</v>
      </c>
      <c r="B3277" s="2" t="s">
        <v>3289</v>
      </c>
      <c r="C3277" s="2"/>
      <c r="D3277" s="2" t="s">
        <v>37</v>
      </c>
      <c r="E3277" s="2">
        <v>10.0</v>
      </c>
      <c r="F3277" s="2" t="s">
        <v>12</v>
      </c>
      <c r="G3277" s="2"/>
      <c r="H3277" s="2"/>
      <c r="I3277" s="2"/>
    </row>
    <row r="3278">
      <c r="A3278" s="2" t="s">
        <v>3309</v>
      </c>
      <c r="B3278" s="2" t="s">
        <v>3289</v>
      </c>
      <c r="C3278" s="2"/>
      <c r="D3278" s="2" t="s">
        <v>11</v>
      </c>
      <c r="E3278" s="2">
        <v>10.0</v>
      </c>
      <c r="F3278" s="2" t="s">
        <v>12</v>
      </c>
      <c r="G3278" s="2"/>
      <c r="H3278" s="2"/>
      <c r="I3278" s="2"/>
    </row>
    <row r="3279">
      <c r="A3279" s="2" t="s">
        <v>3310</v>
      </c>
      <c r="B3279" s="2" t="s">
        <v>3289</v>
      </c>
      <c r="C3279" s="2"/>
      <c r="D3279" s="2" t="s">
        <v>11</v>
      </c>
      <c r="E3279" s="2">
        <v>10.0</v>
      </c>
      <c r="F3279" s="2" t="s">
        <v>12</v>
      </c>
      <c r="G3279" s="2"/>
      <c r="H3279" s="2"/>
      <c r="I3279" s="2"/>
    </row>
    <row r="3280">
      <c r="A3280" s="2" t="s">
        <v>3311</v>
      </c>
      <c r="B3280" s="2" t="s">
        <v>3289</v>
      </c>
      <c r="C3280" s="2"/>
      <c r="D3280" s="2" t="s">
        <v>11</v>
      </c>
      <c r="E3280" s="2">
        <v>10.0</v>
      </c>
      <c r="F3280" s="2" t="s">
        <v>12</v>
      </c>
      <c r="G3280" s="2"/>
      <c r="H3280" s="2"/>
      <c r="I3280" s="2"/>
    </row>
    <row r="3281">
      <c r="A3281" s="1" t="s">
        <v>3312</v>
      </c>
      <c r="B3281" s="2" t="s">
        <v>3289</v>
      </c>
      <c r="C3281" s="1"/>
      <c r="D3281" s="2"/>
      <c r="E3281" s="2"/>
      <c r="F3281" s="2"/>
      <c r="G3281" s="2"/>
      <c r="H3281" s="2"/>
      <c r="I3281" s="2"/>
    </row>
    <row r="3282">
      <c r="A3282" s="1" t="s">
        <v>3313</v>
      </c>
      <c r="B3282" s="2" t="s">
        <v>3289</v>
      </c>
      <c r="C3282" s="2"/>
      <c r="D3282" s="2" t="s">
        <v>11</v>
      </c>
      <c r="E3282" s="2">
        <v>10.0</v>
      </c>
      <c r="F3282" s="2" t="s">
        <v>12</v>
      </c>
      <c r="G3282" s="2"/>
      <c r="H3282" s="2"/>
      <c r="I3282" s="2"/>
    </row>
    <row r="3283">
      <c r="A3283" s="1" t="s">
        <v>3314</v>
      </c>
      <c r="B3283" s="2" t="s">
        <v>3289</v>
      </c>
      <c r="C3283" s="2"/>
      <c r="D3283" s="2" t="s">
        <v>11</v>
      </c>
      <c r="E3283" s="2">
        <v>10.0</v>
      </c>
      <c r="F3283" s="2" t="s">
        <v>12</v>
      </c>
      <c r="G3283" s="2"/>
      <c r="H3283" s="2"/>
      <c r="I3283" s="2"/>
    </row>
    <row r="3284">
      <c r="A3284" s="1" t="s">
        <v>3315</v>
      </c>
      <c r="B3284" s="2" t="s">
        <v>3289</v>
      </c>
      <c r="C3284" s="2"/>
      <c r="D3284" s="2" t="s">
        <v>11</v>
      </c>
      <c r="E3284" s="2">
        <v>10.0</v>
      </c>
      <c r="F3284" s="2" t="s">
        <v>12</v>
      </c>
      <c r="G3284" s="2"/>
      <c r="H3284" s="2"/>
      <c r="I3284" s="2"/>
    </row>
    <row r="3285">
      <c r="A3285" s="1" t="s">
        <v>3316</v>
      </c>
      <c r="B3285" s="2" t="s">
        <v>3289</v>
      </c>
      <c r="C3285" s="1"/>
      <c r="D3285" s="2"/>
      <c r="E3285" s="2"/>
      <c r="F3285" s="2"/>
      <c r="G3285" s="2"/>
      <c r="H3285" s="2"/>
      <c r="I3285" s="2"/>
    </row>
    <row r="3286">
      <c r="A3286" s="1" t="s">
        <v>3317</v>
      </c>
      <c r="B3286" s="2" t="s">
        <v>3289</v>
      </c>
      <c r="C3286" s="2"/>
      <c r="D3286" s="2" t="s">
        <v>11</v>
      </c>
      <c r="E3286" s="2">
        <v>10.0</v>
      </c>
      <c r="F3286" s="2" t="s">
        <v>12</v>
      </c>
      <c r="G3286" s="2"/>
      <c r="H3286" s="2"/>
      <c r="I3286" s="2"/>
    </row>
    <row r="3287">
      <c r="A3287" s="1" t="s">
        <v>3318</v>
      </c>
      <c r="B3287" s="2" t="s">
        <v>3289</v>
      </c>
      <c r="C3287" s="2"/>
      <c r="D3287" s="2" t="s">
        <v>11</v>
      </c>
      <c r="E3287" s="2">
        <v>10.0</v>
      </c>
      <c r="F3287" s="2" t="s">
        <v>12</v>
      </c>
      <c r="G3287" s="2"/>
      <c r="H3287" s="2"/>
      <c r="I3287" s="2"/>
    </row>
    <row r="3288">
      <c r="A3288" s="2" t="s">
        <v>3319</v>
      </c>
      <c r="B3288" s="2" t="s">
        <v>3289</v>
      </c>
      <c r="C3288" s="1"/>
      <c r="D3288" s="2"/>
      <c r="E3288" s="2"/>
      <c r="F3288" s="2"/>
      <c r="G3288" s="2"/>
      <c r="H3288" s="2"/>
      <c r="I3288" s="2"/>
    </row>
    <row r="3289">
      <c r="A3289" s="1" t="s">
        <v>3320</v>
      </c>
      <c r="B3289" s="2" t="s">
        <v>3289</v>
      </c>
      <c r="C3289" s="2"/>
      <c r="D3289" s="2" t="s">
        <v>11</v>
      </c>
      <c r="E3289" s="2">
        <v>10.0</v>
      </c>
      <c r="F3289" s="2" t="s">
        <v>12</v>
      </c>
      <c r="G3289" s="2"/>
      <c r="H3289" s="2"/>
      <c r="I3289" s="2"/>
    </row>
    <row r="3290">
      <c r="A3290" s="2" t="s">
        <v>3321</v>
      </c>
      <c r="B3290" s="2" t="s">
        <v>3289</v>
      </c>
      <c r="C3290" s="2"/>
      <c r="D3290" s="2" t="s">
        <v>37</v>
      </c>
      <c r="E3290" s="2">
        <v>10.0</v>
      </c>
      <c r="F3290" s="2" t="s">
        <v>12</v>
      </c>
      <c r="G3290" s="2"/>
      <c r="H3290" s="2"/>
      <c r="I3290" s="2"/>
    </row>
    <row r="3291">
      <c r="A3291" s="2" t="s">
        <v>3322</v>
      </c>
      <c r="B3291" s="2" t="s">
        <v>3289</v>
      </c>
      <c r="C3291" s="2"/>
      <c r="D3291" s="2" t="s">
        <v>11</v>
      </c>
      <c r="E3291" s="2">
        <v>10.0</v>
      </c>
      <c r="F3291" s="2" t="s">
        <v>12</v>
      </c>
      <c r="G3291" s="2"/>
      <c r="H3291" s="2"/>
      <c r="I3291" s="2"/>
    </row>
    <row r="3292">
      <c r="A3292" s="2" t="s">
        <v>3323</v>
      </c>
      <c r="B3292" s="2" t="s">
        <v>3289</v>
      </c>
      <c r="C3292" s="1"/>
      <c r="D3292" s="2"/>
      <c r="E3292" s="2"/>
      <c r="F3292" s="2"/>
      <c r="G3292" s="2"/>
      <c r="H3292" s="2"/>
      <c r="I3292" s="2"/>
    </row>
    <row r="3293">
      <c r="A3293" s="2" t="s">
        <v>3324</v>
      </c>
      <c r="B3293" s="2" t="s">
        <v>3289</v>
      </c>
      <c r="C3293" s="1"/>
      <c r="D3293" s="2"/>
      <c r="E3293" s="2"/>
      <c r="F3293" s="2"/>
      <c r="G3293" s="2"/>
      <c r="H3293" s="2"/>
      <c r="I3293" s="2"/>
    </row>
    <row r="3294">
      <c r="A3294" s="2" t="s">
        <v>3325</v>
      </c>
      <c r="B3294" s="2" t="s">
        <v>3289</v>
      </c>
      <c r="C3294" s="1"/>
      <c r="D3294" s="2"/>
      <c r="E3294" s="2"/>
      <c r="F3294" s="2"/>
      <c r="G3294" s="2"/>
      <c r="H3294" s="2"/>
      <c r="I3294" s="2"/>
    </row>
    <row r="3295">
      <c r="A3295" s="2" t="s">
        <v>3326</v>
      </c>
      <c r="B3295" s="2" t="s">
        <v>3289</v>
      </c>
      <c r="C3295" s="1"/>
      <c r="D3295" s="2"/>
      <c r="E3295" s="2"/>
      <c r="F3295" s="2"/>
      <c r="G3295" s="2"/>
      <c r="H3295" s="2"/>
      <c r="I3295" s="2"/>
    </row>
    <row r="3296">
      <c r="A3296" s="2" t="s">
        <v>3327</v>
      </c>
      <c r="B3296" s="2" t="s">
        <v>3289</v>
      </c>
      <c r="C3296" s="1"/>
      <c r="D3296" s="2"/>
      <c r="E3296" s="2"/>
      <c r="F3296" s="2"/>
      <c r="G3296" s="2"/>
      <c r="H3296" s="2"/>
      <c r="I3296" s="2"/>
    </row>
    <row r="3297">
      <c r="A3297" s="2" t="s">
        <v>3328</v>
      </c>
      <c r="B3297" s="2" t="s">
        <v>3289</v>
      </c>
      <c r="C3297" s="1"/>
      <c r="D3297" s="2"/>
      <c r="E3297" s="2"/>
      <c r="F3297" s="2"/>
      <c r="G3297" s="2"/>
      <c r="H3297" s="2"/>
      <c r="I3297" s="2"/>
    </row>
    <row r="3298">
      <c r="A3298" s="2" t="s">
        <v>3329</v>
      </c>
      <c r="B3298" s="2" t="s">
        <v>3289</v>
      </c>
      <c r="C3298" s="2"/>
      <c r="D3298" s="2" t="s">
        <v>37</v>
      </c>
      <c r="E3298" s="2">
        <v>15.0</v>
      </c>
      <c r="F3298" s="2" t="s">
        <v>12</v>
      </c>
      <c r="G3298" s="2"/>
      <c r="H3298" s="2"/>
      <c r="I3298" s="2"/>
    </row>
    <row r="3299">
      <c r="A3299" s="2" t="s">
        <v>3330</v>
      </c>
      <c r="B3299" s="2" t="s">
        <v>3331</v>
      </c>
      <c r="C3299" s="1"/>
      <c r="D3299" s="2"/>
      <c r="E3299" s="2"/>
      <c r="F3299" s="2"/>
      <c r="G3299" s="2"/>
      <c r="H3299" s="2"/>
      <c r="I3299" s="2"/>
    </row>
    <row r="3300">
      <c r="A3300" s="2" t="s">
        <v>3332</v>
      </c>
      <c r="B3300" s="2" t="s">
        <v>3331</v>
      </c>
      <c r="C3300" s="1"/>
      <c r="D3300" s="2"/>
      <c r="E3300" s="2"/>
      <c r="F3300" s="2"/>
      <c r="G3300" s="2"/>
      <c r="H3300" s="2"/>
      <c r="I3300" s="2"/>
    </row>
    <row r="3301">
      <c r="A3301" s="2" t="s">
        <v>3333</v>
      </c>
      <c r="B3301" s="2" t="s">
        <v>3331</v>
      </c>
      <c r="C3301" s="1"/>
      <c r="D3301" s="2"/>
      <c r="E3301" s="2"/>
      <c r="F3301" s="2"/>
      <c r="G3301" s="2"/>
      <c r="H3301" s="2"/>
      <c r="I3301" s="2"/>
    </row>
    <row r="3302">
      <c r="A3302" s="2" t="s">
        <v>3334</v>
      </c>
      <c r="B3302" s="2" t="s">
        <v>3331</v>
      </c>
      <c r="C3302" s="1"/>
      <c r="D3302" s="2"/>
      <c r="E3302" s="2"/>
      <c r="F3302" s="2"/>
      <c r="G3302" s="2"/>
      <c r="H3302" s="2"/>
      <c r="I3302" s="2"/>
    </row>
    <row r="3303">
      <c r="A3303" s="2" t="s">
        <v>3335</v>
      </c>
      <c r="B3303" s="2" t="s">
        <v>3331</v>
      </c>
      <c r="C3303" s="1"/>
      <c r="D3303" s="2"/>
      <c r="E3303" s="2"/>
      <c r="F3303" s="2"/>
      <c r="G3303" s="2"/>
      <c r="H3303" s="2"/>
      <c r="I3303" s="2"/>
    </row>
    <row r="3304">
      <c r="A3304" s="2" t="s">
        <v>3336</v>
      </c>
      <c r="B3304" s="2" t="s">
        <v>3331</v>
      </c>
      <c r="C3304" s="1"/>
      <c r="D3304" s="1" t="s">
        <v>300</v>
      </c>
      <c r="E3304" s="1" t="s">
        <v>731</v>
      </c>
      <c r="F3304" s="1" t="s">
        <v>302</v>
      </c>
      <c r="G3304" s="2"/>
      <c r="H3304" s="2"/>
      <c r="I3304" s="2"/>
    </row>
    <row r="3305">
      <c r="A3305" s="2" t="s">
        <v>3337</v>
      </c>
      <c r="B3305" s="2" t="s">
        <v>3331</v>
      </c>
      <c r="C3305" s="1"/>
      <c r="D3305" s="2"/>
      <c r="E3305" s="2"/>
      <c r="F3305" s="2"/>
      <c r="G3305" s="2"/>
      <c r="H3305" s="2"/>
      <c r="I3305" s="2"/>
    </row>
    <row r="3306">
      <c r="A3306" s="2" t="s">
        <v>3338</v>
      </c>
      <c r="B3306" s="2" t="s">
        <v>3331</v>
      </c>
      <c r="C3306" s="1"/>
      <c r="D3306" s="2"/>
      <c r="E3306" s="2"/>
      <c r="F3306" s="2"/>
      <c r="G3306" s="2"/>
      <c r="H3306" s="2"/>
      <c r="I3306" s="2"/>
    </row>
    <row r="3307">
      <c r="A3307" s="2" t="s">
        <v>3339</v>
      </c>
      <c r="B3307" s="2" t="s">
        <v>3331</v>
      </c>
      <c r="C3307" s="1"/>
      <c r="D3307" s="2"/>
      <c r="E3307" s="2"/>
      <c r="F3307" s="2"/>
      <c r="G3307" s="2"/>
      <c r="H3307" s="2"/>
      <c r="I3307" s="2"/>
    </row>
    <row r="3308">
      <c r="A3308" s="2" t="s">
        <v>3340</v>
      </c>
      <c r="B3308" s="2" t="s">
        <v>3331</v>
      </c>
      <c r="C3308" s="1"/>
      <c r="D3308" s="2"/>
      <c r="E3308" s="2"/>
      <c r="F3308" s="2"/>
      <c r="G3308" s="2"/>
      <c r="H3308" s="2"/>
      <c r="I3308" s="2"/>
    </row>
    <row r="3309">
      <c r="A3309" s="2" t="s">
        <v>3341</v>
      </c>
      <c r="B3309" s="2" t="s">
        <v>3331</v>
      </c>
      <c r="C3309" s="2"/>
      <c r="D3309" s="2" t="s">
        <v>37</v>
      </c>
      <c r="E3309" s="2">
        <v>10.0</v>
      </c>
      <c r="F3309" s="2" t="s">
        <v>12</v>
      </c>
      <c r="G3309" s="2"/>
      <c r="H3309" s="2"/>
      <c r="I3309" s="2"/>
    </row>
    <row r="3310">
      <c r="A3310" s="2" t="s">
        <v>3342</v>
      </c>
      <c r="B3310" s="2" t="s">
        <v>3331</v>
      </c>
      <c r="C3310" s="1"/>
      <c r="D3310" s="2"/>
      <c r="E3310" s="2"/>
      <c r="F3310" s="2"/>
      <c r="G3310" s="2"/>
      <c r="H3310" s="2"/>
      <c r="I3310" s="2"/>
    </row>
    <row r="3311">
      <c r="A3311" s="2" t="s">
        <v>3343</v>
      </c>
      <c r="B3311" s="2" t="s">
        <v>3331</v>
      </c>
      <c r="C3311" s="1"/>
      <c r="D3311" s="2"/>
      <c r="E3311" s="2"/>
      <c r="F3311" s="2"/>
      <c r="G3311" s="2"/>
      <c r="H3311" s="2"/>
      <c r="I3311" s="2"/>
    </row>
    <row r="3312">
      <c r="A3312" s="2" t="s">
        <v>3344</v>
      </c>
      <c r="B3312" s="2" t="s">
        <v>3331</v>
      </c>
      <c r="C3312" s="1"/>
      <c r="D3312" s="2"/>
      <c r="E3312" s="2"/>
      <c r="F3312" s="2"/>
      <c r="G3312" s="2"/>
      <c r="H3312" s="2"/>
      <c r="I3312" s="2"/>
    </row>
    <row r="3313">
      <c r="A3313" s="2" t="s">
        <v>3345</v>
      </c>
      <c r="B3313" s="2" t="s">
        <v>3331</v>
      </c>
      <c r="C3313" s="1"/>
      <c r="D3313" s="2"/>
      <c r="E3313" s="2"/>
      <c r="F3313" s="2"/>
      <c r="G3313" s="2"/>
      <c r="H3313" s="2"/>
      <c r="I3313" s="2"/>
    </row>
    <row r="3314">
      <c r="A3314" s="2" t="s">
        <v>3346</v>
      </c>
      <c r="B3314" s="2" t="s">
        <v>3331</v>
      </c>
      <c r="C3314" s="1"/>
      <c r="D3314" s="2"/>
      <c r="E3314" s="2"/>
      <c r="F3314" s="2"/>
      <c r="G3314" s="2"/>
      <c r="H3314" s="2"/>
      <c r="I3314" s="2"/>
    </row>
    <row r="3315">
      <c r="A3315" s="2" t="s">
        <v>3347</v>
      </c>
      <c r="B3315" s="2" t="s">
        <v>3331</v>
      </c>
      <c r="C3315" s="1"/>
      <c r="D3315" s="1" t="s">
        <v>300</v>
      </c>
      <c r="E3315" s="1" t="s">
        <v>731</v>
      </c>
      <c r="F3315" s="1" t="s">
        <v>302</v>
      </c>
      <c r="G3315" s="2"/>
      <c r="H3315" s="2"/>
      <c r="I3315" s="2"/>
    </row>
    <row r="3316">
      <c r="A3316" s="2" t="s">
        <v>3348</v>
      </c>
      <c r="B3316" s="2" t="s">
        <v>3331</v>
      </c>
      <c r="C3316" s="1"/>
      <c r="D3316" s="2"/>
      <c r="E3316" s="2"/>
      <c r="F3316" s="2"/>
      <c r="G3316" s="2"/>
      <c r="H3316" s="2"/>
      <c r="I3316" s="2"/>
    </row>
    <row r="3317">
      <c r="A3317" s="2" t="s">
        <v>3349</v>
      </c>
      <c r="B3317" s="2" t="s">
        <v>3331</v>
      </c>
      <c r="C3317" s="1"/>
      <c r="D3317" s="2"/>
      <c r="E3317" s="2"/>
      <c r="F3317" s="2"/>
      <c r="G3317" s="2"/>
      <c r="H3317" s="2"/>
      <c r="I3317" s="2"/>
    </row>
    <row r="3318">
      <c r="A3318" s="2" t="s">
        <v>3350</v>
      </c>
      <c r="B3318" s="2" t="s">
        <v>3331</v>
      </c>
      <c r="C3318" s="1"/>
      <c r="D3318" s="2"/>
      <c r="E3318" s="2"/>
      <c r="F3318" s="2"/>
      <c r="G3318" s="2"/>
      <c r="H3318" s="2"/>
      <c r="I3318" s="2"/>
    </row>
    <row r="3319">
      <c r="A3319" s="2" t="s">
        <v>3351</v>
      </c>
      <c r="B3319" s="2" t="s">
        <v>3331</v>
      </c>
      <c r="C3319" s="1"/>
      <c r="D3319" s="2"/>
      <c r="E3319" s="2"/>
      <c r="F3319" s="2"/>
      <c r="G3319" s="2"/>
      <c r="H3319" s="2"/>
      <c r="I3319" s="2"/>
    </row>
    <row r="3320">
      <c r="A3320" s="2" t="s">
        <v>3352</v>
      </c>
      <c r="B3320" s="2" t="s">
        <v>3331</v>
      </c>
      <c r="C3320" s="1"/>
      <c r="D3320" s="2"/>
      <c r="E3320" s="2"/>
      <c r="F3320" s="2"/>
      <c r="G3320" s="2"/>
      <c r="H3320" s="2"/>
      <c r="I3320" s="2"/>
    </row>
    <row r="3321">
      <c r="A3321" s="2" t="s">
        <v>3353</v>
      </c>
      <c r="B3321" s="2" t="s">
        <v>3331</v>
      </c>
      <c r="C3321" s="1"/>
      <c r="D3321" s="2"/>
      <c r="E3321" s="2"/>
      <c r="F3321" s="2"/>
      <c r="G3321" s="2"/>
      <c r="H3321" s="2"/>
      <c r="I3321" s="2"/>
    </row>
    <row r="3322">
      <c r="A3322" s="2" t="s">
        <v>3354</v>
      </c>
      <c r="B3322" s="2" t="s">
        <v>3331</v>
      </c>
      <c r="C3322" s="1"/>
      <c r="D3322" s="2"/>
      <c r="E3322" s="2"/>
      <c r="F3322" s="2"/>
      <c r="G3322" s="2"/>
      <c r="H3322" s="2"/>
      <c r="I3322" s="2"/>
    </row>
    <row r="3323">
      <c r="A3323" s="2" t="s">
        <v>3355</v>
      </c>
      <c r="B3323" s="2" t="s">
        <v>3331</v>
      </c>
      <c r="C3323" s="1"/>
      <c r="D3323" s="2"/>
      <c r="E3323" s="2"/>
      <c r="F3323" s="2"/>
      <c r="G3323" s="2"/>
      <c r="H3323" s="2"/>
      <c r="I3323" s="2"/>
    </row>
    <row r="3324">
      <c r="A3324" s="2" t="s">
        <v>3356</v>
      </c>
      <c r="B3324" s="2" t="s">
        <v>3357</v>
      </c>
      <c r="C3324" s="1"/>
      <c r="D3324" s="2"/>
      <c r="E3324" s="2"/>
      <c r="F3324" s="2"/>
      <c r="G3324" s="2"/>
      <c r="H3324" s="2"/>
      <c r="I3324" s="2"/>
    </row>
    <row r="3325">
      <c r="A3325" s="2" t="s">
        <v>3358</v>
      </c>
      <c r="B3325" s="2" t="s">
        <v>3357</v>
      </c>
      <c r="C3325" s="1"/>
      <c r="D3325" s="2"/>
      <c r="E3325" s="2"/>
      <c r="F3325" s="2"/>
      <c r="G3325" s="2"/>
      <c r="H3325" s="2"/>
      <c r="I3325" s="2"/>
    </row>
    <row r="3326">
      <c r="A3326" s="2" t="s">
        <v>3359</v>
      </c>
      <c r="B3326" s="2" t="s">
        <v>3357</v>
      </c>
      <c r="C3326" s="1"/>
      <c r="D3326" s="2"/>
      <c r="E3326" s="2"/>
      <c r="F3326" s="2"/>
      <c r="G3326" s="2"/>
      <c r="H3326" s="2"/>
      <c r="I3326" s="2"/>
    </row>
    <row r="3327">
      <c r="A3327" s="2" t="s">
        <v>3360</v>
      </c>
      <c r="B3327" s="2" t="s">
        <v>3357</v>
      </c>
      <c r="C3327" s="1"/>
      <c r="D3327" s="2"/>
      <c r="E3327" s="2"/>
      <c r="F3327" s="2"/>
      <c r="G3327" s="2"/>
      <c r="H3327" s="2"/>
      <c r="I3327" s="2"/>
    </row>
    <row r="3328">
      <c r="A3328" s="2" t="s">
        <v>3361</v>
      </c>
      <c r="B3328" s="2" t="s">
        <v>3357</v>
      </c>
      <c r="C3328" s="1"/>
      <c r="D3328" s="2"/>
      <c r="E3328" s="2"/>
      <c r="F3328" s="2"/>
      <c r="G3328" s="2"/>
      <c r="H3328" s="2"/>
      <c r="I3328" s="2"/>
    </row>
    <row r="3329">
      <c r="A3329" s="2" t="s">
        <v>3362</v>
      </c>
      <c r="B3329" s="2" t="s">
        <v>3357</v>
      </c>
      <c r="C3329" s="1"/>
      <c r="D3329" s="2"/>
      <c r="E3329" s="2"/>
      <c r="F3329" s="2"/>
      <c r="G3329" s="2"/>
      <c r="H3329" s="2"/>
      <c r="I3329" s="2"/>
    </row>
    <row r="3330">
      <c r="A3330" s="2" t="s">
        <v>3363</v>
      </c>
      <c r="B3330" s="2" t="s">
        <v>3357</v>
      </c>
      <c r="C3330" s="1"/>
      <c r="D3330" s="2"/>
      <c r="E3330" s="2"/>
      <c r="F3330" s="2"/>
      <c r="G3330" s="2"/>
      <c r="H3330" s="2"/>
      <c r="I3330" s="2"/>
    </row>
    <row r="3331">
      <c r="A3331" s="2" t="s">
        <v>3364</v>
      </c>
      <c r="B3331" s="2" t="s">
        <v>3357</v>
      </c>
      <c r="C3331" s="1"/>
      <c r="D3331" s="2"/>
      <c r="E3331" s="2"/>
      <c r="F3331" s="2"/>
      <c r="G3331" s="2"/>
      <c r="H3331" s="2"/>
      <c r="I3331" s="2"/>
    </row>
    <row r="3332">
      <c r="A3332" s="2" t="s">
        <v>3365</v>
      </c>
      <c r="B3332" s="2" t="s">
        <v>3357</v>
      </c>
      <c r="C3332" s="1"/>
      <c r="D3332" s="2"/>
      <c r="E3332" s="2"/>
      <c r="F3332" s="2"/>
      <c r="G3332" s="2"/>
      <c r="H3332" s="2"/>
      <c r="I3332" s="2"/>
    </row>
    <row r="3333">
      <c r="A3333" s="2" t="s">
        <v>3366</v>
      </c>
      <c r="B3333" s="2" t="s">
        <v>3357</v>
      </c>
      <c r="C3333" s="1"/>
      <c r="D3333" s="2"/>
      <c r="E3333" s="2"/>
      <c r="F3333" s="2"/>
      <c r="G3333" s="2"/>
      <c r="H3333" s="2"/>
      <c r="I3333" s="2"/>
    </row>
    <row r="3334">
      <c r="A3334" s="2" t="s">
        <v>3367</v>
      </c>
      <c r="B3334" s="2" t="s">
        <v>3357</v>
      </c>
      <c r="C3334" s="1"/>
      <c r="D3334" s="2"/>
      <c r="E3334" s="2"/>
      <c r="F3334" s="2"/>
      <c r="G3334" s="2"/>
      <c r="H3334" s="2"/>
      <c r="I3334" s="2"/>
    </row>
    <row r="3335">
      <c r="A3335" s="2" t="s">
        <v>3368</v>
      </c>
      <c r="B3335" s="2" t="s">
        <v>3357</v>
      </c>
      <c r="C3335" s="1"/>
      <c r="D3335" s="2"/>
      <c r="E3335" s="2"/>
      <c r="F3335" s="2"/>
      <c r="G3335" s="2"/>
      <c r="H3335" s="2"/>
      <c r="I3335" s="2"/>
    </row>
    <row r="3336">
      <c r="A3336" s="2" t="s">
        <v>3369</v>
      </c>
      <c r="B3336" s="2" t="s">
        <v>3357</v>
      </c>
      <c r="C3336" s="1"/>
      <c r="D3336" s="2"/>
      <c r="E3336" s="2"/>
      <c r="F3336" s="2"/>
      <c r="G3336" s="2"/>
      <c r="H3336" s="2"/>
      <c r="I3336" s="2"/>
    </row>
    <row r="3337">
      <c r="A3337" s="2" t="s">
        <v>3370</v>
      </c>
      <c r="B3337" s="2" t="s">
        <v>3357</v>
      </c>
      <c r="C3337" s="1"/>
      <c r="D3337" s="2"/>
      <c r="E3337" s="2"/>
      <c r="F3337" s="2"/>
      <c r="G3337" s="2"/>
      <c r="H3337" s="2"/>
      <c r="I3337" s="2"/>
    </row>
    <row r="3338">
      <c r="A3338" s="2" t="s">
        <v>3371</v>
      </c>
      <c r="B3338" s="2" t="s">
        <v>3357</v>
      </c>
      <c r="C3338" s="1"/>
      <c r="D3338" s="2"/>
      <c r="E3338" s="2"/>
      <c r="F3338" s="2"/>
      <c r="G3338" s="2"/>
      <c r="H3338" s="2"/>
      <c r="I3338" s="2"/>
    </row>
    <row r="3339">
      <c r="A3339" s="2" t="s">
        <v>3372</v>
      </c>
      <c r="B3339" s="2" t="s">
        <v>3357</v>
      </c>
      <c r="C3339" s="1"/>
      <c r="D3339" s="2"/>
      <c r="E3339" s="2"/>
      <c r="F3339" s="2"/>
      <c r="G3339" s="2"/>
      <c r="H3339" s="2"/>
      <c r="I3339" s="2"/>
    </row>
    <row r="3340">
      <c r="A3340" s="2" t="s">
        <v>3373</v>
      </c>
      <c r="B3340" s="2" t="s">
        <v>3357</v>
      </c>
      <c r="C3340" s="2"/>
      <c r="D3340" s="2" t="s">
        <v>37</v>
      </c>
      <c r="E3340" s="2">
        <v>15.0</v>
      </c>
      <c r="F3340" s="2" t="s">
        <v>12</v>
      </c>
      <c r="G3340" s="2"/>
      <c r="H3340" s="2"/>
      <c r="I3340" s="2"/>
    </row>
    <row r="3341">
      <c r="A3341" s="1" t="s">
        <v>3374</v>
      </c>
      <c r="B3341" s="2" t="s">
        <v>3375</v>
      </c>
      <c r="C3341" s="2"/>
      <c r="D3341" s="2" t="s">
        <v>11</v>
      </c>
      <c r="E3341" s="2">
        <v>10.0</v>
      </c>
      <c r="F3341" s="2" t="s">
        <v>12</v>
      </c>
      <c r="G3341" s="2"/>
      <c r="H3341" s="2"/>
      <c r="I3341" s="2"/>
    </row>
    <row r="3342">
      <c r="A3342" s="1" t="s">
        <v>3376</v>
      </c>
      <c r="B3342" s="2" t="s">
        <v>3375</v>
      </c>
      <c r="C3342" s="2"/>
      <c r="D3342" s="2" t="s">
        <v>11</v>
      </c>
      <c r="E3342" s="2">
        <v>10.0</v>
      </c>
      <c r="F3342" s="2" t="s">
        <v>12</v>
      </c>
      <c r="G3342" s="2"/>
      <c r="H3342" s="2"/>
      <c r="I3342" s="2"/>
    </row>
    <row r="3343">
      <c r="A3343" s="1" t="s">
        <v>3377</v>
      </c>
      <c r="B3343" s="2" t="s">
        <v>3375</v>
      </c>
      <c r="C3343" s="2"/>
      <c r="D3343" s="2" t="s">
        <v>11</v>
      </c>
      <c r="E3343" s="2">
        <v>10.0</v>
      </c>
      <c r="F3343" s="2" t="s">
        <v>12</v>
      </c>
      <c r="G3343" s="2"/>
      <c r="H3343" s="2"/>
      <c r="I3343" s="2"/>
    </row>
    <row r="3344">
      <c r="A3344" s="1" t="s">
        <v>3378</v>
      </c>
      <c r="B3344" s="2" t="s">
        <v>3375</v>
      </c>
      <c r="C3344" s="2"/>
      <c r="D3344" s="2" t="s">
        <v>11</v>
      </c>
      <c r="E3344" s="2">
        <v>10.0</v>
      </c>
      <c r="F3344" s="2" t="s">
        <v>12</v>
      </c>
      <c r="G3344" s="2"/>
      <c r="H3344" s="2"/>
      <c r="I3344" s="2"/>
    </row>
    <row r="3345">
      <c r="A3345" s="1" t="s">
        <v>3379</v>
      </c>
      <c r="B3345" s="2" t="s">
        <v>3375</v>
      </c>
      <c r="C3345" s="2"/>
      <c r="D3345" s="2" t="s">
        <v>11</v>
      </c>
      <c r="E3345" s="2">
        <v>10.0</v>
      </c>
      <c r="F3345" s="2" t="s">
        <v>12</v>
      </c>
      <c r="G3345" s="2"/>
      <c r="H3345" s="2"/>
      <c r="I3345" s="2"/>
    </row>
    <row r="3346">
      <c r="A3346" s="2" t="s">
        <v>3380</v>
      </c>
      <c r="B3346" s="2" t="s">
        <v>3375</v>
      </c>
      <c r="C3346" s="1"/>
      <c r="D3346" s="2"/>
      <c r="E3346" s="2"/>
      <c r="F3346" s="2"/>
      <c r="G3346" s="2"/>
      <c r="H3346" s="2"/>
      <c r="I3346" s="2"/>
    </row>
    <row r="3347">
      <c r="A3347" s="1" t="s">
        <v>3381</v>
      </c>
      <c r="B3347" s="2" t="s">
        <v>3375</v>
      </c>
      <c r="C3347" s="2"/>
      <c r="D3347" s="2" t="s">
        <v>11</v>
      </c>
      <c r="E3347" s="2">
        <v>10.0</v>
      </c>
      <c r="F3347" s="2" t="s">
        <v>12</v>
      </c>
      <c r="G3347" s="2"/>
      <c r="H3347" s="2"/>
      <c r="I3347" s="2"/>
    </row>
    <row r="3348">
      <c r="A3348" s="1" t="s">
        <v>3382</v>
      </c>
      <c r="B3348" s="2" t="s">
        <v>3375</v>
      </c>
      <c r="C3348" s="2"/>
      <c r="D3348" s="2" t="s">
        <v>11</v>
      </c>
      <c r="E3348" s="2">
        <v>10.0</v>
      </c>
      <c r="F3348" s="2" t="s">
        <v>12</v>
      </c>
      <c r="G3348" s="2"/>
      <c r="H3348" s="2"/>
      <c r="I3348" s="2"/>
    </row>
    <row r="3349">
      <c r="A3349" s="2" t="s">
        <v>3383</v>
      </c>
      <c r="B3349" s="2" t="s">
        <v>3375</v>
      </c>
      <c r="C3349" s="2"/>
      <c r="D3349" s="2" t="s">
        <v>11</v>
      </c>
      <c r="E3349" s="2">
        <v>10.0</v>
      </c>
      <c r="F3349" s="2" t="s">
        <v>12</v>
      </c>
      <c r="G3349" s="2"/>
      <c r="H3349" s="2"/>
      <c r="I3349" s="2"/>
    </row>
    <row r="3350">
      <c r="A3350" s="2" t="s">
        <v>3384</v>
      </c>
      <c r="B3350" s="2" t="s">
        <v>3375</v>
      </c>
      <c r="C3350" s="2"/>
      <c r="D3350" s="2" t="s">
        <v>11</v>
      </c>
      <c r="E3350" s="2">
        <v>10.0</v>
      </c>
      <c r="F3350" s="2" t="s">
        <v>12</v>
      </c>
      <c r="G3350" s="2"/>
      <c r="H3350" s="2"/>
      <c r="I3350" s="2"/>
    </row>
    <row r="3351">
      <c r="A3351" s="1" t="s">
        <v>3385</v>
      </c>
      <c r="B3351" s="2" t="s">
        <v>3375</v>
      </c>
      <c r="C3351" s="2"/>
      <c r="D3351" s="2" t="s">
        <v>11</v>
      </c>
      <c r="E3351" s="2">
        <v>10.0</v>
      </c>
      <c r="F3351" s="2" t="s">
        <v>12</v>
      </c>
      <c r="G3351" s="2"/>
      <c r="H3351" s="2"/>
      <c r="I3351" s="2"/>
    </row>
    <row r="3352">
      <c r="A3352" s="2" t="s">
        <v>3386</v>
      </c>
      <c r="B3352" s="2" t="s">
        <v>3375</v>
      </c>
      <c r="C3352" s="2"/>
      <c r="D3352" s="2" t="s">
        <v>11</v>
      </c>
      <c r="E3352" s="2">
        <v>10.0</v>
      </c>
      <c r="F3352" s="2" t="s">
        <v>12</v>
      </c>
      <c r="G3352" s="2"/>
      <c r="H3352" s="2"/>
      <c r="I3352" s="2"/>
    </row>
    <row r="3353">
      <c r="A3353" s="1" t="s">
        <v>3387</v>
      </c>
      <c r="B3353" s="2" t="s">
        <v>3375</v>
      </c>
      <c r="C3353" s="2"/>
      <c r="D3353" s="2" t="s">
        <v>37</v>
      </c>
      <c r="E3353" s="2">
        <v>10.0</v>
      </c>
      <c r="F3353" s="2" t="s">
        <v>12</v>
      </c>
      <c r="G3353" s="2"/>
      <c r="H3353" s="2"/>
      <c r="I3353" s="2"/>
    </row>
    <row r="3354">
      <c r="A3354" s="2" t="s">
        <v>3388</v>
      </c>
      <c r="B3354" s="2" t="s">
        <v>3375</v>
      </c>
      <c r="C3354" s="2"/>
      <c r="D3354" s="2" t="s">
        <v>11</v>
      </c>
      <c r="E3354" s="2">
        <v>10.0</v>
      </c>
      <c r="F3354" s="2" t="s">
        <v>12</v>
      </c>
      <c r="G3354" s="2"/>
      <c r="H3354" s="2"/>
      <c r="I3354" s="2"/>
    </row>
    <row r="3355">
      <c r="A3355" s="2" t="s">
        <v>3389</v>
      </c>
      <c r="B3355" s="2" t="s">
        <v>3375</v>
      </c>
      <c r="C3355" s="2"/>
      <c r="D3355" s="2" t="s">
        <v>11</v>
      </c>
      <c r="E3355" s="2">
        <v>10.0</v>
      </c>
      <c r="F3355" s="2" t="s">
        <v>12</v>
      </c>
      <c r="G3355" s="2"/>
      <c r="H3355" s="2"/>
      <c r="I3355" s="2"/>
    </row>
    <row r="3356">
      <c r="A3356" s="1" t="s">
        <v>3390</v>
      </c>
      <c r="B3356" s="2" t="s">
        <v>3375</v>
      </c>
      <c r="C3356" s="2"/>
      <c r="D3356" s="2" t="s">
        <v>11</v>
      </c>
      <c r="E3356" s="2">
        <v>10.0</v>
      </c>
      <c r="F3356" s="2" t="s">
        <v>12</v>
      </c>
      <c r="G3356" s="2"/>
      <c r="H3356" s="2"/>
      <c r="I3356" s="2"/>
    </row>
    <row r="3357">
      <c r="A3357" s="1" t="s">
        <v>3391</v>
      </c>
      <c r="B3357" s="2" t="s">
        <v>3375</v>
      </c>
      <c r="C3357" s="2"/>
      <c r="D3357" s="2" t="s">
        <v>11</v>
      </c>
      <c r="E3357" s="2">
        <v>10.0</v>
      </c>
      <c r="F3357" s="2" t="s">
        <v>12</v>
      </c>
      <c r="G3357" s="2"/>
      <c r="H3357" s="2"/>
      <c r="I3357" s="2"/>
    </row>
    <row r="3358">
      <c r="A3358" s="2" t="s">
        <v>3392</v>
      </c>
      <c r="B3358" s="2" t="s">
        <v>3375</v>
      </c>
      <c r="C3358" s="2"/>
      <c r="D3358" s="2" t="s">
        <v>11</v>
      </c>
      <c r="E3358" s="2">
        <v>10.0</v>
      </c>
      <c r="F3358" s="2" t="s">
        <v>12</v>
      </c>
      <c r="G3358" s="2"/>
      <c r="H3358" s="2"/>
      <c r="I3358" s="2"/>
    </row>
    <row r="3359">
      <c r="A3359" s="1" t="s">
        <v>3393</v>
      </c>
      <c r="B3359" s="2" t="s">
        <v>3375</v>
      </c>
      <c r="C3359" s="2"/>
      <c r="D3359" s="2" t="s">
        <v>11</v>
      </c>
      <c r="E3359" s="2">
        <v>10.0</v>
      </c>
      <c r="F3359" s="2" t="s">
        <v>12</v>
      </c>
      <c r="G3359" s="2"/>
      <c r="H3359" s="2"/>
      <c r="I3359" s="2"/>
    </row>
    <row r="3360">
      <c r="A3360" s="1" t="s">
        <v>3394</v>
      </c>
      <c r="B3360" s="2" t="s">
        <v>3375</v>
      </c>
      <c r="C3360" s="2"/>
      <c r="D3360" s="2" t="s">
        <v>11</v>
      </c>
      <c r="E3360" s="2">
        <v>10.0</v>
      </c>
      <c r="F3360" s="2" t="s">
        <v>12</v>
      </c>
      <c r="G3360" s="2"/>
      <c r="H3360" s="2"/>
      <c r="I3360" s="2"/>
    </row>
    <row r="3361">
      <c r="A3361" s="1" t="s">
        <v>3395</v>
      </c>
      <c r="B3361" s="2" t="s">
        <v>3375</v>
      </c>
      <c r="C3361" s="2"/>
      <c r="D3361" s="2" t="s">
        <v>11</v>
      </c>
      <c r="E3361" s="2">
        <v>10.0</v>
      </c>
      <c r="F3361" s="2" t="s">
        <v>12</v>
      </c>
      <c r="G3361" s="2"/>
      <c r="H3361" s="2"/>
      <c r="I3361" s="2"/>
    </row>
    <row r="3362">
      <c r="A3362" s="1" t="s">
        <v>3396</v>
      </c>
      <c r="B3362" s="2" t="s">
        <v>3375</v>
      </c>
      <c r="C3362" s="2"/>
      <c r="D3362" s="2" t="s">
        <v>11</v>
      </c>
      <c r="E3362" s="2">
        <v>10.0</v>
      </c>
      <c r="F3362" s="2" t="s">
        <v>12</v>
      </c>
      <c r="G3362" s="2"/>
      <c r="H3362" s="2"/>
      <c r="I3362" s="2"/>
    </row>
    <row r="3363">
      <c r="A3363" s="1" t="s">
        <v>3397</v>
      </c>
      <c r="B3363" s="2" t="s">
        <v>3375</v>
      </c>
      <c r="C3363" s="2"/>
      <c r="D3363" s="2" t="s">
        <v>11</v>
      </c>
      <c r="E3363" s="2">
        <v>10.0</v>
      </c>
      <c r="F3363" s="2" t="s">
        <v>12</v>
      </c>
      <c r="G3363" s="2"/>
      <c r="H3363" s="2"/>
      <c r="I3363" s="2"/>
    </row>
    <row r="3364">
      <c r="A3364" s="1" t="s">
        <v>3398</v>
      </c>
      <c r="B3364" s="2" t="s">
        <v>3375</v>
      </c>
      <c r="C3364" s="2"/>
      <c r="D3364" s="2" t="s">
        <v>11</v>
      </c>
      <c r="E3364" s="2">
        <v>10.0</v>
      </c>
      <c r="F3364" s="2" t="s">
        <v>12</v>
      </c>
      <c r="G3364" s="2"/>
      <c r="H3364" s="2"/>
      <c r="I3364" s="2"/>
    </row>
    <row r="3365">
      <c r="A3365" s="1" t="s">
        <v>3399</v>
      </c>
      <c r="B3365" s="2" t="s">
        <v>3375</v>
      </c>
      <c r="C3365" s="2"/>
      <c r="D3365" s="2" t="s">
        <v>11</v>
      </c>
      <c r="E3365" s="2">
        <v>10.0</v>
      </c>
      <c r="F3365" s="2" t="s">
        <v>12</v>
      </c>
      <c r="G3365" s="2"/>
      <c r="H3365" s="2"/>
      <c r="I3365" s="2"/>
    </row>
    <row r="3366">
      <c r="A3366" s="2" t="s">
        <v>3400</v>
      </c>
      <c r="B3366" s="2" t="s">
        <v>3375</v>
      </c>
      <c r="C3366" s="2"/>
      <c r="D3366" s="2" t="s">
        <v>11</v>
      </c>
      <c r="E3366" s="2">
        <v>10.0</v>
      </c>
      <c r="F3366" s="2" t="s">
        <v>12</v>
      </c>
      <c r="G3366" s="2"/>
      <c r="H3366" s="2"/>
      <c r="I3366" s="2"/>
    </row>
    <row r="3367">
      <c r="A3367" s="2" t="s">
        <v>3401</v>
      </c>
      <c r="B3367" s="2" t="s">
        <v>3375</v>
      </c>
      <c r="C3367" s="2"/>
      <c r="D3367" s="2" t="s">
        <v>11</v>
      </c>
      <c r="E3367" s="2">
        <v>10.0</v>
      </c>
      <c r="F3367" s="2" t="s">
        <v>12</v>
      </c>
      <c r="G3367" s="2"/>
      <c r="H3367" s="2"/>
      <c r="I3367" s="2"/>
    </row>
    <row r="3368">
      <c r="A3368" s="1" t="s">
        <v>3402</v>
      </c>
      <c r="B3368" s="2" t="s">
        <v>3375</v>
      </c>
      <c r="C3368" s="2"/>
      <c r="D3368" s="2" t="s">
        <v>11</v>
      </c>
      <c r="E3368" s="2">
        <v>10.0</v>
      </c>
      <c r="F3368" s="2" t="s">
        <v>12</v>
      </c>
      <c r="G3368" s="2"/>
      <c r="H3368" s="2"/>
      <c r="I3368" s="2"/>
    </row>
    <row r="3369">
      <c r="A3369" s="1" t="s">
        <v>3403</v>
      </c>
      <c r="B3369" s="2" t="s">
        <v>3375</v>
      </c>
      <c r="C3369" s="2"/>
      <c r="D3369" s="2" t="s">
        <v>11</v>
      </c>
      <c r="E3369" s="2">
        <v>10.0</v>
      </c>
      <c r="F3369" s="2" t="s">
        <v>12</v>
      </c>
      <c r="G3369" s="2"/>
      <c r="H3369" s="2"/>
      <c r="I3369" s="2"/>
    </row>
    <row r="3370">
      <c r="A3370" s="2" t="s">
        <v>3404</v>
      </c>
      <c r="B3370" s="2" t="s">
        <v>3375</v>
      </c>
      <c r="C3370" s="2"/>
      <c r="D3370" s="2" t="s">
        <v>11</v>
      </c>
      <c r="E3370" s="2">
        <v>10.0</v>
      </c>
      <c r="F3370" s="2" t="s">
        <v>12</v>
      </c>
      <c r="G3370" s="2"/>
      <c r="H3370" s="2"/>
      <c r="I3370" s="2"/>
    </row>
    <row r="3371">
      <c r="A3371" s="2" t="s">
        <v>3405</v>
      </c>
      <c r="B3371" s="2" t="s">
        <v>3375</v>
      </c>
      <c r="C3371" s="2"/>
      <c r="D3371" s="2" t="s">
        <v>11</v>
      </c>
      <c r="E3371" s="2">
        <v>10.0</v>
      </c>
      <c r="F3371" s="2" t="s">
        <v>12</v>
      </c>
      <c r="G3371" s="2"/>
      <c r="H3371" s="2"/>
      <c r="I3371" s="2"/>
    </row>
    <row r="3372">
      <c r="A3372" s="1" t="s">
        <v>3406</v>
      </c>
      <c r="B3372" s="2" t="s">
        <v>3375</v>
      </c>
      <c r="C3372" s="2"/>
      <c r="D3372" s="2" t="s">
        <v>11</v>
      </c>
      <c r="E3372" s="2">
        <v>10.0</v>
      </c>
      <c r="F3372" s="2" t="s">
        <v>12</v>
      </c>
      <c r="G3372" s="2"/>
      <c r="H3372" s="2"/>
      <c r="I3372" s="2"/>
    </row>
    <row r="3373">
      <c r="A3373" s="1" t="s">
        <v>3407</v>
      </c>
      <c r="B3373" s="2" t="s">
        <v>3375</v>
      </c>
      <c r="C3373" s="2"/>
      <c r="D3373" s="2" t="s">
        <v>11</v>
      </c>
      <c r="E3373" s="2">
        <v>10.0</v>
      </c>
      <c r="F3373" s="2" t="s">
        <v>12</v>
      </c>
      <c r="G3373" s="2"/>
      <c r="H3373" s="2"/>
      <c r="I3373" s="2"/>
    </row>
    <row r="3374">
      <c r="A3374" s="1" t="s">
        <v>3408</v>
      </c>
      <c r="B3374" s="2" t="s">
        <v>3375</v>
      </c>
      <c r="C3374" s="2"/>
      <c r="D3374" s="2" t="s">
        <v>11</v>
      </c>
      <c r="E3374" s="2">
        <v>10.0</v>
      </c>
      <c r="F3374" s="2" t="s">
        <v>12</v>
      </c>
      <c r="G3374" s="2"/>
      <c r="H3374" s="2"/>
      <c r="I3374" s="2"/>
    </row>
    <row r="3375">
      <c r="A3375" s="1" t="s">
        <v>3409</v>
      </c>
      <c r="B3375" s="2" t="s">
        <v>3375</v>
      </c>
      <c r="C3375" s="2"/>
      <c r="D3375" s="2" t="s">
        <v>11</v>
      </c>
      <c r="E3375" s="2">
        <v>10.0</v>
      </c>
      <c r="F3375" s="2" t="s">
        <v>12</v>
      </c>
      <c r="G3375" s="2"/>
      <c r="H3375" s="2"/>
      <c r="I3375" s="2"/>
    </row>
    <row r="3376">
      <c r="A3376" s="1" t="s">
        <v>3410</v>
      </c>
      <c r="B3376" s="2" t="s">
        <v>3375</v>
      </c>
      <c r="C3376" s="2"/>
      <c r="D3376" s="2" t="s">
        <v>11</v>
      </c>
      <c r="E3376" s="2">
        <v>10.0</v>
      </c>
      <c r="F3376" s="2" t="s">
        <v>12</v>
      </c>
      <c r="G3376" s="2"/>
      <c r="H3376" s="2"/>
      <c r="I3376" s="2"/>
    </row>
    <row r="3377">
      <c r="A3377" s="1" t="s">
        <v>3411</v>
      </c>
      <c r="B3377" s="2" t="s">
        <v>3375</v>
      </c>
      <c r="C3377" s="2"/>
      <c r="D3377" s="2" t="s">
        <v>11</v>
      </c>
      <c r="E3377" s="2">
        <v>10.0</v>
      </c>
      <c r="F3377" s="2" t="s">
        <v>12</v>
      </c>
      <c r="G3377" s="2"/>
      <c r="H3377" s="2"/>
      <c r="I3377" s="2"/>
    </row>
    <row r="3378">
      <c r="A3378" s="2" t="s">
        <v>3412</v>
      </c>
      <c r="B3378" s="2" t="s">
        <v>3375</v>
      </c>
      <c r="C3378" s="2"/>
      <c r="D3378" s="2" t="s">
        <v>11</v>
      </c>
      <c r="E3378" s="2">
        <v>10.0</v>
      </c>
      <c r="F3378" s="2" t="s">
        <v>12</v>
      </c>
      <c r="G3378" s="2"/>
      <c r="H3378" s="2"/>
      <c r="I3378" s="2"/>
    </row>
    <row r="3379">
      <c r="A3379" s="2" t="s">
        <v>3413</v>
      </c>
      <c r="B3379" s="2" t="s">
        <v>3375</v>
      </c>
      <c r="C3379" s="2"/>
      <c r="D3379" s="2" t="s">
        <v>11</v>
      </c>
      <c r="E3379" s="2">
        <v>10.0</v>
      </c>
      <c r="F3379" s="2" t="s">
        <v>12</v>
      </c>
      <c r="G3379" s="2"/>
      <c r="H3379" s="2"/>
      <c r="I3379" s="2"/>
    </row>
    <row r="3380">
      <c r="A3380" s="1" t="s">
        <v>3414</v>
      </c>
      <c r="B3380" s="2" t="s">
        <v>3375</v>
      </c>
      <c r="C3380" s="2"/>
      <c r="D3380" s="2" t="s">
        <v>11</v>
      </c>
      <c r="E3380" s="2">
        <v>10.0</v>
      </c>
      <c r="F3380" s="2" t="s">
        <v>12</v>
      </c>
      <c r="G3380" s="2"/>
      <c r="H3380" s="2"/>
      <c r="I3380" s="2"/>
    </row>
    <row r="3381">
      <c r="A3381" s="1" t="s">
        <v>3415</v>
      </c>
      <c r="B3381" s="2" t="s">
        <v>3375</v>
      </c>
      <c r="C3381" s="2"/>
      <c r="D3381" s="2" t="s">
        <v>11</v>
      </c>
      <c r="E3381" s="2">
        <v>10.0</v>
      </c>
      <c r="F3381" s="2" t="s">
        <v>12</v>
      </c>
      <c r="G3381" s="2"/>
      <c r="H3381" s="2"/>
      <c r="I3381" s="2"/>
    </row>
    <row r="3382">
      <c r="A3382" s="1" t="s">
        <v>3416</v>
      </c>
      <c r="B3382" s="2" t="s">
        <v>3375</v>
      </c>
      <c r="C3382" s="2"/>
      <c r="D3382" s="2" t="s">
        <v>11</v>
      </c>
      <c r="E3382" s="2">
        <v>10.0</v>
      </c>
      <c r="F3382" s="2" t="s">
        <v>12</v>
      </c>
      <c r="G3382" s="2"/>
      <c r="H3382" s="2"/>
      <c r="I3382" s="2"/>
    </row>
    <row r="3383">
      <c r="A3383" s="1" t="s">
        <v>3417</v>
      </c>
      <c r="B3383" s="2" t="s">
        <v>3375</v>
      </c>
      <c r="C3383" s="2"/>
      <c r="D3383" s="2" t="s">
        <v>11</v>
      </c>
      <c r="E3383" s="2">
        <v>10.0</v>
      </c>
      <c r="F3383" s="2" t="s">
        <v>12</v>
      </c>
      <c r="G3383" s="2"/>
      <c r="H3383" s="2"/>
      <c r="I3383" s="2"/>
    </row>
    <row r="3384">
      <c r="A3384" s="1" t="s">
        <v>3418</v>
      </c>
      <c r="B3384" s="2" t="s">
        <v>3375</v>
      </c>
      <c r="C3384" s="2"/>
      <c r="D3384" s="2" t="s">
        <v>11</v>
      </c>
      <c r="E3384" s="2">
        <v>10.0</v>
      </c>
      <c r="F3384" s="2" t="s">
        <v>12</v>
      </c>
      <c r="G3384" s="2"/>
      <c r="H3384" s="2"/>
      <c r="I3384" s="2"/>
    </row>
    <row r="3385">
      <c r="A3385" s="2" t="s">
        <v>3419</v>
      </c>
      <c r="B3385" s="2" t="s">
        <v>3375</v>
      </c>
      <c r="C3385" s="2"/>
      <c r="D3385" s="2" t="s">
        <v>11</v>
      </c>
      <c r="E3385" s="2">
        <v>10.0</v>
      </c>
      <c r="F3385" s="2" t="s">
        <v>12</v>
      </c>
      <c r="G3385" s="2"/>
      <c r="H3385" s="2"/>
      <c r="I3385" s="2"/>
    </row>
    <row r="3386">
      <c r="A3386" s="1" t="s">
        <v>3420</v>
      </c>
      <c r="B3386" s="2" t="s">
        <v>3375</v>
      </c>
      <c r="C3386" s="2"/>
      <c r="D3386" s="2" t="s">
        <v>11</v>
      </c>
      <c r="E3386" s="2">
        <v>10.0</v>
      </c>
      <c r="F3386" s="2" t="s">
        <v>12</v>
      </c>
      <c r="G3386" s="2"/>
      <c r="H3386" s="2"/>
      <c r="I3386" s="2"/>
    </row>
    <row r="3387">
      <c r="A3387" s="1" t="s">
        <v>3421</v>
      </c>
      <c r="B3387" s="2" t="s">
        <v>3375</v>
      </c>
      <c r="C3387" s="2"/>
      <c r="D3387" s="2" t="s">
        <v>11</v>
      </c>
      <c r="E3387" s="2">
        <v>10.0</v>
      </c>
      <c r="F3387" s="2" t="s">
        <v>12</v>
      </c>
      <c r="G3387" s="2"/>
      <c r="H3387" s="2"/>
      <c r="I3387" s="2"/>
    </row>
    <row r="3388">
      <c r="A3388" s="2" t="s">
        <v>3422</v>
      </c>
      <c r="B3388" s="2" t="s">
        <v>3375</v>
      </c>
      <c r="C3388" s="2"/>
      <c r="D3388" s="2" t="s">
        <v>11</v>
      </c>
      <c r="E3388" s="2">
        <v>10.0</v>
      </c>
      <c r="F3388" s="2" t="s">
        <v>12</v>
      </c>
      <c r="G3388" s="2"/>
      <c r="H3388" s="2"/>
      <c r="I3388" s="2"/>
    </row>
    <row r="3389">
      <c r="A3389" s="1" t="s">
        <v>3423</v>
      </c>
      <c r="B3389" s="2" t="s">
        <v>3375</v>
      </c>
      <c r="C3389" s="2"/>
      <c r="D3389" s="2" t="s">
        <v>11</v>
      </c>
      <c r="E3389" s="2">
        <v>10.0</v>
      </c>
      <c r="F3389" s="2" t="s">
        <v>12</v>
      </c>
      <c r="G3389" s="2"/>
      <c r="H3389" s="2"/>
      <c r="I3389" s="2"/>
    </row>
    <row r="3390">
      <c r="A3390" s="1" t="s">
        <v>3424</v>
      </c>
      <c r="B3390" s="2" t="s">
        <v>3375</v>
      </c>
      <c r="C3390" s="2"/>
      <c r="D3390" s="2" t="s">
        <v>11</v>
      </c>
      <c r="E3390" s="2">
        <v>10.0</v>
      </c>
      <c r="F3390" s="2" t="s">
        <v>12</v>
      </c>
      <c r="G3390" s="2"/>
      <c r="H3390" s="2"/>
      <c r="I3390" s="2"/>
    </row>
    <row r="3391">
      <c r="A3391" s="2" t="s">
        <v>3425</v>
      </c>
      <c r="B3391" s="2" t="s">
        <v>3426</v>
      </c>
      <c r="C3391" s="2"/>
      <c r="D3391" s="2" t="s">
        <v>11</v>
      </c>
      <c r="E3391" s="2">
        <v>15.0</v>
      </c>
      <c r="F3391" s="2" t="s">
        <v>12</v>
      </c>
      <c r="G3391" s="2"/>
      <c r="H3391" s="2"/>
      <c r="I3391" s="2"/>
    </row>
    <row r="3392">
      <c r="A3392" s="2" t="s">
        <v>3427</v>
      </c>
      <c r="B3392" s="2" t="s">
        <v>3426</v>
      </c>
      <c r="C3392" s="2"/>
      <c r="D3392" s="2" t="s">
        <v>850</v>
      </c>
      <c r="E3392" s="2">
        <v>30.0</v>
      </c>
      <c r="F3392" s="2"/>
      <c r="G3392" s="2"/>
      <c r="H3392" s="2"/>
      <c r="I3392" s="2"/>
    </row>
    <row r="3393">
      <c r="A3393" s="2" t="s">
        <v>3428</v>
      </c>
      <c r="B3393" s="2" t="s">
        <v>3429</v>
      </c>
      <c r="C3393" s="2"/>
      <c r="D3393" s="2" t="s">
        <v>11</v>
      </c>
      <c r="E3393" s="2">
        <v>10.0</v>
      </c>
      <c r="F3393" s="2" t="s">
        <v>12</v>
      </c>
      <c r="G3393" s="2"/>
      <c r="H3393" s="2"/>
      <c r="I3393" s="2"/>
    </row>
    <row r="3394">
      <c r="A3394" s="2" t="s">
        <v>3430</v>
      </c>
      <c r="B3394" s="2" t="s">
        <v>3429</v>
      </c>
      <c r="C3394" s="1"/>
      <c r="D3394" s="2"/>
      <c r="E3394" s="2"/>
      <c r="F3394" s="2"/>
      <c r="G3394" s="2"/>
      <c r="H3394" s="2"/>
      <c r="I3394" s="2"/>
    </row>
    <row r="3395">
      <c r="A3395" s="2" t="s">
        <v>3431</v>
      </c>
      <c r="B3395" s="2" t="s">
        <v>3429</v>
      </c>
      <c r="C3395" s="2"/>
      <c r="D3395" s="2" t="s">
        <v>11</v>
      </c>
      <c r="E3395" s="2">
        <v>10.0</v>
      </c>
      <c r="F3395" s="2" t="s">
        <v>12</v>
      </c>
      <c r="G3395" s="2"/>
      <c r="H3395" s="2"/>
      <c r="I3395" s="2"/>
    </row>
    <row r="3396">
      <c r="A3396" s="1" t="s">
        <v>3432</v>
      </c>
      <c r="B3396" s="2" t="s">
        <v>3429</v>
      </c>
      <c r="C3396" s="2"/>
      <c r="D3396" s="2" t="s">
        <v>11</v>
      </c>
      <c r="E3396" s="2">
        <v>10.0</v>
      </c>
      <c r="F3396" s="2" t="s">
        <v>12</v>
      </c>
      <c r="G3396" s="2"/>
      <c r="H3396" s="2"/>
      <c r="I3396" s="2"/>
    </row>
    <row r="3397">
      <c r="A3397" s="2" t="s">
        <v>3433</v>
      </c>
      <c r="B3397" s="2" t="s">
        <v>3429</v>
      </c>
      <c r="C3397" s="2"/>
      <c r="D3397" s="2" t="s">
        <v>11</v>
      </c>
      <c r="E3397" s="2">
        <v>10.0</v>
      </c>
      <c r="F3397" s="2" t="s">
        <v>12</v>
      </c>
      <c r="G3397" s="2"/>
      <c r="H3397" s="2"/>
      <c r="I3397" s="2"/>
    </row>
    <row r="3398">
      <c r="A3398" s="1" t="s">
        <v>3434</v>
      </c>
      <c r="B3398" s="2" t="s">
        <v>3429</v>
      </c>
      <c r="C3398" s="2"/>
      <c r="D3398" s="2" t="s">
        <v>11</v>
      </c>
      <c r="E3398" s="2">
        <v>10.0</v>
      </c>
      <c r="F3398" s="2" t="s">
        <v>12</v>
      </c>
      <c r="G3398" s="2"/>
      <c r="H3398" s="2"/>
      <c r="I3398" s="2"/>
    </row>
    <row r="3399">
      <c r="A3399" s="1" t="s">
        <v>3435</v>
      </c>
      <c r="B3399" s="2" t="s">
        <v>3429</v>
      </c>
      <c r="C3399" s="2"/>
      <c r="D3399" s="2" t="s">
        <v>11</v>
      </c>
      <c r="E3399" s="2">
        <v>10.0</v>
      </c>
      <c r="F3399" s="2" t="s">
        <v>12</v>
      </c>
      <c r="G3399" s="2"/>
      <c r="H3399" s="2"/>
      <c r="I3399" s="2"/>
    </row>
    <row r="3400">
      <c r="A3400" s="2" t="s">
        <v>3436</v>
      </c>
      <c r="B3400" s="2" t="s">
        <v>3429</v>
      </c>
      <c r="C3400" s="1"/>
      <c r="D3400" s="2"/>
      <c r="E3400" s="2"/>
      <c r="F3400" s="2"/>
      <c r="G3400" s="2"/>
      <c r="H3400" s="2"/>
      <c r="I3400" s="2"/>
    </row>
    <row r="3401">
      <c r="A3401" s="2" t="s">
        <v>3437</v>
      </c>
      <c r="B3401" s="2" t="s">
        <v>3429</v>
      </c>
      <c r="C3401" s="1"/>
      <c r="D3401" s="2"/>
      <c r="E3401" s="2"/>
      <c r="F3401" s="2"/>
      <c r="G3401" s="2"/>
      <c r="H3401" s="2"/>
      <c r="I3401" s="2"/>
    </row>
    <row r="3402">
      <c r="A3402" s="1" t="s">
        <v>3438</v>
      </c>
      <c r="B3402" s="2" t="s">
        <v>3439</v>
      </c>
      <c r="C3402" s="2"/>
      <c r="D3402" s="2" t="s">
        <v>11</v>
      </c>
      <c r="E3402" s="2">
        <v>10.0</v>
      </c>
      <c r="F3402" s="2" t="s">
        <v>12</v>
      </c>
      <c r="G3402" s="2"/>
      <c r="H3402" s="2"/>
      <c r="I3402" s="2"/>
    </row>
    <row r="3403">
      <c r="A3403" s="1" t="s">
        <v>3440</v>
      </c>
      <c r="B3403" s="2" t="s">
        <v>3439</v>
      </c>
      <c r="C3403" s="2"/>
      <c r="D3403" s="2" t="s">
        <v>11</v>
      </c>
      <c r="E3403" s="2">
        <v>10.0</v>
      </c>
      <c r="F3403" s="2" t="s">
        <v>12</v>
      </c>
      <c r="G3403" s="2"/>
      <c r="H3403" s="2"/>
      <c r="I3403" s="2"/>
    </row>
    <row r="3404">
      <c r="A3404" s="1" t="s">
        <v>3441</v>
      </c>
      <c r="B3404" s="2" t="s">
        <v>3439</v>
      </c>
      <c r="C3404" s="2"/>
      <c r="D3404" s="2" t="s">
        <v>11</v>
      </c>
      <c r="E3404" s="2">
        <v>10.0</v>
      </c>
      <c r="F3404" s="2" t="s">
        <v>12</v>
      </c>
      <c r="G3404" s="2"/>
      <c r="H3404" s="2"/>
      <c r="I3404" s="2"/>
    </row>
    <row r="3405">
      <c r="A3405" s="1" t="s">
        <v>3442</v>
      </c>
      <c r="B3405" s="2" t="s">
        <v>3439</v>
      </c>
      <c r="C3405" s="2"/>
      <c r="D3405" s="2" t="s">
        <v>11</v>
      </c>
      <c r="E3405" s="2">
        <v>10.0</v>
      </c>
      <c r="F3405" s="2" t="s">
        <v>12</v>
      </c>
      <c r="G3405" s="2"/>
      <c r="H3405" s="2"/>
      <c r="I3405" s="2"/>
    </row>
    <row r="3406">
      <c r="A3406" s="1" t="s">
        <v>3443</v>
      </c>
      <c r="B3406" s="2" t="s">
        <v>3439</v>
      </c>
      <c r="C3406" s="2"/>
      <c r="D3406" s="2" t="s">
        <v>11</v>
      </c>
      <c r="E3406" s="2">
        <v>10.0</v>
      </c>
      <c r="F3406" s="2" t="s">
        <v>12</v>
      </c>
      <c r="G3406" s="2"/>
      <c r="H3406" s="2"/>
      <c r="I3406" s="2"/>
    </row>
    <row r="3407">
      <c r="A3407" s="1" t="s">
        <v>3444</v>
      </c>
      <c r="B3407" s="2" t="s">
        <v>3439</v>
      </c>
      <c r="C3407" s="2"/>
      <c r="D3407" s="2" t="s">
        <v>11</v>
      </c>
      <c r="E3407" s="2">
        <v>10.0</v>
      </c>
      <c r="F3407" s="2" t="s">
        <v>12</v>
      </c>
      <c r="G3407" s="2"/>
      <c r="H3407" s="2"/>
      <c r="I3407" s="2"/>
    </row>
    <row r="3408">
      <c r="A3408" s="1" t="s">
        <v>3445</v>
      </c>
      <c r="B3408" s="2" t="s">
        <v>3439</v>
      </c>
      <c r="C3408" s="2"/>
      <c r="D3408" s="2" t="s">
        <v>11</v>
      </c>
      <c r="E3408" s="2">
        <v>10.0</v>
      </c>
      <c r="F3408" s="2" t="s">
        <v>12</v>
      </c>
      <c r="G3408" s="2"/>
      <c r="H3408" s="2"/>
      <c r="I3408" s="2"/>
    </row>
    <row r="3409">
      <c r="A3409" s="1" t="s">
        <v>3446</v>
      </c>
      <c r="B3409" s="2" t="s">
        <v>3439</v>
      </c>
      <c r="C3409" s="2"/>
      <c r="D3409" s="2" t="s">
        <v>11</v>
      </c>
      <c r="E3409" s="2">
        <v>10.0</v>
      </c>
      <c r="F3409" s="2" t="s">
        <v>12</v>
      </c>
      <c r="G3409" s="2"/>
      <c r="H3409" s="2"/>
      <c r="I3409" s="2"/>
    </row>
    <row r="3410">
      <c r="A3410" s="1" t="s">
        <v>3447</v>
      </c>
      <c r="B3410" s="2" t="s">
        <v>3439</v>
      </c>
      <c r="C3410" s="2"/>
      <c r="D3410" s="2" t="s">
        <v>11</v>
      </c>
      <c r="E3410" s="2">
        <v>10.0</v>
      </c>
      <c r="F3410" s="2" t="s">
        <v>12</v>
      </c>
      <c r="G3410" s="2"/>
      <c r="H3410" s="2"/>
      <c r="I3410" s="2"/>
    </row>
    <row r="3411">
      <c r="A3411" s="1" t="s">
        <v>3448</v>
      </c>
      <c r="B3411" s="2" t="s">
        <v>3439</v>
      </c>
      <c r="C3411" s="2"/>
      <c r="D3411" s="2" t="s">
        <v>11</v>
      </c>
      <c r="E3411" s="2">
        <v>10.0</v>
      </c>
      <c r="F3411" s="2" t="s">
        <v>12</v>
      </c>
      <c r="G3411" s="2"/>
      <c r="H3411" s="2"/>
      <c r="I3411" s="2"/>
    </row>
    <row r="3412">
      <c r="A3412" s="1" t="s">
        <v>3449</v>
      </c>
      <c r="B3412" s="2" t="s">
        <v>3439</v>
      </c>
      <c r="C3412" s="2"/>
      <c r="D3412" s="2" t="s">
        <v>11</v>
      </c>
      <c r="E3412" s="2">
        <v>10.0</v>
      </c>
      <c r="F3412" s="2" t="s">
        <v>12</v>
      </c>
      <c r="G3412" s="2"/>
      <c r="H3412" s="2"/>
      <c r="I3412" s="2"/>
    </row>
    <row r="3413">
      <c r="A3413" s="1" t="s">
        <v>3450</v>
      </c>
      <c r="B3413" s="2" t="s">
        <v>3439</v>
      </c>
      <c r="C3413" s="2"/>
      <c r="D3413" s="2" t="s">
        <v>11</v>
      </c>
      <c r="E3413" s="2">
        <v>10.0</v>
      </c>
      <c r="F3413" s="2" t="s">
        <v>12</v>
      </c>
      <c r="G3413" s="2"/>
      <c r="H3413" s="2"/>
      <c r="I3413" s="2"/>
    </row>
    <row r="3414">
      <c r="A3414" s="1" t="s">
        <v>3450</v>
      </c>
      <c r="B3414" s="2" t="s">
        <v>3439</v>
      </c>
      <c r="C3414" s="2"/>
      <c r="D3414" s="2" t="s">
        <v>11</v>
      </c>
      <c r="E3414" s="2">
        <v>15.0</v>
      </c>
      <c r="F3414" s="2" t="s">
        <v>12</v>
      </c>
      <c r="G3414" s="2"/>
      <c r="H3414" s="2"/>
      <c r="I3414" s="2"/>
    </row>
    <row r="3415">
      <c r="A3415" s="1" t="s">
        <v>3451</v>
      </c>
      <c r="B3415" s="2" t="s">
        <v>3439</v>
      </c>
      <c r="C3415" s="2"/>
      <c r="D3415" s="2" t="s">
        <v>11</v>
      </c>
      <c r="E3415" s="2">
        <v>10.0</v>
      </c>
      <c r="F3415" s="2" t="s">
        <v>12</v>
      </c>
      <c r="G3415" s="2"/>
      <c r="H3415" s="2"/>
      <c r="I3415" s="2"/>
    </row>
    <row r="3416">
      <c r="A3416" s="1" t="s">
        <v>3452</v>
      </c>
      <c r="B3416" s="2" t="s">
        <v>3439</v>
      </c>
      <c r="C3416" s="2"/>
      <c r="D3416" s="2" t="s">
        <v>11</v>
      </c>
      <c r="E3416" s="2">
        <v>10.0</v>
      </c>
      <c r="F3416" s="2" t="s">
        <v>12</v>
      </c>
      <c r="G3416" s="2"/>
      <c r="H3416" s="2"/>
      <c r="I3416" s="2"/>
    </row>
    <row r="3417">
      <c r="A3417" s="2" t="s">
        <v>3453</v>
      </c>
      <c r="B3417" s="2" t="s">
        <v>3439</v>
      </c>
      <c r="C3417" s="2"/>
      <c r="D3417" s="2" t="s">
        <v>11</v>
      </c>
      <c r="E3417" s="2">
        <v>20.0</v>
      </c>
      <c r="F3417" s="2" t="s">
        <v>12</v>
      </c>
      <c r="G3417" s="2"/>
      <c r="H3417" s="2"/>
      <c r="I3417" s="2"/>
    </row>
    <row r="3418">
      <c r="A3418" s="1" t="s">
        <v>3454</v>
      </c>
      <c r="B3418" s="2" t="s">
        <v>3439</v>
      </c>
      <c r="C3418" s="2"/>
      <c r="D3418" s="2" t="s">
        <v>11</v>
      </c>
      <c r="E3418" s="2">
        <v>10.0</v>
      </c>
      <c r="F3418" s="2" t="s">
        <v>12</v>
      </c>
      <c r="G3418" s="2"/>
      <c r="H3418" s="2"/>
      <c r="I3418" s="2"/>
    </row>
    <row r="3419">
      <c r="A3419" s="1" t="s">
        <v>3455</v>
      </c>
      <c r="B3419" s="2" t="s">
        <v>3439</v>
      </c>
      <c r="C3419" s="2"/>
      <c r="D3419" s="2" t="s">
        <v>11</v>
      </c>
      <c r="E3419" s="2">
        <v>10.0</v>
      </c>
      <c r="F3419" s="2" t="s">
        <v>12</v>
      </c>
      <c r="G3419" s="2"/>
      <c r="H3419" s="2"/>
      <c r="I3419" s="2"/>
    </row>
    <row r="3420">
      <c r="A3420" s="2" t="s">
        <v>3456</v>
      </c>
      <c r="B3420" s="2" t="s">
        <v>3439</v>
      </c>
      <c r="C3420" s="2"/>
      <c r="D3420" s="2" t="s">
        <v>11</v>
      </c>
      <c r="E3420" s="2">
        <v>10.0</v>
      </c>
      <c r="F3420" s="2" t="s">
        <v>12</v>
      </c>
      <c r="G3420" s="2"/>
      <c r="H3420" s="2"/>
      <c r="I3420" s="2"/>
    </row>
    <row r="3421">
      <c r="A3421" s="2" t="s">
        <v>3457</v>
      </c>
      <c r="B3421" s="2" t="s">
        <v>3439</v>
      </c>
      <c r="C3421" s="2"/>
      <c r="D3421" s="2" t="s">
        <v>11</v>
      </c>
      <c r="E3421" s="2">
        <v>10.0</v>
      </c>
      <c r="F3421" s="2" t="s">
        <v>12</v>
      </c>
      <c r="G3421" s="2"/>
      <c r="H3421" s="2"/>
      <c r="I3421" s="2"/>
    </row>
    <row r="3422">
      <c r="A3422" s="1" t="s">
        <v>3458</v>
      </c>
      <c r="B3422" s="2" t="s">
        <v>3439</v>
      </c>
      <c r="C3422" s="2"/>
      <c r="D3422" s="2" t="s">
        <v>11</v>
      </c>
      <c r="E3422" s="2">
        <v>10.0</v>
      </c>
      <c r="F3422" s="2" t="s">
        <v>12</v>
      </c>
      <c r="G3422" s="2"/>
      <c r="H3422" s="2"/>
      <c r="I3422" s="2"/>
    </row>
    <row r="3423">
      <c r="A3423" s="1" t="s">
        <v>3459</v>
      </c>
      <c r="B3423" s="2" t="s">
        <v>3439</v>
      </c>
      <c r="C3423" s="2"/>
      <c r="D3423" s="2" t="s">
        <v>11</v>
      </c>
      <c r="E3423" s="2">
        <v>10.0</v>
      </c>
      <c r="F3423" s="2" t="s">
        <v>12</v>
      </c>
      <c r="G3423" s="2"/>
      <c r="H3423" s="2"/>
      <c r="I3423" s="2"/>
    </row>
    <row r="3424">
      <c r="A3424" s="1" t="s">
        <v>3460</v>
      </c>
      <c r="B3424" s="2" t="s">
        <v>3439</v>
      </c>
      <c r="C3424" s="2"/>
      <c r="D3424" s="2" t="s">
        <v>11</v>
      </c>
      <c r="E3424" s="2">
        <v>10.0</v>
      </c>
      <c r="F3424" s="2" t="s">
        <v>12</v>
      </c>
      <c r="G3424" s="2"/>
      <c r="H3424" s="2"/>
      <c r="I3424" s="2"/>
    </row>
    <row r="3425">
      <c r="A3425" s="1" t="s">
        <v>3461</v>
      </c>
      <c r="B3425" s="2" t="s">
        <v>3439</v>
      </c>
      <c r="C3425" s="2"/>
      <c r="D3425" s="2" t="s">
        <v>11</v>
      </c>
      <c r="E3425" s="2">
        <v>10.0</v>
      </c>
      <c r="F3425" s="2" t="s">
        <v>12</v>
      </c>
      <c r="G3425" s="2"/>
      <c r="H3425" s="2"/>
      <c r="I3425" s="2"/>
    </row>
    <row r="3426">
      <c r="A3426" s="2" t="s">
        <v>3462</v>
      </c>
      <c r="B3426" s="2" t="s">
        <v>3439</v>
      </c>
      <c r="C3426" s="2"/>
      <c r="D3426" s="2" t="s">
        <v>11</v>
      </c>
      <c r="E3426" s="2">
        <v>10.0</v>
      </c>
      <c r="F3426" s="2" t="s">
        <v>12</v>
      </c>
      <c r="G3426" s="2"/>
      <c r="H3426" s="2"/>
      <c r="I3426" s="2"/>
    </row>
    <row r="3427">
      <c r="A3427" s="2" t="s">
        <v>3463</v>
      </c>
      <c r="B3427" s="2" t="s">
        <v>3439</v>
      </c>
      <c r="C3427" s="2"/>
      <c r="D3427" s="2" t="s">
        <v>11</v>
      </c>
      <c r="E3427" s="2">
        <v>10.0</v>
      </c>
      <c r="F3427" s="2" t="s">
        <v>12</v>
      </c>
      <c r="G3427" s="2"/>
      <c r="H3427" s="2"/>
      <c r="I3427" s="2"/>
    </row>
    <row r="3428">
      <c r="A3428" s="1" t="s">
        <v>3464</v>
      </c>
      <c r="B3428" s="2" t="s">
        <v>3439</v>
      </c>
      <c r="C3428" s="2"/>
      <c r="D3428" s="2" t="s">
        <v>11</v>
      </c>
      <c r="E3428" s="2">
        <v>10.0</v>
      </c>
      <c r="F3428" s="2" t="s">
        <v>12</v>
      </c>
      <c r="G3428" s="2"/>
      <c r="H3428" s="2"/>
      <c r="I3428" s="2"/>
    </row>
    <row r="3429">
      <c r="A3429" s="1" t="s">
        <v>3465</v>
      </c>
      <c r="B3429" s="2" t="s">
        <v>3439</v>
      </c>
      <c r="C3429" s="2"/>
      <c r="D3429" s="2" t="s">
        <v>37</v>
      </c>
      <c r="E3429" s="2">
        <v>10.0</v>
      </c>
      <c r="F3429" s="2" t="s">
        <v>12</v>
      </c>
      <c r="G3429" s="2"/>
      <c r="H3429" s="2"/>
      <c r="I3429" s="2"/>
    </row>
    <row r="3430">
      <c r="A3430" s="2" t="s">
        <v>3466</v>
      </c>
      <c r="B3430" s="2" t="s">
        <v>3439</v>
      </c>
      <c r="C3430" s="2"/>
      <c r="D3430" s="2" t="s">
        <v>37</v>
      </c>
      <c r="E3430" s="2">
        <v>10.0</v>
      </c>
      <c r="F3430" s="2" t="s">
        <v>12</v>
      </c>
      <c r="G3430" s="2"/>
      <c r="H3430" s="2"/>
      <c r="I3430" s="2"/>
    </row>
    <row r="3431">
      <c r="A3431" s="1" t="s">
        <v>3467</v>
      </c>
      <c r="B3431" s="2" t="s">
        <v>3439</v>
      </c>
      <c r="C3431" s="2"/>
      <c r="D3431" s="2" t="s">
        <v>11</v>
      </c>
      <c r="E3431" s="2">
        <v>10.0</v>
      </c>
      <c r="F3431" s="2" t="s">
        <v>12</v>
      </c>
      <c r="G3431" s="2"/>
      <c r="H3431" s="2"/>
      <c r="I3431" s="2"/>
    </row>
    <row r="3432">
      <c r="A3432" s="1" t="s">
        <v>3468</v>
      </c>
      <c r="B3432" s="2" t="s">
        <v>3439</v>
      </c>
      <c r="C3432" s="2"/>
      <c r="D3432" s="2" t="s">
        <v>11</v>
      </c>
      <c r="E3432" s="2">
        <v>10.0</v>
      </c>
      <c r="F3432" s="2" t="s">
        <v>12</v>
      </c>
      <c r="G3432" s="2"/>
      <c r="H3432" s="2"/>
      <c r="I3432" s="2"/>
    </row>
    <row r="3433">
      <c r="A3433" s="1" t="s">
        <v>3469</v>
      </c>
      <c r="B3433" s="2" t="s">
        <v>3439</v>
      </c>
      <c r="C3433" s="2"/>
      <c r="D3433" s="2" t="s">
        <v>11</v>
      </c>
      <c r="E3433" s="2">
        <v>10.0</v>
      </c>
      <c r="F3433" s="2" t="s">
        <v>12</v>
      </c>
      <c r="G3433" s="2"/>
      <c r="H3433" s="2"/>
      <c r="I3433" s="2"/>
    </row>
    <row r="3434">
      <c r="A3434" s="2" t="s">
        <v>3470</v>
      </c>
      <c r="B3434" s="2" t="s">
        <v>3439</v>
      </c>
      <c r="C3434" s="2"/>
      <c r="D3434" s="2" t="s">
        <v>11</v>
      </c>
      <c r="E3434" s="2">
        <v>10.0</v>
      </c>
      <c r="F3434" s="2" t="s">
        <v>12</v>
      </c>
      <c r="G3434" s="2"/>
      <c r="H3434" s="2"/>
      <c r="I3434" s="2"/>
    </row>
    <row r="3435">
      <c r="A3435" s="1" t="s">
        <v>3471</v>
      </c>
      <c r="B3435" s="2" t="s">
        <v>3439</v>
      </c>
      <c r="C3435" s="2"/>
      <c r="D3435" s="2" t="s">
        <v>11</v>
      </c>
      <c r="E3435" s="2">
        <v>10.0</v>
      </c>
      <c r="F3435" s="2" t="s">
        <v>12</v>
      </c>
      <c r="G3435" s="2"/>
      <c r="H3435" s="2"/>
      <c r="I3435" s="2"/>
    </row>
    <row r="3436">
      <c r="A3436" s="1" t="s">
        <v>3472</v>
      </c>
      <c r="B3436" s="2" t="s">
        <v>3439</v>
      </c>
      <c r="C3436" s="2"/>
      <c r="D3436" s="2" t="s">
        <v>11</v>
      </c>
      <c r="E3436" s="2">
        <v>10.0</v>
      </c>
      <c r="F3436" s="2" t="s">
        <v>12</v>
      </c>
      <c r="G3436" s="2"/>
      <c r="H3436" s="2"/>
      <c r="I3436" s="2"/>
    </row>
    <row r="3437">
      <c r="A3437" s="2" t="s">
        <v>3473</v>
      </c>
      <c r="B3437" s="2" t="s">
        <v>3439</v>
      </c>
      <c r="C3437" s="2"/>
      <c r="D3437" s="2" t="s">
        <v>11</v>
      </c>
      <c r="E3437" s="2">
        <v>10.0</v>
      </c>
      <c r="F3437" s="2" t="s">
        <v>12</v>
      </c>
      <c r="G3437" s="2"/>
      <c r="H3437" s="2"/>
      <c r="I3437" s="2"/>
    </row>
    <row r="3438">
      <c r="A3438" s="1" t="s">
        <v>3474</v>
      </c>
      <c r="B3438" s="2" t="s">
        <v>3439</v>
      </c>
      <c r="C3438" s="2"/>
      <c r="D3438" s="1" t="s">
        <v>11</v>
      </c>
      <c r="E3438" s="2">
        <v>4.0</v>
      </c>
      <c r="F3438" s="2" t="s">
        <v>12</v>
      </c>
      <c r="G3438" s="2"/>
      <c r="H3438" s="2"/>
      <c r="I3438" s="2"/>
    </row>
    <row r="3439">
      <c r="A3439" s="1" t="s">
        <v>3475</v>
      </c>
      <c r="B3439" s="2" t="s">
        <v>3439</v>
      </c>
      <c r="C3439" s="2"/>
      <c r="D3439" s="1" t="s">
        <v>11</v>
      </c>
      <c r="E3439" s="2">
        <v>4.0</v>
      </c>
      <c r="F3439" s="2" t="s">
        <v>12</v>
      </c>
      <c r="G3439" s="2"/>
      <c r="H3439" s="2"/>
      <c r="I3439" s="2"/>
    </row>
    <row r="3440">
      <c r="A3440" s="1" t="s">
        <v>3476</v>
      </c>
      <c r="B3440" s="2" t="s">
        <v>3439</v>
      </c>
      <c r="C3440" s="2"/>
      <c r="D3440" s="2" t="s">
        <v>11</v>
      </c>
      <c r="E3440" s="2">
        <v>10.0</v>
      </c>
      <c r="F3440" s="2" t="s">
        <v>12</v>
      </c>
      <c r="G3440" s="2"/>
      <c r="H3440" s="2"/>
      <c r="I3440" s="2"/>
    </row>
    <row r="3441">
      <c r="A3441" s="1" t="s">
        <v>3477</v>
      </c>
      <c r="B3441" s="2" t="s">
        <v>3439</v>
      </c>
      <c r="C3441" s="2"/>
      <c r="D3441" s="2" t="s">
        <v>11</v>
      </c>
      <c r="E3441" s="2">
        <v>10.0</v>
      </c>
      <c r="F3441" s="2" t="s">
        <v>12</v>
      </c>
      <c r="G3441" s="2"/>
      <c r="H3441" s="2"/>
      <c r="I3441" s="2"/>
    </row>
    <row r="3442">
      <c r="A3442" s="1" t="s">
        <v>3478</v>
      </c>
      <c r="B3442" s="2" t="s">
        <v>3439</v>
      </c>
      <c r="C3442" s="2"/>
      <c r="D3442" s="2" t="s">
        <v>11</v>
      </c>
      <c r="E3442" s="2">
        <v>10.0</v>
      </c>
      <c r="F3442" s="2" t="s">
        <v>12</v>
      </c>
      <c r="G3442" s="2"/>
      <c r="H3442" s="2"/>
      <c r="I3442" s="2"/>
    </row>
    <row r="3443">
      <c r="A3443" s="1" t="s">
        <v>3479</v>
      </c>
      <c r="B3443" s="2" t="s">
        <v>3480</v>
      </c>
      <c r="C3443" s="2"/>
      <c r="D3443" s="2" t="s">
        <v>37</v>
      </c>
      <c r="E3443" s="2">
        <v>10.0</v>
      </c>
      <c r="F3443" s="2" t="s">
        <v>12</v>
      </c>
      <c r="G3443" s="2"/>
      <c r="H3443" s="2"/>
      <c r="I3443" s="2"/>
    </row>
    <row r="3444">
      <c r="A3444" s="1" t="s">
        <v>3481</v>
      </c>
      <c r="B3444" s="2" t="s">
        <v>3480</v>
      </c>
      <c r="C3444" s="2"/>
      <c r="D3444" s="2" t="s">
        <v>37</v>
      </c>
      <c r="E3444" s="2">
        <v>10.0</v>
      </c>
      <c r="F3444" s="2" t="s">
        <v>12</v>
      </c>
      <c r="G3444" s="2"/>
      <c r="H3444" s="2"/>
      <c r="I3444" s="2"/>
    </row>
    <row r="3445">
      <c r="A3445" s="1" t="s">
        <v>3482</v>
      </c>
      <c r="B3445" s="2" t="s">
        <v>3480</v>
      </c>
      <c r="C3445" s="2"/>
      <c r="D3445" s="2" t="s">
        <v>37</v>
      </c>
      <c r="E3445" s="2">
        <v>10.0</v>
      </c>
      <c r="F3445" s="2" t="s">
        <v>12</v>
      </c>
      <c r="G3445" s="2"/>
      <c r="H3445" s="2"/>
      <c r="I3445" s="2"/>
    </row>
    <row r="3446">
      <c r="A3446" s="1" t="s">
        <v>3483</v>
      </c>
      <c r="B3446" s="2" t="s">
        <v>3480</v>
      </c>
      <c r="C3446" s="2"/>
      <c r="D3446" s="2" t="s">
        <v>11</v>
      </c>
      <c r="E3446" s="2">
        <v>10.0</v>
      </c>
      <c r="F3446" s="2" t="s">
        <v>12</v>
      </c>
      <c r="G3446" s="2"/>
      <c r="H3446" s="2"/>
      <c r="I3446" s="2"/>
    </row>
    <row r="3447">
      <c r="A3447" s="1" t="s">
        <v>3484</v>
      </c>
      <c r="B3447" s="2" t="s">
        <v>3480</v>
      </c>
      <c r="C3447" s="2"/>
      <c r="D3447" s="2" t="s">
        <v>11</v>
      </c>
      <c r="E3447" s="2">
        <v>10.0</v>
      </c>
      <c r="F3447" s="2" t="s">
        <v>12</v>
      </c>
      <c r="G3447" s="2"/>
      <c r="H3447" s="2"/>
      <c r="I3447" s="2"/>
    </row>
    <row r="3448">
      <c r="A3448" s="1" t="s">
        <v>3485</v>
      </c>
      <c r="B3448" s="2" t="s">
        <v>3480</v>
      </c>
      <c r="C3448" s="2"/>
      <c r="D3448" s="2" t="s">
        <v>11</v>
      </c>
      <c r="E3448" s="2" t="s">
        <v>3486</v>
      </c>
      <c r="F3448" s="2"/>
      <c r="G3448" s="2"/>
      <c r="H3448" s="2"/>
      <c r="I3448" s="2"/>
    </row>
    <row r="3449">
      <c r="A3449" s="1" t="s">
        <v>3487</v>
      </c>
      <c r="B3449" s="2" t="s">
        <v>3480</v>
      </c>
      <c r="C3449" s="2"/>
      <c r="D3449" s="2" t="s">
        <v>11</v>
      </c>
      <c r="E3449" s="2" t="s">
        <v>3486</v>
      </c>
      <c r="F3449" s="2"/>
      <c r="G3449" s="2"/>
      <c r="H3449" s="2"/>
      <c r="I3449" s="2"/>
    </row>
    <row r="3450">
      <c r="A3450" s="1" t="s">
        <v>3488</v>
      </c>
      <c r="B3450" s="2" t="s">
        <v>3480</v>
      </c>
      <c r="C3450" s="2"/>
      <c r="D3450" s="2" t="s">
        <v>11</v>
      </c>
      <c r="E3450" s="2">
        <v>10.0</v>
      </c>
      <c r="F3450" s="2" t="s">
        <v>12</v>
      </c>
      <c r="G3450" s="2"/>
      <c r="H3450" s="2"/>
      <c r="I3450" s="2"/>
    </row>
    <row r="3451">
      <c r="A3451" s="1" t="s">
        <v>3489</v>
      </c>
      <c r="B3451" s="2" t="s">
        <v>3480</v>
      </c>
      <c r="C3451" s="2"/>
      <c r="D3451" s="2" t="s">
        <v>11</v>
      </c>
      <c r="E3451" s="2">
        <v>10.0</v>
      </c>
      <c r="F3451" s="2" t="s">
        <v>12</v>
      </c>
      <c r="G3451" s="2"/>
      <c r="H3451" s="2"/>
      <c r="I3451" s="2"/>
    </row>
    <row r="3452">
      <c r="A3452" s="1" t="s">
        <v>3490</v>
      </c>
      <c r="B3452" s="2" t="s">
        <v>3480</v>
      </c>
      <c r="C3452" s="2"/>
      <c r="D3452" s="2" t="s">
        <v>11</v>
      </c>
      <c r="E3452" s="2">
        <v>10.0</v>
      </c>
      <c r="F3452" s="2" t="s">
        <v>12</v>
      </c>
      <c r="G3452" s="2"/>
      <c r="H3452" s="2"/>
      <c r="I3452" s="2"/>
    </row>
    <row r="3453">
      <c r="A3453" s="1" t="s">
        <v>3491</v>
      </c>
      <c r="B3453" s="2" t="s">
        <v>3480</v>
      </c>
      <c r="C3453" s="2"/>
      <c r="D3453" s="2" t="s">
        <v>11</v>
      </c>
      <c r="E3453" s="2">
        <v>10.0</v>
      </c>
      <c r="F3453" s="2" t="s">
        <v>12</v>
      </c>
      <c r="G3453" s="2"/>
      <c r="H3453" s="2"/>
      <c r="I3453" s="2"/>
    </row>
    <row r="3454">
      <c r="A3454" s="1" t="s">
        <v>3492</v>
      </c>
      <c r="B3454" s="2" t="s">
        <v>3480</v>
      </c>
      <c r="C3454" s="2"/>
      <c r="D3454" s="2" t="s">
        <v>11</v>
      </c>
      <c r="E3454" s="2">
        <v>10.0</v>
      </c>
      <c r="F3454" s="2" t="s">
        <v>12</v>
      </c>
      <c r="G3454" s="2"/>
      <c r="H3454" s="2"/>
      <c r="I3454" s="2"/>
    </row>
    <row r="3455">
      <c r="A3455" s="1" t="s">
        <v>3493</v>
      </c>
      <c r="B3455" s="2" t="s">
        <v>3480</v>
      </c>
      <c r="C3455" s="2"/>
      <c r="D3455" s="2" t="s">
        <v>11</v>
      </c>
      <c r="E3455" s="2">
        <v>10.0</v>
      </c>
      <c r="F3455" s="2" t="s">
        <v>12</v>
      </c>
      <c r="G3455" s="2"/>
      <c r="H3455" s="2"/>
      <c r="I3455" s="2"/>
    </row>
    <row r="3456">
      <c r="A3456" s="2" t="s">
        <v>3494</v>
      </c>
      <c r="B3456" s="2" t="s">
        <v>3480</v>
      </c>
      <c r="C3456" s="2"/>
      <c r="D3456" s="2" t="s">
        <v>11</v>
      </c>
      <c r="E3456" s="2">
        <v>10.0</v>
      </c>
      <c r="F3456" s="2" t="s">
        <v>12</v>
      </c>
      <c r="G3456" s="2"/>
      <c r="H3456" s="2"/>
      <c r="I3456" s="2"/>
    </row>
    <row r="3457">
      <c r="A3457" s="1" t="s">
        <v>3495</v>
      </c>
      <c r="B3457" s="2" t="s">
        <v>3480</v>
      </c>
      <c r="C3457" s="2"/>
      <c r="D3457" s="2" t="s">
        <v>11</v>
      </c>
      <c r="E3457" s="2">
        <v>10.0</v>
      </c>
      <c r="F3457" s="2" t="s">
        <v>12</v>
      </c>
      <c r="G3457" s="2"/>
      <c r="H3457" s="2"/>
      <c r="I3457" s="2"/>
    </row>
    <row r="3458">
      <c r="A3458" s="1" t="s">
        <v>3496</v>
      </c>
      <c r="B3458" s="2" t="s">
        <v>3480</v>
      </c>
      <c r="C3458" s="2"/>
      <c r="D3458" s="2" t="s">
        <v>11</v>
      </c>
      <c r="E3458" s="2">
        <v>10.0</v>
      </c>
      <c r="F3458" s="2" t="s">
        <v>12</v>
      </c>
      <c r="G3458" s="2"/>
      <c r="H3458" s="2"/>
      <c r="I3458" s="2"/>
    </row>
    <row r="3459">
      <c r="A3459" s="1" t="s">
        <v>3497</v>
      </c>
      <c r="B3459" s="2" t="s">
        <v>3480</v>
      </c>
      <c r="C3459" s="2"/>
      <c r="D3459" s="2" t="s">
        <v>11</v>
      </c>
      <c r="E3459" s="2">
        <v>10.0</v>
      </c>
      <c r="F3459" s="2" t="s">
        <v>12</v>
      </c>
      <c r="G3459" s="2"/>
      <c r="H3459" s="2"/>
      <c r="I3459" s="2"/>
    </row>
    <row r="3460">
      <c r="A3460" s="1" t="s">
        <v>3498</v>
      </c>
      <c r="B3460" s="2" t="s">
        <v>3480</v>
      </c>
      <c r="C3460" s="2"/>
      <c r="D3460" s="2" t="s">
        <v>11</v>
      </c>
      <c r="E3460" s="2">
        <v>10.0</v>
      </c>
      <c r="F3460" s="2" t="s">
        <v>12</v>
      </c>
      <c r="G3460" s="2"/>
      <c r="H3460" s="2"/>
      <c r="I3460" s="2"/>
    </row>
    <row r="3461">
      <c r="A3461" s="1" t="s">
        <v>3499</v>
      </c>
      <c r="B3461" s="2" t="s">
        <v>3480</v>
      </c>
      <c r="C3461" s="2"/>
      <c r="D3461" s="2" t="s">
        <v>11</v>
      </c>
      <c r="E3461" s="2">
        <v>10.0</v>
      </c>
      <c r="F3461" s="2" t="s">
        <v>12</v>
      </c>
      <c r="G3461" s="2"/>
      <c r="H3461" s="2"/>
      <c r="I3461" s="2"/>
    </row>
    <row r="3462">
      <c r="A3462" s="1" t="s">
        <v>3500</v>
      </c>
      <c r="B3462" s="2" t="s">
        <v>3480</v>
      </c>
      <c r="C3462" s="2"/>
      <c r="D3462" s="2" t="s">
        <v>11</v>
      </c>
      <c r="E3462" s="2">
        <v>10.0</v>
      </c>
      <c r="F3462" s="2" t="s">
        <v>12</v>
      </c>
      <c r="G3462" s="2"/>
      <c r="H3462" s="2"/>
      <c r="I3462" s="2"/>
    </row>
    <row r="3463">
      <c r="A3463" s="1" t="s">
        <v>3501</v>
      </c>
      <c r="B3463" s="2" t="s">
        <v>3480</v>
      </c>
      <c r="C3463" s="2"/>
      <c r="D3463" s="2" t="s">
        <v>11</v>
      </c>
      <c r="E3463" s="2">
        <v>14.0</v>
      </c>
      <c r="F3463" s="2" t="s">
        <v>12</v>
      </c>
      <c r="G3463" s="2"/>
      <c r="H3463" s="2"/>
      <c r="I3463" s="2"/>
    </row>
    <row r="3464">
      <c r="A3464" s="1" t="s">
        <v>3502</v>
      </c>
      <c r="B3464" s="2" t="s">
        <v>3503</v>
      </c>
      <c r="C3464" s="2"/>
      <c r="D3464" s="1" t="s">
        <v>11</v>
      </c>
      <c r="E3464" s="2">
        <v>4.0</v>
      </c>
      <c r="F3464" s="2" t="s">
        <v>12</v>
      </c>
      <c r="G3464" s="2"/>
      <c r="H3464" s="2"/>
      <c r="I3464" s="2"/>
    </row>
    <row r="3465">
      <c r="A3465" s="1" t="s">
        <v>3504</v>
      </c>
      <c r="B3465" s="2" t="s">
        <v>3503</v>
      </c>
      <c r="C3465" s="2"/>
      <c r="D3465" s="1" t="s">
        <v>11</v>
      </c>
      <c r="E3465" s="2">
        <v>4.0</v>
      </c>
      <c r="F3465" s="2" t="s">
        <v>12</v>
      </c>
      <c r="G3465" s="2"/>
      <c r="H3465" s="2"/>
      <c r="I3465" s="2"/>
    </row>
    <row r="3466">
      <c r="A3466" s="1" t="s">
        <v>3505</v>
      </c>
      <c r="B3466" s="2" t="s">
        <v>3503</v>
      </c>
      <c r="C3466" s="2"/>
      <c r="D3466" s="2" t="s">
        <v>11</v>
      </c>
      <c r="E3466" s="2">
        <v>10.0</v>
      </c>
      <c r="F3466" s="2" t="s">
        <v>12</v>
      </c>
      <c r="G3466" s="2"/>
      <c r="H3466" s="2"/>
      <c r="I3466" s="2"/>
    </row>
    <row r="3467">
      <c r="A3467" s="1" t="s">
        <v>3506</v>
      </c>
      <c r="B3467" s="2" t="s">
        <v>3503</v>
      </c>
      <c r="C3467" s="2"/>
      <c r="D3467" s="2" t="s">
        <v>11</v>
      </c>
      <c r="E3467" s="2">
        <v>10.0</v>
      </c>
      <c r="F3467" s="2" t="s">
        <v>12</v>
      </c>
      <c r="G3467" s="2"/>
      <c r="H3467" s="2"/>
      <c r="I3467" s="2"/>
    </row>
    <row r="3468">
      <c r="A3468" s="1" t="s">
        <v>3507</v>
      </c>
      <c r="B3468" s="2" t="s">
        <v>3503</v>
      </c>
      <c r="C3468" s="2"/>
      <c r="D3468" s="2" t="s">
        <v>11</v>
      </c>
      <c r="E3468" s="2">
        <v>10.0</v>
      </c>
      <c r="F3468" s="2" t="s">
        <v>12</v>
      </c>
      <c r="G3468" s="2"/>
      <c r="H3468" s="2"/>
      <c r="I3468" s="2"/>
    </row>
    <row r="3469">
      <c r="A3469" s="2" t="s">
        <v>3508</v>
      </c>
      <c r="B3469" s="2" t="s">
        <v>3503</v>
      </c>
      <c r="C3469" s="2"/>
      <c r="D3469" s="2" t="s">
        <v>11</v>
      </c>
      <c r="E3469" s="2">
        <v>10.0</v>
      </c>
      <c r="F3469" s="2" t="s">
        <v>12</v>
      </c>
      <c r="G3469" s="2"/>
      <c r="H3469" s="2"/>
      <c r="I3469" s="2"/>
    </row>
    <row r="3470">
      <c r="A3470" s="1" t="s">
        <v>3509</v>
      </c>
      <c r="B3470" s="2" t="s">
        <v>3503</v>
      </c>
      <c r="C3470" s="2"/>
      <c r="D3470" s="2" t="s">
        <v>11</v>
      </c>
      <c r="E3470" s="2">
        <v>10.0</v>
      </c>
      <c r="F3470" s="2" t="s">
        <v>12</v>
      </c>
      <c r="G3470" s="2"/>
      <c r="H3470" s="2"/>
      <c r="I3470" s="2"/>
    </row>
    <row r="3471">
      <c r="A3471" s="1" t="s">
        <v>3510</v>
      </c>
      <c r="B3471" s="2" t="s">
        <v>3503</v>
      </c>
      <c r="C3471" s="2"/>
      <c r="D3471" s="2" t="s">
        <v>11</v>
      </c>
      <c r="E3471" s="2">
        <v>10.0</v>
      </c>
      <c r="F3471" s="2" t="s">
        <v>12</v>
      </c>
      <c r="G3471" s="2"/>
      <c r="H3471" s="2"/>
      <c r="I3471" s="2"/>
    </row>
    <row r="3472">
      <c r="A3472" s="1" t="s">
        <v>3511</v>
      </c>
      <c r="B3472" s="2" t="s">
        <v>3503</v>
      </c>
      <c r="C3472" s="2"/>
      <c r="D3472" s="2" t="s">
        <v>11</v>
      </c>
      <c r="E3472" s="2">
        <v>10.0</v>
      </c>
      <c r="F3472" s="2" t="s">
        <v>12</v>
      </c>
      <c r="G3472" s="2"/>
      <c r="H3472" s="2"/>
      <c r="I3472" s="2"/>
    </row>
    <row r="3473">
      <c r="A3473" s="1" t="s">
        <v>3512</v>
      </c>
      <c r="B3473" s="2" t="s">
        <v>3503</v>
      </c>
      <c r="C3473" s="2"/>
      <c r="D3473" s="2" t="s">
        <v>11</v>
      </c>
      <c r="E3473" s="2">
        <v>10.0</v>
      </c>
      <c r="F3473" s="2" t="s">
        <v>12</v>
      </c>
      <c r="G3473" s="2"/>
      <c r="H3473" s="2"/>
      <c r="I3473" s="2"/>
    </row>
    <row r="3474">
      <c r="A3474" s="1" t="s">
        <v>3513</v>
      </c>
      <c r="B3474" s="2" t="s">
        <v>3503</v>
      </c>
      <c r="C3474" s="2"/>
      <c r="D3474" s="2" t="s">
        <v>11</v>
      </c>
      <c r="E3474" s="2">
        <v>10.0</v>
      </c>
      <c r="F3474" s="2" t="s">
        <v>12</v>
      </c>
      <c r="G3474" s="2"/>
      <c r="H3474" s="2"/>
      <c r="I3474" s="2"/>
    </row>
    <row r="3475">
      <c r="A3475" s="1" t="s">
        <v>3514</v>
      </c>
      <c r="B3475" s="2" t="s">
        <v>3503</v>
      </c>
      <c r="C3475" s="2"/>
      <c r="D3475" s="2" t="s">
        <v>11</v>
      </c>
      <c r="E3475" s="2">
        <v>10.0</v>
      </c>
      <c r="F3475" s="2" t="s">
        <v>12</v>
      </c>
      <c r="G3475" s="2"/>
      <c r="H3475" s="2"/>
      <c r="I3475" s="2"/>
    </row>
    <row r="3476">
      <c r="A3476" s="1" t="s">
        <v>3515</v>
      </c>
      <c r="B3476" s="2" t="s">
        <v>3503</v>
      </c>
      <c r="C3476" s="2"/>
      <c r="D3476" s="2" t="s">
        <v>11</v>
      </c>
      <c r="E3476" s="2">
        <v>10.0</v>
      </c>
      <c r="F3476" s="2" t="s">
        <v>12</v>
      </c>
      <c r="G3476" s="2"/>
      <c r="H3476" s="2"/>
      <c r="I3476" s="2"/>
    </row>
    <row r="3477">
      <c r="A3477" s="1" t="s">
        <v>3516</v>
      </c>
      <c r="B3477" s="2" t="s">
        <v>3503</v>
      </c>
      <c r="C3477" s="2"/>
      <c r="D3477" s="2" t="s">
        <v>11</v>
      </c>
      <c r="E3477" s="2">
        <v>10.0</v>
      </c>
      <c r="F3477" s="2" t="s">
        <v>12</v>
      </c>
      <c r="G3477" s="2"/>
      <c r="H3477" s="2"/>
      <c r="I3477" s="2"/>
    </row>
    <row r="3478">
      <c r="A3478" s="1" t="s">
        <v>3517</v>
      </c>
      <c r="B3478" s="2" t="s">
        <v>3503</v>
      </c>
      <c r="C3478" s="2"/>
      <c r="D3478" s="2" t="s">
        <v>11</v>
      </c>
      <c r="E3478" s="2">
        <v>10.0</v>
      </c>
      <c r="F3478" s="2" t="s">
        <v>12</v>
      </c>
      <c r="G3478" s="2"/>
      <c r="H3478" s="2"/>
      <c r="I3478" s="2"/>
    </row>
    <row r="3479">
      <c r="A3479" s="2" t="s">
        <v>3518</v>
      </c>
      <c r="B3479" s="2" t="s">
        <v>3503</v>
      </c>
      <c r="C3479" s="2"/>
      <c r="D3479" s="2" t="s">
        <v>11</v>
      </c>
      <c r="E3479" s="2">
        <v>10.0</v>
      </c>
      <c r="F3479" s="2" t="s">
        <v>12</v>
      </c>
      <c r="G3479" s="2"/>
      <c r="H3479" s="2"/>
      <c r="I3479" s="2"/>
    </row>
    <row r="3480">
      <c r="A3480" s="2" t="s">
        <v>3519</v>
      </c>
      <c r="B3480" s="2" t="s">
        <v>3503</v>
      </c>
      <c r="C3480" s="2"/>
      <c r="D3480" s="2" t="s">
        <v>11</v>
      </c>
      <c r="E3480" s="2">
        <v>10.0</v>
      </c>
      <c r="F3480" s="2" t="s">
        <v>12</v>
      </c>
      <c r="G3480" s="2"/>
      <c r="H3480" s="2"/>
      <c r="I3480" s="2"/>
    </row>
    <row r="3481">
      <c r="A3481" s="2" t="s">
        <v>3520</v>
      </c>
      <c r="B3481" s="2" t="s">
        <v>3503</v>
      </c>
      <c r="C3481" s="2"/>
      <c r="D3481" s="2" t="s">
        <v>11</v>
      </c>
      <c r="E3481" s="2">
        <v>10.0</v>
      </c>
      <c r="F3481" s="2" t="s">
        <v>12</v>
      </c>
      <c r="G3481" s="2"/>
      <c r="H3481" s="2"/>
      <c r="I3481" s="2"/>
    </row>
    <row r="3482">
      <c r="A3482" s="1" t="s">
        <v>3521</v>
      </c>
      <c r="B3482" s="2" t="s">
        <v>3503</v>
      </c>
      <c r="C3482" s="2"/>
      <c r="D3482" s="2" t="s">
        <v>11</v>
      </c>
      <c r="E3482" s="2">
        <v>10.0</v>
      </c>
      <c r="F3482" s="2" t="s">
        <v>12</v>
      </c>
      <c r="G3482" s="2"/>
      <c r="H3482" s="2"/>
      <c r="I3482" s="2"/>
    </row>
    <row r="3483">
      <c r="A3483" s="1" t="s">
        <v>3522</v>
      </c>
      <c r="B3483" s="2" t="s">
        <v>3503</v>
      </c>
      <c r="C3483" s="2"/>
      <c r="D3483" s="2" t="s">
        <v>11</v>
      </c>
      <c r="E3483" s="2">
        <v>10.0</v>
      </c>
      <c r="F3483" s="2" t="s">
        <v>12</v>
      </c>
      <c r="G3483" s="2"/>
      <c r="H3483" s="2"/>
      <c r="I3483" s="2"/>
    </row>
    <row r="3484">
      <c r="A3484" s="2" t="s">
        <v>3523</v>
      </c>
      <c r="B3484" s="2" t="s">
        <v>3503</v>
      </c>
      <c r="C3484" s="1"/>
      <c r="D3484" s="2"/>
      <c r="E3484" s="2"/>
      <c r="F3484" s="2"/>
      <c r="G3484" s="2"/>
      <c r="H3484" s="2"/>
      <c r="I3484" s="2"/>
    </row>
    <row r="3485">
      <c r="A3485" s="1" t="s">
        <v>3524</v>
      </c>
      <c r="B3485" s="2" t="s">
        <v>3503</v>
      </c>
      <c r="C3485" s="2"/>
      <c r="D3485" s="2" t="s">
        <v>11</v>
      </c>
      <c r="E3485" s="2">
        <v>10.0</v>
      </c>
      <c r="F3485" s="2" t="s">
        <v>12</v>
      </c>
      <c r="G3485" s="2"/>
      <c r="H3485" s="2"/>
      <c r="I3485" s="2"/>
    </row>
    <row r="3486">
      <c r="A3486" s="1" t="s">
        <v>3525</v>
      </c>
      <c r="B3486" s="2" t="s">
        <v>3503</v>
      </c>
      <c r="C3486" s="2"/>
      <c r="D3486" s="2" t="s">
        <v>11</v>
      </c>
      <c r="E3486" s="2">
        <v>10.0</v>
      </c>
      <c r="F3486" s="2" t="s">
        <v>12</v>
      </c>
      <c r="G3486" s="2"/>
      <c r="H3486" s="2"/>
      <c r="I3486" s="2"/>
    </row>
    <row r="3487">
      <c r="A3487" s="1" t="s">
        <v>3526</v>
      </c>
      <c r="B3487" s="2" t="s">
        <v>3503</v>
      </c>
      <c r="C3487" s="2"/>
      <c r="D3487" s="2" t="s">
        <v>11</v>
      </c>
      <c r="E3487" s="2">
        <v>14.0</v>
      </c>
      <c r="F3487" s="2" t="s">
        <v>12</v>
      </c>
      <c r="G3487" s="2"/>
      <c r="H3487" s="2"/>
      <c r="I3487" s="2"/>
    </row>
    <row r="3488">
      <c r="A3488" s="1" t="s">
        <v>3527</v>
      </c>
      <c r="B3488" s="2" t="s">
        <v>3503</v>
      </c>
      <c r="C3488" s="2"/>
      <c r="D3488" s="2" t="s">
        <v>11</v>
      </c>
      <c r="E3488" s="2">
        <v>10.0</v>
      </c>
      <c r="F3488" s="2" t="s">
        <v>12</v>
      </c>
      <c r="G3488" s="2"/>
      <c r="H3488" s="2"/>
      <c r="I3488" s="2"/>
    </row>
    <row r="3489">
      <c r="A3489" s="1" t="s">
        <v>3528</v>
      </c>
      <c r="B3489" s="2" t="s">
        <v>3503</v>
      </c>
      <c r="C3489" s="2"/>
      <c r="D3489" s="2" t="s">
        <v>11</v>
      </c>
      <c r="E3489" s="2">
        <v>10.0</v>
      </c>
      <c r="F3489" s="2" t="s">
        <v>12</v>
      </c>
      <c r="G3489" s="2"/>
      <c r="H3489" s="2"/>
      <c r="I3489" s="2"/>
    </row>
    <row r="3490">
      <c r="A3490" s="1" t="s">
        <v>3529</v>
      </c>
      <c r="B3490" s="2" t="s">
        <v>3503</v>
      </c>
      <c r="C3490" s="2"/>
      <c r="D3490" s="2" t="s">
        <v>11</v>
      </c>
      <c r="E3490" s="2">
        <v>10.0</v>
      </c>
      <c r="F3490" s="2" t="s">
        <v>12</v>
      </c>
      <c r="G3490" s="2"/>
      <c r="H3490" s="2"/>
      <c r="I3490" s="2"/>
    </row>
    <row r="3491">
      <c r="A3491" s="1" t="s">
        <v>3530</v>
      </c>
      <c r="B3491" s="2" t="s">
        <v>3503</v>
      </c>
      <c r="C3491" s="2"/>
      <c r="D3491" s="2" t="s">
        <v>11</v>
      </c>
      <c r="E3491" s="2">
        <v>10.0</v>
      </c>
      <c r="F3491" s="2" t="s">
        <v>12</v>
      </c>
      <c r="G3491" s="2"/>
      <c r="H3491" s="2"/>
      <c r="I3491" s="2"/>
    </row>
    <row r="3492">
      <c r="A3492" s="1" t="s">
        <v>3531</v>
      </c>
      <c r="B3492" s="2" t="s">
        <v>3503</v>
      </c>
      <c r="C3492" s="2"/>
      <c r="D3492" s="2" t="s">
        <v>11</v>
      </c>
      <c r="E3492" s="2">
        <v>10.0</v>
      </c>
      <c r="F3492" s="2" t="s">
        <v>12</v>
      </c>
      <c r="G3492" s="2"/>
      <c r="H3492" s="2"/>
      <c r="I3492" s="2"/>
    </row>
    <row r="3493">
      <c r="A3493" s="1" t="s">
        <v>3532</v>
      </c>
      <c r="B3493" s="2" t="s">
        <v>3503</v>
      </c>
      <c r="C3493" s="2"/>
      <c r="D3493" s="2" t="s">
        <v>11</v>
      </c>
      <c r="E3493" s="2">
        <v>10.0</v>
      </c>
      <c r="F3493" s="2" t="s">
        <v>12</v>
      </c>
      <c r="G3493" s="2"/>
      <c r="H3493" s="2"/>
      <c r="I3493" s="2"/>
    </row>
    <row r="3494">
      <c r="A3494" s="1" t="s">
        <v>3533</v>
      </c>
      <c r="B3494" s="2" t="s">
        <v>3503</v>
      </c>
      <c r="C3494" s="2"/>
      <c r="D3494" s="2" t="s">
        <v>11</v>
      </c>
      <c r="E3494" s="2">
        <v>10.0</v>
      </c>
      <c r="F3494" s="2" t="s">
        <v>12</v>
      </c>
      <c r="G3494" s="2"/>
      <c r="H3494" s="2"/>
      <c r="I3494" s="2"/>
    </row>
    <row r="3495">
      <c r="A3495" s="1" t="s">
        <v>3534</v>
      </c>
      <c r="B3495" s="2" t="s">
        <v>3503</v>
      </c>
      <c r="C3495" s="2"/>
      <c r="D3495" s="2" t="s">
        <v>11</v>
      </c>
      <c r="E3495" s="2">
        <v>10.0</v>
      </c>
      <c r="F3495" s="2" t="s">
        <v>12</v>
      </c>
      <c r="G3495" s="2"/>
      <c r="H3495" s="2"/>
      <c r="I3495" s="2"/>
    </row>
    <row r="3496">
      <c r="A3496" s="1" t="s">
        <v>3535</v>
      </c>
      <c r="B3496" s="2" t="s">
        <v>3503</v>
      </c>
      <c r="C3496" s="2"/>
      <c r="D3496" s="2" t="s">
        <v>11</v>
      </c>
      <c r="E3496" s="2">
        <v>10.0</v>
      </c>
      <c r="F3496" s="2" t="s">
        <v>12</v>
      </c>
      <c r="G3496" s="2"/>
      <c r="H3496" s="2"/>
      <c r="I3496" s="2"/>
    </row>
    <row r="3497">
      <c r="A3497" s="1" t="s">
        <v>3536</v>
      </c>
      <c r="B3497" s="2" t="s">
        <v>3503</v>
      </c>
      <c r="C3497" s="2"/>
      <c r="D3497" s="2" t="s">
        <v>11</v>
      </c>
      <c r="E3497" s="2">
        <v>10.0</v>
      </c>
      <c r="F3497" s="2" t="s">
        <v>12</v>
      </c>
      <c r="G3497" s="2"/>
      <c r="H3497" s="2"/>
      <c r="I3497" s="2"/>
    </row>
    <row r="3498">
      <c r="A3498" s="1" t="s">
        <v>3537</v>
      </c>
      <c r="B3498" s="2" t="s">
        <v>3503</v>
      </c>
      <c r="C3498" s="2"/>
      <c r="D3498" s="2" t="s">
        <v>11</v>
      </c>
      <c r="E3498" s="2">
        <v>10.0</v>
      </c>
      <c r="F3498" s="2" t="s">
        <v>12</v>
      </c>
      <c r="G3498" s="2"/>
      <c r="H3498" s="2"/>
      <c r="I3498" s="2"/>
    </row>
    <row r="3499">
      <c r="A3499" s="1" t="s">
        <v>3538</v>
      </c>
      <c r="B3499" s="2" t="s">
        <v>3503</v>
      </c>
      <c r="C3499" s="2"/>
      <c r="D3499" s="2" t="s">
        <v>11</v>
      </c>
      <c r="E3499" s="2">
        <v>10.0</v>
      </c>
      <c r="F3499" s="2" t="s">
        <v>12</v>
      </c>
      <c r="G3499" s="2"/>
      <c r="H3499" s="2"/>
      <c r="I3499" s="2"/>
    </row>
    <row r="3500">
      <c r="A3500" s="1" t="s">
        <v>3539</v>
      </c>
      <c r="B3500" s="2" t="s">
        <v>3503</v>
      </c>
      <c r="C3500" s="2"/>
      <c r="D3500" s="2" t="s">
        <v>11</v>
      </c>
      <c r="E3500" s="2">
        <v>10.0</v>
      </c>
      <c r="F3500" s="2" t="s">
        <v>12</v>
      </c>
      <c r="G3500" s="2"/>
      <c r="H3500" s="2"/>
      <c r="I3500" s="2"/>
    </row>
    <row r="3501">
      <c r="A3501" s="1" t="s">
        <v>3540</v>
      </c>
      <c r="B3501" s="2" t="s">
        <v>3503</v>
      </c>
      <c r="C3501" s="2"/>
      <c r="D3501" s="2" t="s">
        <v>11</v>
      </c>
      <c r="E3501" s="2">
        <v>10.0</v>
      </c>
      <c r="F3501" s="2" t="s">
        <v>12</v>
      </c>
      <c r="G3501" s="2"/>
      <c r="H3501" s="2"/>
      <c r="I3501" s="2"/>
    </row>
    <row r="3502">
      <c r="A3502" s="1" t="s">
        <v>3541</v>
      </c>
      <c r="B3502" s="2" t="s">
        <v>3503</v>
      </c>
      <c r="C3502" s="2"/>
      <c r="D3502" s="2" t="s">
        <v>11</v>
      </c>
      <c r="E3502" s="2">
        <v>10.0</v>
      </c>
      <c r="F3502" s="2" t="s">
        <v>12</v>
      </c>
      <c r="G3502" s="2"/>
      <c r="H3502" s="2"/>
      <c r="I3502" s="2"/>
    </row>
    <row r="3503">
      <c r="A3503" s="1" t="s">
        <v>3542</v>
      </c>
      <c r="B3503" s="2" t="s">
        <v>3503</v>
      </c>
      <c r="C3503" s="2"/>
      <c r="D3503" s="2" t="s">
        <v>11</v>
      </c>
      <c r="E3503" s="2">
        <v>15.0</v>
      </c>
      <c r="F3503" s="2" t="s">
        <v>12</v>
      </c>
      <c r="G3503" s="2"/>
      <c r="H3503" s="2"/>
      <c r="I3503" s="2"/>
    </row>
    <row r="3504">
      <c r="A3504" s="1" t="s">
        <v>3543</v>
      </c>
      <c r="B3504" s="2" t="s">
        <v>3503</v>
      </c>
      <c r="C3504" s="2"/>
      <c r="D3504" s="2" t="s">
        <v>11</v>
      </c>
      <c r="E3504" s="2">
        <v>15.0</v>
      </c>
      <c r="F3504" s="2" t="s">
        <v>12</v>
      </c>
      <c r="G3504" s="2"/>
      <c r="H3504" s="2"/>
      <c r="I3504" s="2"/>
    </row>
    <row r="3505">
      <c r="A3505" s="1" t="s">
        <v>3544</v>
      </c>
      <c r="B3505" s="2" t="s">
        <v>3503</v>
      </c>
      <c r="C3505" s="2"/>
      <c r="D3505" s="2" t="s">
        <v>11</v>
      </c>
      <c r="E3505" s="2">
        <v>15.0</v>
      </c>
      <c r="F3505" s="2" t="s">
        <v>12</v>
      </c>
      <c r="G3505" s="2"/>
      <c r="H3505" s="2"/>
      <c r="I3505" s="2"/>
    </row>
    <row r="3506">
      <c r="A3506" s="2" t="s">
        <v>3545</v>
      </c>
      <c r="B3506" s="2" t="s">
        <v>3503</v>
      </c>
      <c r="C3506" s="2"/>
      <c r="D3506" s="2" t="s">
        <v>11</v>
      </c>
      <c r="E3506" s="2">
        <v>10.0</v>
      </c>
      <c r="F3506" s="2" t="s">
        <v>12</v>
      </c>
      <c r="G3506" s="2"/>
      <c r="H3506" s="2"/>
      <c r="I3506" s="2"/>
    </row>
    <row r="3507">
      <c r="A3507" s="2" t="s">
        <v>3546</v>
      </c>
      <c r="B3507" s="2" t="s">
        <v>3503</v>
      </c>
      <c r="C3507" s="2"/>
      <c r="D3507" s="2" t="s">
        <v>11</v>
      </c>
      <c r="E3507" s="2">
        <v>10.0</v>
      </c>
      <c r="F3507" s="2" t="s">
        <v>12</v>
      </c>
      <c r="G3507" s="2"/>
      <c r="H3507" s="2"/>
      <c r="I3507" s="2"/>
    </row>
    <row r="3508">
      <c r="A3508" s="2" t="s">
        <v>3547</v>
      </c>
      <c r="B3508" s="2" t="s">
        <v>3503</v>
      </c>
      <c r="C3508" s="2"/>
      <c r="D3508" s="2" t="s">
        <v>11</v>
      </c>
      <c r="E3508" s="2">
        <v>10.0</v>
      </c>
      <c r="F3508" s="2" t="s">
        <v>12</v>
      </c>
      <c r="G3508" s="2"/>
      <c r="H3508" s="2"/>
      <c r="I3508" s="2"/>
    </row>
    <row r="3509">
      <c r="A3509" s="1" t="s">
        <v>3548</v>
      </c>
      <c r="B3509" s="2" t="s">
        <v>3503</v>
      </c>
      <c r="C3509" s="2"/>
      <c r="D3509" s="2" t="s">
        <v>11</v>
      </c>
      <c r="E3509" s="2">
        <v>10.0</v>
      </c>
      <c r="F3509" s="2" t="s">
        <v>12</v>
      </c>
      <c r="G3509" s="2"/>
      <c r="H3509" s="2"/>
      <c r="I3509" s="2"/>
    </row>
    <row r="3510">
      <c r="A3510" s="1" t="s">
        <v>3549</v>
      </c>
      <c r="B3510" s="2" t="s">
        <v>3503</v>
      </c>
      <c r="C3510" s="2"/>
      <c r="D3510" s="1" t="s">
        <v>11</v>
      </c>
      <c r="E3510" s="2">
        <v>4.0</v>
      </c>
      <c r="F3510" s="2" t="s">
        <v>12</v>
      </c>
      <c r="G3510" s="2"/>
      <c r="H3510" s="2"/>
      <c r="I3510" s="2"/>
    </row>
    <row r="3511">
      <c r="A3511" s="1" t="s">
        <v>3550</v>
      </c>
      <c r="B3511" s="2" t="s">
        <v>3503</v>
      </c>
      <c r="C3511" s="2"/>
      <c r="D3511" s="1" t="s">
        <v>11</v>
      </c>
      <c r="E3511" s="2">
        <v>4.0</v>
      </c>
      <c r="F3511" s="2" t="s">
        <v>12</v>
      </c>
      <c r="G3511" s="2"/>
      <c r="H3511" s="2"/>
      <c r="I3511" s="2"/>
    </row>
    <row r="3512">
      <c r="A3512" s="1" t="s">
        <v>3551</v>
      </c>
      <c r="B3512" s="2" t="s">
        <v>3503</v>
      </c>
      <c r="C3512" s="2"/>
      <c r="D3512" s="2" t="s">
        <v>11</v>
      </c>
      <c r="E3512" s="2">
        <v>10.0</v>
      </c>
      <c r="F3512" s="2" t="s">
        <v>12</v>
      </c>
      <c r="G3512" s="2"/>
      <c r="H3512" s="2"/>
      <c r="I3512" s="2"/>
    </row>
    <row r="3513">
      <c r="A3513" s="1" t="s">
        <v>3552</v>
      </c>
      <c r="B3513" s="2" t="s">
        <v>3503</v>
      </c>
      <c r="C3513" s="2"/>
      <c r="D3513" s="2" t="s">
        <v>11</v>
      </c>
      <c r="E3513" s="2">
        <v>10.0</v>
      </c>
      <c r="F3513" s="2" t="s">
        <v>12</v>
      </c>
      <c r="G3513" s="2"/>
      <c r="H3513" s="2"/>
      <c r="I3513" s="2"/>
    </row>
    <row r="3514">
      <c r="A3514" s="2" t="s">
        <v>3553</v>
      </c>
      <c r="B3514" s="2" t="s">
        <v>3503</v>
      </c>
      <c r="C3514" s="2"/>
      <c r="D3514" s="2" t="s">
        <v>37</v>
      </c>
      <c r="E3514" s="2">
        <v>10.0</v>
      </c>
      <c r="F3514" s="2" t="s">
        <v>12</v>
      </c>
      <c r="G3514" s="2"/>
      <c r="H3514" s="2"/>
      <c r="I3514" s="2"/>
    </row>
    <row r="3515">
      <c r="A3515" s="1" t="s">
        <v>3554</v>
      </c>
      <c r="B3515" s="2" t="s">
        <v>3555</v>
      </c>
      <c r="C3515" s="2"/>
      <c r="D3515" s="2" t="s">
        <v>11</v>
      </c>
      <c r="E3515" s="2">
        <v>10.0</v>
      </c>
      <c r="F3515" s="2" t="s">
        <v>12</v>
      </c>
      <c r="G3515" s="2"/>
      <c r="H3515" s="2"/>
      <c r="I3515" s="2"/>
    </row>
    <row r="3516">
      <c r="A3516" s="1" t="s">
        <v>3556</v>
      </c>
      <c r="B3516" s="2" t="s">
        <v>3555</v>
      </c>
      <c r="C3516" s="2"/>
      <c r="D3516" s="2" t="s">
        <v>37</v>
      </c>
      <c r="E3516" s="2">
        <v>10.0</v>
      </c>
      <c r="F3516" s="2" t="s">
        <v>12</v>
      </c>
      <c r="G3516" s="2"/>
      <c r="H3516" s="2"/>
      <c r="I3516" s="2"/>
    </row>
    <row r="3517">
      <c r="A3517" s="1" t="s">
        <v>3557</v>
      </c>
      <c r="B3517" s="2" t="s">
        <v>3555</v>
      </c>
      <c r="C3517" s="2"/>
      <c r="D3517" s="2" t="s">
        <v>37</v>
      </c>
      <c r="E3517" s="2">
        <v>10.0</v>
      </c>
      <c r="F3517" s="2" t="s">
        <v>12</v>
      </c>
      <c r="G3517" s="2"/>
      <c r="H3517" s="2"/>
      <c r="I3517" s="2"/>
    </row>
    <row r="3518">
      <c r="A3518" s="1" t="s">
        <v>3558</v>
      </c>
      <c r="B3518" s="2" t="s">
        <v>3555</v>
      </c>
      <c r="C3518" s="2"/>
      <c r="D3518" s="2" t="s">
        <v>37</v>
      </c>
      <c r="E3518" s="2">
        <v>10.0</v>
      </c>
      <c r="F3518" s="2" t="s">
        <v>12</v>
      </c>
      <c r="G3518" s="2"/>
      <c r="H3518" s="2"/>
      <c r="I3518" s="2"/>
    </row>
    <row r="3519">
      <c r="A3519" s="1" t="s">
        <v>3559</v>
      </c>
      <c r="B3519" s="2" t="s">
        <v>3555</v>
      </c>
      <c r="C3519" s="2"/>
      <c r="D3519" s="2" t="s">
        <v>11</v>
      </c>
      <c r="E3519" s="2">
        <v>10.0</v>
      </c>
      <c r="F3519" s="2" t="s">
        <v>12</v>
      </c>
      <c r="G3519" s="2"/>
      <c r="H3519" s="2"/>
      <c r="I3519" s="2"/>
    </row>
    <row r="3520">
      <c r="A3520" s="1" t="s">
        <v>3560</v>
      </c>
      <c r="B3520" s="2" t="s">
        <v>3555</v>
      </c>
      <c r="C3520" s="2"/>
      <c r="D3520" s="2" t="s">
        <v>37</v>
      </c>
      <c r="E3520" s="2">
        <v>10.0</v>
      </c>
      <c r="F3520" s="2" t="s">
        <v>12</v>
      </c>
      <c r="G3520" s="2"/>
      <c r="H3520" s="2"/>
      <c r="I3520" s="2"/>
    </row>
    <row r="3521">
      <c r="A3521" s="1" t="s">
        <v>3561</v>
      </c>
      <c r="B3521" s="2" t="s">
        <v>3555</v>
      </c>
      <c r="C3521" s="2"/>
      <c r="D3521" s="2" t="s">
        <v>11</v>
      </c>
      <c r="E3521" s="2">
        <v>10.0</v>
      </c>
      <c r="F3521" s="2" t="s">
        <v>12</v>
      </c>
      <c r="G3521" s="2"/>
      <c r="H3521" s="2"/>
      <c r="I3521" s="2"/>
    </row>
    <row r="3522">
      <c r="A3522" s="1" t="s">
        <v>3562</v>
      </c>
      <c r="B3522" s="2" t="s">
        <v>3555</v>
      </c>
      <c r="C3522" s="2"/>
      <c r="D3522" s="2" t="s">
        <v>11</v>
      </c>
      <c r="E3522" s="2">
        <v>10.0</v>
      </c>
      <c r="F3522" s="2" t="s">
        <v>12</v>
      </c>
      <c r="G3522" s="2"/>
      <c r="H3522" s="2"/>
      <c r="I3522" s="2"/>
    </row>
    <row r="3523">
      <c r="A3523" s="1" t="s">
        <v>3563</v>
      </c>
      <c r="B3523" s="2" t="s">
        <v>3555</v>
      </c>
      <c r="C3523" s="2"/>
      <c r="D3523" s="2" t="s">
        <v>11</v>
      </c>
      <c r="E3523" s="2">
        <v>10.0</v>
      </c>
      <c r="F3523" s="2" t="s">
        <v>12</v>
      </c>
      <c r="G3523" s="2"/>
      <c r="H3523" s="2"/>
      <c r="I3523" s="2"/>
    </row>
    <row r="3524">
      <c r="A3524" s="1" t="s">
        <v>3564</v>
      </c>
      <c r="B3524" s="2" t="s">
        <v>3555</v>
      </c>
      <c r="C3524" s="2"/>
      <c r="D3524" s="2" t="s">
        <v>11</v>
      </c>
      <c r="E3524" s="2">
        <v>10.0</v>
      </c>
      <c r="F3524" s="2" t="s">
        <v>12</v>
      </c>
      <c r="G3524" s="2"/>
      <c r="H3524" s="2"/>
      <c r="I3524" s="2"/>
    </row>
    <row r="3525">
      <c r="A3525" s="2" t="s">
        <v>3565</v>
      </c>
      <c r="B3525" s="2" t="s">
        <v>3555</v>
      </c>
      <c r="C3525" s="1"/>
      <c r="D3525" s="2"/>
      <c r="E3525" s="2"/>
      <c r="F3525" s="2"/>
      <c r="G3525" s="2"/>
      <c r="H3525" s="2"/>
      <c r="I3525" s="2"/>
    </row>
    <row r="3526">
      <c r="A3526" s="2" t="s">
        <v>3566</v>
      </c>
      <c r="B3526" s="2" t="s">
        <v>3555</v>
      </c>
      <c r="C3526" s="2"/>
      <c r="D3526" s="2" t="s">
        <v>37</v>
      </c>
      <c r="E3526" s="2">
        <v>10.0</v>
      </c>
      <c r="F3526" s="2" t="s">
        <v>12</v>
      </c>
      <c r="G3526" s="2"/>
      <c r="H3526" s="2"/>
      <c r="I3526" s="2"/>
    </row>
    <row r="3527">
      <c r="A3527" s="2" t="s">
        <v>3567</v>
      </c>
      <c r="B3527" s="2" t="s">
        <v>3555</v>
      </c>
      <c r="C3527" s="2"/>
      <c r="D3527" s="2" t="s">
        <v>37</v>
      </c>
      <c r="E3527" s="2">
        <v>10.0</v>
      </c>
      <c r="F3527" s="2" t="s">
        <v>12</v>
      </c>
      <c r="G3527" s="2"/>
      <c r="H3527" s="2"/>
      <c r="I3527" s="2"/>
    </row>
    <row r="3528">
      <c r="A3528" s="2" t="s">
        <v>3568</v>
      </c>
      <c r="B3528" s="2" t="s">
        <v>3555</v>
      </c>
      <c r="C3528" s="2"/>
      <c r="D3528" s="2" t="s">
        <v>37</v>
      </c>
      <c r="E3528" s="2">
        <v>10.0</v>
      </c>
      <c r="F3528" s="2" t="s">
        <v>12</v>
      </c>
      <c r="G3528" s="2"/>
      <c r="H3528" s="2"/>
      <c r="I3528" s="2"/>
    </row>
    <row r="3529">
      <c r="A3529" s="2" t="s">
        <v>3569</v>
      </c>
      <c r="B3529" s="2" t="s">
        <v>3555</v>
      </c>
      <c r="C3529" s="2"/>
      <c r="D3529" s="2" t="s">
        <v>37</v>
      </c>
      <c r="E3529" s="2">
        <v>10.0</v>
      </c>
      <c r="F3529" s="2" t="s">
        <v>12</v>
      </c>
      <c r="G3529" s="2"/>
      <c r="H3529" s="2"/>
      <c r="I3529" s="2"/>
    </row>
    <row r="3530">
      <c r="A3530" s="1" t="s">
        <v>3570</v>
      </c>
      <c r="B3530" s="2" t="s">
        <v>3555</v>
      </c>
      <c r="C3530" s="2"/>
      <c r="D3530" s="2" t="s">
        <v>11</v>
      </c>
      <c r="E3530" s="2">
        <v>10.0</v>
      </c>
      <c r="F3530" s="2" t="s">
        <v>12</v>
      </c>
      <c r="G3530" s="2"/>
      <c r="H3530" s="2"/>
      <c r="I3530" s="2"/>
    </row>
    <row r="3531">
      <c r="A3531" s="1" t="s">
        <v>3571</v>
      </c>
      <c r="B3531" s="2" t="s">
        <v>3555</v>
      </c>
      <c r="C3531" s="2"/>
      <c r="D3531" s="2" t="s">
        <v>11</v>
      </c>
      <c r="E3531" s="2">
        <v>10.0</v>
      </c>
      <c r="F3531" s="2" t="s">
        <v>12</v>
      </c>
      <c r="G3531" s="2"/>
      <c r="H3531" s="2"/>
      <c r="I3531" s="2"/>
    </row>
    <row r="3532">
      <c r="A3532" s="1" t="s">
        <v>3572</v>
      </c>
      <c r="B3532" s="2" t="s">
        <v>3555</v>
      </c>
      <c r="C3532" s="2"/>
      <c r="D3532" s="2" t="s">
        <v>11</v>
      </c>
      <c r="E3532" s="2">
        <v>10.0</v>
      </c>
      <c r="F3532" s="2" t="s">
        <v>12</v>
      </c>
      <c r="G3532" s="2"/>
      <c r="H3532" s="2"/>
      <c r="I3532" s="2"/>
    </row>
    <row r="3533">
      <c r="A3533" s="2" t="s">
        <v>3573</v>
      </c>
      <c r="B3533" s="2" t="s">
        <v>3555</v>
      </c>
      <c r="C3533" s="2"/>
      <c r="D3533" s="2" t="s">
        <v>11</v>
      </c>
      <c r="E3533" s="2">
        <v>10.0</v>
      </c>
      <c r="F3533" s="2" t="s">
        <v>12</v>
      </c>
      <c r="G3533" s="2"/>
      <c r="H3533" s="2"/>
      <c r="I3533" s="2"/>
    </row>
    <row r="3534">
      <c r="A3534" s="2" t="s">
        <v>3574</v>
      </c>
      <c r="B3534" s="2" t="s">
        <v>3555</v>
      </c>
      <c r="C3534" s="2"/>
      <c r="D3534" s="2" t="s">
        <v>11</v>
      </c>
      <c r="E3534" s="2">
        <v>10.0</v>
      </c>
      <c r="F3534" s="2" t="s">
        <v>12</v>
      </c>
      <c r="G3534" s="2"/>
      <c r="H3534" s="2"/>
      <c r="I3534" s="2"/>
    </row>
    <row r="3535">
      <c r="A3535" s="2" t="s">
        <v>3575</v>
      </c>
      <c r="B3535" s="2" t="s">
        <v>3555</v>
      </c>
      <c r="C3535" s="2"/>
      <c r="D3535" s="2" t="s">
        <v>37</v>
      </c>
      <c r="E3535" s="2">
        <v>10.0</v>
      </c>
      <c r="F3535" s="2" t="s">
        <v>12</v>
      </c>
      <c r="G3535" s="2"/>
      <c r="H3535" s="2"/>
      <c r="I3535" s="2"/>
    </row>
    <row r="3536">
      <c r="A3536" s="1" t="s">
        <v>3576</v>
      </c>
      <c r="B3536" s="2" t="s">
        <v>3555</v>
      </c>
      <c r="C3536" s="2"/>
      <c r="D3536" s="2" t="s">
        <v>11</v>
      </c>
      <c r="E3536" s="2">
        <v>10.0</v>
      </c>
      <c r="F3536" s="2" t="s">
        <v>12</v>
      </c>
      <c r="G3536" s="2"/>
      <c r="H3536" s="2"/>
      <c r="I3536" s="2"/>
    </row>
    <row r="3537">
      <c r="A3537" s="1" t="s">
        <v>3577</v>
      </c>
      <c r="B3537" s="2" t="s">
        <v>3555</v>
      </c>
      <c r="C3537" s="2"/>
      <c r="D3537" s="2" t="s">
        <v>11</v>
      </c>
      <c r="E3537" s="2">
        <v>10.0</v>
      </c>
      <c r="F3537" s="2" t="s">
        <v>12</v>
      </c>
      <c r="G3537" s="2"/>
      <c r="H3537" s="2"/>
      <c r="I3537" s="2"/>
    </row>
    <row r="3538">
      <c r="A3538" s="1" t="s">
        <v>3577</v>
      </c>
      <c r="B3538" s="2" t="s">
        <v>3555</v>
      </c>
      <c r="C3538" s="2"/>
      <c r="D3538" s="2" t="s">
        <v>11</v>
      </c>
      <c r="E3538" s="2">
        <v>15.0</v>
      </c>
      <c r="F3538" s="2" t="s">
        <v>12</v>
      </c>
      <c r="G3538" s="2"/>
      <c r="H3538" s="2"/>
      <c r="I3538" s="2"/>
    </row>
    <row r="3539">
      <c r="A3539" s="1" t="s">
        <v>3578</v>
      </c>
      <c r="B3539" s="2" t="s">
        <v>3555</v>
      </c>
      <c r="C3539" s="2"/>
      <c r="D3539" s="2" t="s">
        <v>11</v>
      </c>
      <c r="E3539" s="2">
        <v>10.0</v>
      </c>
      <c r="F3539" s="2" t="s">
        <v>12</v>
      </c>
      <c r="G3539" s="2"/>
      <c r="H3539" s="2"/>
      <c r="I3539" s="2"/>
    </row>
    <row r="3540">
      <c r="A3540" s="2" t="s">
        <v>3579</v>
      </c>
      <c r="B3540" s="2" t="s">
        <v>3555</v>
      </c>
      <c r="C3540" s="1"/>
      <c r="D3540" s="2"/>
      <c r="E3540" s="2"/>
      <c r="F3540" s="2"/>
      <c r="G3540" s="2"/>
      <c r="H3540" s="2"/>
      <c r="I3540" s="2"/>
    </row>
    <row r="3541">
      <c r="A3541" s="1" t="s">
        <v>3580</v>
      </c>
      <c r="B3541" s="2" t="s">
        <v>3555</v>
      </c>
      <c r="C3541" s="2"/>
      <c r="D3541" s="2" t="s">
        <v>11</v>
      </c>
      <c r="E3541" s="2">
        <v>10.0</v>
      </c>
      <c r="F3541" s="2" t="s">
        <v>12</v>
      </c>
      <c r="G3541" s="2"/>
      <c r="H3541" s="2"/>
      <c r="I3541" s="2"/>
    </row>
    <row r="3542">
      <c r="A3542" s="1" t="s">
        <v>3581</v>
      </c>
      <c r="B3542" s="2" t="s">
        <v>3555</v>
      </c>
      <c r="C3542" s="2"/>
      <c r="D3542" s="2" t="s">
        <v>11</v>
      </c>
      <c r="E3542" s="2">
        <v>15.0</v>
      </c>
      <c r="F3542" s="2" t="s">
        <v>12</v>
      </c>
      <c r="G3542" s="2"/>
      <c r="H3542" s="2"/>
      <c r="I3542" s="2"/>
    </row>
    <row r="3543">
      <c r="A3543" s="2" t="s">
        <v>3582</v>
      </c>
      <c r="B3543" s="2" t="s">
        <v>3555</v>
      </c>
      <c r="C3543" s="2"/>
      <c r="D3543" s="2" t="s">
        <v>11</v>
      </c>
      <c r="E3543" s="2">
        <v>10.0</v>
      </c>
      <c r="F3543" s="2" t="s">
        <v>12</v>
      </c>
      <c r="G3543" s="2"/>
      <c r="H3543" s="2"/>
      <c r="I3543" s="2"/>
    </row>
    <row r="3544">
      <c r="A3544" s="2" t="s">
        <v>3583</v>
      </c>
      <c r="B3544" s="2" t="s">
        <v>3555</v>
      </c>
      <c r="C3544" s="2"/>
      <c r="D3544" s="2" t="s">
        <v>37</v>
      </c>
      <c r="E3544" s="2">
        <v>10.0</v>
      </c>
      <c r="F3544" s="2" t="s">
        <v>12</v>
      </c>
      <c r="G3544" s="2"/>
      <c r="H3544" s="2"/>
      <c r="I3544" s="2"/>
    </row>
    <row r="3545">
      <c r="A3545" s="1" t="s">
        <v>3584</v>
      </c>
      <c r="B3545" s="2" t="s">
        <v>3585</v>
      </c>
      <c r="C3545" s="1"/>
      <c r="D3545" s="2"/>
      <c r="E3545" s="2"/>
      <c r="F3545" s="2"/>
      <c r="G3545" s="2"/>
      <c r="H3545" s="2"/>
      <c r="I3545" s="2"/>
    </row>
    <row r="3546">
      <c r="A3546" s="1" t="s">
        <v>3586</v>
      </c>
      <c r="B3546" s="2" t="s">
        <v>3585</v>
      </c>
      <c r="C3546" s="2"/>
      <c r="D3546" s="2" t="s">
        <v>11</v>
      </c>
      <c r="E3546" s="2">
        <v>60.0</v>
      </c>
      <c r="F3546" s="2" t="s">
        <v>22</v>
      </c>
      <c r="G3546" s="2"/>
      <c r="H3546" s="2"/>
      <c r="I3546" s="2"/>
    </row>
    <row r="3547">
      <c r="A3547" s="1" t="s">
        <v>3587</v>
      </c>
      <c r="B3547" s="2" t="s">
        <v>3585</v>
      </c>
      <c r="C3547" s="2"/>
      <c r="D3547" s="2" t="s">
        <v>11</v>
      </c>
      <c r="E3547" s="2">
        <v>10.0</v>
      </c>
      <c r="F3547" s="2" t="s">
        <v>12</v>
      </c>
      <c r="G3547" s="2"/>
      <c r="H3547" s="2"/>
      <c r="I3547" s="2"/>
    </row>
    <row r="3548">
      <c r="A3548" s="1" t="s">
        <v>3588</v>
      </c>
      <c r="B3548" s="2" t="s">
        <v>3585</v>
      </c>
      <c r="C3548" s="2"/>
      <c r="D3548" s="2" t="s">
        <v>11</v>
      </c>
      <c r="E3548" s="2">
        <v>10.0</v>
      </c>
      <c r="F3548" s="2" t="s">
        <v>12</v>
      </c>
      <c r="G3548" s="2"/>
      <c r="H3548" s="2"/>
      <c r="I3548" s="2"/>
    </row>
    <row r="3549">
      <c r="A3549" s="1" t="s">
        <v>3589</v>
      </c>
      <c r="B3549" s="2" t="s">
        <v>3585</v>
      </c>
      <c r="C3549" s="2"/>
      <c r="D3549" s="2" t="s">
        <v>11</v>
      </c>
      <c r="E3549" s="2">
        <v>10.0</v>
      </c>
      <c r="F3549" s="2" t="s">
        <v>12</v>
      </c>
      <c r="G3549" s="2"/>
      <c r="H3549" s="2"/>
      <c r="I3549" s="2"/>
    </row>
    <row r="3550">
      <c r="A3550" s="1" t="s">
        <v>3590</v>
      </c>
      <c r="B3550" s="2" t="s">
        <v>3585</v>
      </c>
      <c r="C3550" s="2"/>
      <c r="D3550" s="2" t="s">
        <v>11</v>
      </c>
      <c r="E3550" s="2">
        <v>10.0</v>
      </c>
      <c r="F3550" s="2" t="s">
        <v>12</v>
      </c>
      <c r="G3550" s="2"/>
      <c r="H3550" s="2"/>
      <c r="I3550" s="2"/>
    </row>
    <row r="3551">
      <c r="A3551" s="1" t="s">
        <v>3591</v>
      </c>
      <c r="B3551" s="2" t="s">
        <v>3585</v>
      </c>
      <c r="C3551" s="2"/>
      <c r="D3551" s="2" t="s">
        <v>11</v>
      </c>
      <c r="E3551" s="2">
        <v>10.0</v>
      </c>
      <c r="F3551" s="2" t="s">
        <v>12</v>
      </c>
      <c r="G3551" s="2"/>
      <c r="H3551" s="2"/>
      <c r="I3551" s="2"/>
    </row>
    <row r="3552">
      <c r="A3552" s="1" t="s">
        <v>3592</v>
      </c>
      <c r="B3552" s="2" t="s">
        <v>3585</v>
      </c>
      <c r="C3552" s="2"/>
      <c r="D3552" s="2" t="s">
        <v>11</v>
      </c>
      <c r="E3552" s="2">
        <v>10.0</v>
      </c>
      <c r="F3552" s="2" t="s">
        <v>12</v>
      </c>
      <c r="G3552" s="2"/>
      <c r="H3552" s="2"/>
      <c r="I3552" s="2"/>
    </row>
    <row r="3553">
      <c r="A3553" s="1" t="s">
        <v>3593</v>
      </c>
      <c r="B3553" s="2" t="s">
        <v>3585</v>
      </c>
      <c r="C3553" s="2"/>
      <c r="D3553" s="2" t="s">
        <v>11</v>
      </c>
      <c r="E3553" s="2">
        <v>10.0</v>
      </c>
      <c r="F3553" s="2" t="s">
        <v>12</v>
      </c>
      <c r="G3553" s="2"/>
      <c r="H3553" s="2"/>
      <c r="I3553" s="2"/>
    </row>
    <row r="3554">
      <c r="A3554" s="1" t="s">
        <v>3594</v>
      </c>
      <c r="B3554" s="2" t="s">
        <v>3585</v>
      </c>
      <c r="C3554" s="2"/>
      <c r="D3554" s="2" t="s">
        <v>11</v>
      </c>
      <c r="E3554" s="2" t="s">
        <v>3486</v>
      </c>
      <c r="F3554" s="2"/>
      <c r="G3554" s="2"/>
      <c r="H3554" s="2"/>
      <c r="I3554" s="2"/>
    </row>
    <row r="3555">
      <c r="A3555" s="2" t="s">
        <v>3595</v>
      </c>
      <c r="B3555" s="2" t="s">
        <v>3585</v>
      </c>
      <c r="C3555" s="2"/>
      <c r="D3555" s="2" t="s">
        <v>11</v>
      </c>
      <c r="E3555" s="2">
        <v>10.0</v>
      </c>
      <c r="F3555" s="2" t="s">
        <v>12</v>
      </c>
      <c r="G3555" s="2"/>
      <c r="H3555" s="2"/>
      <c r="I3555" s="2"/>
    </row>
    <row r="3556">
      <c r="A3556" s="1" t="s">
        <v>3596</v>
      </c>
      <c r="B3556" s="2" t="s">
        <v>3585</v>
      </c>
      <c r="C3556" s="2"/>
      <c r="D3556" s="2" t="s">
        <v>11</v>
      </c>
      <c r="E3556" s="2">
        <v>10.0</v>
      </c>
      <c r="F3556" s="2" t="s">
        <v>12</v>
      </c>
      <c r="G3556" s="2"/>
      <c r="H3556" s="2"/>
      <c r="I3556" s="2"/>
    </row>
    <row r="3557">
      <c r="A3557" s="2" t="s">
        <v>3597</v>
      </c>
      <c r="B3557" s="2" t="s">
        <v>3598</v>
      </c>
      <c r="C3557" s="1"/>
      <c r="D3557" s="2"/>
      <c r="E3557" s="2"/>
      <c r="F3557" s="2"/>
      <c r="G3557" s="2"/>
      <c r="H3557" s="2"/>
      <c r="I3557" s="2"/>
    </row>
    <row r="3558">
      <c r="A3558" s="2" t="s">
        <v>3599</v>
      </c>
      <c r="B3558" s="2" t="s">
        <v>3598</v>
      </c>
      <c r="C3558" s="1"/>
      <c r="D3558" s="2"/>
      <c r="E3558" s="2"/>
      <c r="F3558" s="2"/>
      <c r="G3558" s="2"/>
      <c r="H3558" s="2"/>
      <c r="I3558" s="2"/>
    </row>
    <row r="3559">
      <c r="A3559" s="2" t="s">
        <v>3600</v>
      </c>
      <c r="B3559" s="2" t="s">
        <v>3598</v>
      </c>
      <c r="C3559" s="1"/>
      <c r="D3559" s="1" t="s">
        <v>300</v>
      </c>
      <c r="E3559" s="1" t="s">
        <v>731</v>
      </c>
      <c r="F3559" s="1" t="s">
        <v>302</v>
      </c>
      <c r="G3559" s="2"/>
      <c r="H3559" s="2"/>
      <c r="I3559" s="2"/>
    </row>
    <row r="3560">
      <c r="A3560" s="2" t="s">
        <v>3601</v>
      </c>
      <c r="B3560" s="2" t="s">
        <v>3598</v>
      </c>
      <c r="C3560" s="1"/>
      <c r="D3560" s="2"/>
      <c r="E3560" s="2"/>
      <c r="F3560" s="2"/>
      <c r="G3560" s="2"/>
      <c r="H3560" s="2"/>
      <c r="I3560" s="2"/>
    </row>
    <row r="3561">
      <c r="A3561" s="2" t="s">
        <v>3602</v>
      </c>
      <c r="B3561" s="2" t="s">
        <v>3598</v>
      </c>
      <c r="C3561" s="1"/>
      <c r="D3561" s="2"/>
      <c r="E3561" s="2"/>
      <c r="F3561" s="2"/>
      <c r="G3561" s="2"/>
      <c r="H3561" s="2"/>
      <c r="I3561" s="2"/>
    </row>
    <row r="3562">
      <c r="A3562" s="2" t="s">
        <v>3603</v>
      </c>
      <c r="B3562" s="2" t="s">
        <v>3604</v>
      </c>
      <c r="C3562" s="2"/>
      <c r="D3562" s="2" t="s">
        <v>37</v>
      </c>
      <c r="E3562" s="2">
        <v>10.0</v>
      </c>
      <c r="F3562" s="2" t="s">
        <v>12</v>
      </c>
      <c r="G3562" s="2"/>
      <c r="H3562" s="2"/>
      <c r="I3562" s="2"/>
    </row>
    <row r="3563">
      <c r="A3563" s="2" t="s">
        <v>3605</v>
      </c>
      <c r="B3563" s="2" t="s">
        <v>3604</v>
      </c>
      <c r="C3563" s="2"/>
      <c r="D3563" s="2" t="s">
        <v>11</v>
      </c>
      <c r="E3563" s="2">
        <v>15.0</v>
      </c>
      <c r="F3563" s="2" t="s">
        <v>12</v>
      </c>
      <c r="G3563" s="2"/>
      <c r="H3563" s="2"/>
      <c r="I3563" s="2"/>
    </row>
    <row r="3564">
      <c r="A3564" s="2" t="s">
        <v>3606</v>
      </c>
      <c r="B3564" s="2" t="s">
        <v>3604</v>
      </c>
      <c r="C3564" s="2"/>
      <c r="D3564" s="2" t="s">
        <v>11</v>
      </c>
      <c r="E3564" s="2">
        <v>10.0</v>
      </c>
      <c r="F3564" s="2" t="s">
        <v>12</v>
      </c>
      <c r="G3564" s="2"/>
      <c r="H3564" s="2"/>
      <c r="I3564" s="2"/>
    </row>
    <row r="3565">
      <c r="A3565" s="2" t="s">
        <v>3607</v>
      </c>
      <c r="B3565" s="2" t="s">
        <v>3604</v>
      </c>
      <c r="C3565" s="2"/>
      <c r="D3565" s="2" t="s">
        <v>11</v>
      </c>
      <c r="E3565" s="2">
        <v>10.0</v>
      </c>
      <c r="F3565" s="2" t="s">
        <v>12</v>
      </c>
      <c r="G3565" s="2"/>
      <c r="H3565" s="2"/>
      <c r="I3565" s="2"/>
    </row>
    <row r="3566">
      <c r="A3566" s="2" t="s">
        <v>3608</v>
      </c>
      <c r="B3566" s="2" t="s">
        <v>3604</v>
      </c>
      <c r="C3566" s="2"/>
      <c r="D3566" s="2" t="s">
        <v>11</v>
      </c>
      <c r="E3566" s="2">
        <v>10.0</v>
      </c>
      <c r="F3566" s="2" t="s">
        <v>12</v>
      </c>
      <c r="G3566" s="2"/>
      <c r="H3566" s="2"/>
      <c r="I3566" s="2"/>
    </row>
    <row r="3567">
      <c r="A3567" s="2" t="s">
        <v>3609</v>
      </c>
      <c r="B3567" s="2" t="s">
        <v>3604</v>
      </c>
      <c r="C3567" s="2"/>
      <c r="D3567" s="2" t="s">
        <v>11</v>
      </c>
      <c r="E3567" s="2">
        <v>10.0</v>
      </c>
      <c r="F3567" s="2" t="s">
        <v>12</v>
      </c>
      <c r="G3567" s="2"/>
      <c r="H3567" s="2"/>
      <c r="I3567" s="2"/>
    </row>
    <row r="3568">
      <c r="A3568" s="2" t="s">
        <v>3610</v>
      </c>
      <c r="B3568" s="2" t="s">
        <v>3604</v>
      </c>
      <c r="C3568" s="2"/>
      <c r="D3568" s="2" t="s">
        <v>11</v>
      </c>
      <c r="E3568" s="2">
        <v>10.0</v>
      </c>
      <c r="F3568" s="2" t="s">
        <v>12</v>
      </c>
      <c r="G3568" s="2"/>
      <c r="H3568" s="2"/>
      <c r="I3568" s="2"/>
    </row>
    <row r="3569">
      <c r="A3569" s="2" t="s">
        <v>3611</v>
      </c>
      <c r="B3569" s="2" t="s">
        <v>3604</v>
      </c>
      <c r="C3569" s="2"/>
      <c r="D3569" s="2" t="s">
        <v>11</v>
      </c>
      <c r="E3569" s="2">
        <v>10.0</v>
      </c>
      <c r="F3569" s="2" t="s">
        <v>12</v>
      </c>
      <c r="G3569" s="2"/>
      <c r="H3569" s="2"/>
      <c r="I3569" s="2"/>
    </row>
    <row r="3570">
      <c r="A3570" s="2" t="s">
        <v>3612</v>
      </c>
      <c r="B3570" s="2" t="s">
        <v>3604</v>
      </c>
      <c r="C3570" s="2"/>
      <c r="D3570" s="2" t="s">
        <v>11</v>
      </c>
      <c r="E3570" s="2">
        <v>10.0</v>
      </c>
      <c r="F3570" s="2" t="s">
        <v>12</v>
      </c>
      <c r="G3570" s="2"/>
      <c r="H3570" s="2"/>
      <c r="I3570" s="2"/>
    </row>
    <row r="3571">
      <c r="A3571" s="2" t="s">
        <v>3613</v>
      </c>
      <c r="B3571" s="2" t="s">
        <v>3604</v>
      </c>
      <c r="C3571" s="2"/>
      <c r="D3571" s="2" t="s">
        <v>11</v>
      </c>
      <c r="E3571" s="2">
        <v>10.0</v>
      </c>
      <c r="F3571" s="2" t="s">
        <v>12</v>
      </c>
      <c r="G3571" s="2"/>
      <c r="H3571" s="2"/>
      <c r="I3571" s="2"/>
    </row>
    <row r="3572">
      <c r="A3572" s="2" t="s">
        <v>3614</v>
      </c>
      <c r="B3572" s="2" t="s">
        <v>3604</v>
      </c>
      <c r="C3572" s="2"/>
      <c r="D3572" s="2" t="s">
        <v>11</v>
      </c>
      <c r="E3572" s="2">
        <v>10.0</v>
      </c>
      <c r="F3572" s="2" t="s">
        <v>12</v>
      </c>
      <c r="G3572" s="2"/>
      <c r="H3572" s="2"/>
      <c r="I3572" s="2"/>
    </row>
    <row r="3573">
      <c r="A3573" s="2" t="s">
        <v>3615</v>
      </c>
      <c r="B3573" s="2" t="s">
        <v>3604</v>
      </c>
      <c r="C3573" s="2"/>
      <c r="D3573" s="2" t="s">
        <v>11</v>
      </c>
      <c r="E3573" s="2">
        <v>10.0</v>
      </c>
      <c r="F3573" s="2" t="s">
        <v>12</v>
      </c>
      <c r="G3573" s="2"/>
      <c r="H3573" s="2"/>
      <c r="I3573" s="2"/>
    </row>
    <row r="3574">
      <c r="A3574" s="2" t="s">
        <v>3616</v>
      </c>
      <c r="B3574" s="2" t="s">
        <v>3604</v>
      </c>
      <c r="C3574" s="2"/>
      <c r="D3574" s="2" t="s">
        <v>11</v>
      </c>
      <c r="E3574" s="2">
        <v>10.0</v>
      </c>
      <c r="F3574" s="2" t="s">
        <v>12</v>
      </c>
      <c r="G3574" s="2"/>
      <c r="H3574" s="2"/>
      <c r="I3574" s="2"/>
    </row>
    <row r="3575">
      <c r="A3575" s="2" t="s">
        <v>3617</v>
      </c>
      <c r="B3575" s="2" t="s">
        <v>3604</v>
      </c>
      <c r="C3575" s="2"/>
      <c r="D3575" s="2" t="s">
        <v>11</v>
      </c>
      <c r="E3575" s="2">
        <v>10.0</v>
      </c>
      <c r="F3575" s="2" t="s">
        <v>12</v>
      </c>
      <c r="G3575" s="2"/>
      <c r="H3575" s="2"/>
      <c r="I3575" s="2"/>
    </row>
    <row r="3576">
      <c r="A3576" s="2" t="s">
        <v>3618</v>
      </c>
      <c r="B3576" s="2" t="s">
        <v>3604</v>
      </c>
      <c r="C3576" s="2"/>
      <c r="D3576" s="2" t="s">
        <v>11</v>
      </c>
      <c r="E3576" s="2">
        <v>10.0</v>
      </c>
      <c r="F3576" s="2" t="s">
        <v>12</v>
      </c>
      <c r="G3576" s="2"/>
      <c r="H3576" s="2"/>
      <c r="I3576" s="2"/>
    </row>
    <row r="3577">
      <c r="A3577" s="2" t="s">
        <v>3619</v>
      </c>
      <c r="B3577" s="2" t="s">
        <v>3604</v>
      </c>
      <c r="C3577" s="1"/>
      <c r="D3577" s="2"/>
      <c r="E3577" s="2"/>
      <c r="F3577" s="2"/>
      <c r="G3577" s="2"/>
      <c r="H3577" s="2"/>
      <c r="I3577" s="2"/>
    </row>
    <row r="3578">
      <c r="A3578" s="2" t="s">
        <v>3620</v>
      </c>
      <c r="B3578" s="2" t="s">
        <v>3604</v>
      </c>
      <c r="C3578" s="2"/>
      <c r="D3578" s="2" t="s">
        <v>11</v>
      </c>
      <c r="E3578" s="2">
        <v>15.0</v>
      </c>
      <c r="F3578" s="2" t="s">
        <v>12</v>
      </c>
      <c r="G3578" s="2"/>
      <c r="H3578" s="2"/>
      <c r="I3578" s="2"/>
    </row>
    <row r="3579">
      <c r="A3579" s="2" t="s">
        <v>3621</v>
      </c>
      <c r="B3579" s="2" t="s">
        <v>3604</v>
      </c>
      <c r="C3579" s="2"/>
      <c r="D3579" s="2" t="s">
        <v>11</v>
      </c>
      <c r="E3579" s="2">
        <v>10.0</v>
      </c>
      <c r="F3579" s="2" t="s">
        <v>12</v>
      </c>
      <c r="G3579" s="2"/>
      <c r="H3579" s="2"/>
      <c r="I3579" s="2"/>
    </row>
    <row r="3580">
      <c r="A3580" s="1" t="s">
        <v>3622</v>
      </c>
      <c r="B3580" s="2" t="s">
        <v>3604</v>
      </c>
      <c r="C3580" s="2"/>
      <c r="D3580" s="2" t="s">
        <v>11</v>
      </c>
      <c r="E3580" s="2">
        <v>10.0</v>
      </c>
      <c r="F3580" s="2" t="s">
        <v>12</v>
      </c>
      <c r="G3580" s="2"/>
      <c r="H3580" s="2"/>
      <c r="I3580" s="2"/>
    </row>
    <row r="3581">
      <c r="A3581" s="2" t="s">
        <v>3623</v>
      </c>
      <c r="B3581" s="2" t="s">
        <v>3604</v>
      </c>
      <c r="C3581" s="2"/>
      <c r="D3581" s="2" t="s">
        <v>11</v>
      </c>
      <c r="E3581" s="2">
        <v>10.0</v>
      </c>
      <c r="F3581" s="2" t="s">
        <v>12</v>
      </c>
      <c r="G3581" s="2"/>
      <c r="H3581" s="2"/>
      <c r="I3581" s="2"/>
    </row>
    <row r="3582">
      <c r="A3582" s="2" t="s">
        <v>3624</v>
      </c>
      <c r="B3582" s="2" t="s">
        <v>3604</v>
      </c>
      <c r="C3582" s="2"/>
      <c r="D3582" s="2" t="s">
        <v>11</v>
      </c>
      <c r="E3582" s="2">
        <v>10.0</v>
      </c>
      <c r="F3582" s="2" t="s">
        <v>12</v>
      </c>
      <c r="G3582" s="2"/>
      <c r="H3582" s="2"/>
      <c r="I3582" s="2"/>
    </row>
    <row r="3583">
      <c r="A3583" s="2" t="s">
        <v>3625</v>
      </c>
      <c r="B3583" s="2" t="s">
        <v>3604</v>
      </c>
      <c r="C3583" s="1"/>
      <c r="D3583" s="2"/>
      <c r="E3583" s="2"/>
      <c r="F3583" s="2"/>
      <c r="G3583" s="2"/>
      <c r="H3583" s="2"/>
      <c r="I3583" s="2"/>
    </row>
    <row r="3584">
      <c r="A3584" s="2" t="s">
        <v>3626</v>
      </c>
      <c r="B3584" s="2" t="s">
        <v>3604</v>
      </c>
      <c r="C3584" s="2"/>
      <c r="D3584" s="2" t="s">
        <v>11</v>
      </c>
      <c r="E3584" s="2">
        <v>10.0</v>
      </c>
      <c r="F3584" s="2" t="s">
        <v>12</v>
      </c>
      <c r="G3584" s="2"/>
      <c r="H3584" s="2"/>
      <c r="I3584" s="2"/>
    </row>
    <row r="3585">
      <c r="A3585" s="2" t="s">
        <v>3627</v>
      </c>
      <c r="B3585" s="2" t="s">
        <v>3604</v>
      </c>
      <c r="C3585" s="2"/>
      <c r="D3585" s="2" t="s">
        <v>11</v>
      </c>
      <c r="E3585" s="2">
        <v>10.0</v>
      </c>
      <c r="F3585" s="2" t="s">
        <v>12</v>
      </c>
      <c r="G3585" s="2"/>
      <c r="H3585" s="2"/>
      <c r="I3585" s="2"/>
    </row>
    <row r="3586">
      <c r="A3586" s="2" t="s">
        <v>3628</v>
      </c>
      <c r="B3586" s="2" t="s">
        <v>3604</v>
      </c>
      <c r="C3586" s="2"/>
      <c r="D3586" s="2" t="s">
        <v>11</v>
      </c>
      <c r="E3586" s="2">
        <v>10.0</v>
      </c>
      <c r="F3586" s="2" t="s">
        <v>12</v>
      </c>
      <c r="G3586" s="2"/>
      <c r="H3586" s="2"/>
      <c r="I3586" s="2"/>
    </row>
    <row r="3587">
      <c r="A3587" s="2" t="s">
        <v>3629</v>
      </c>
      <c r="B3587" s="2" t="s">
        <v>3630</v>
      </c>
      <c r="C3587" s="2"/>
      <c r="D3587" s="2" t="s">
        <v>11</v>
      </c>
      <c r="E3587" s="2">
        <v>10.0</v>
      </c>
      <c r="F3587" s="2" t="s">
        <v>12</v>
      </c>
      <c r="G3587" s="2"/>
      <c r="H3587" s="2"/>
      <c r="I3587" s="2"/>
    </row>
    <row r="3588">
      <c r="A3588" s="2" t="s">
        <v>3631</v>
      </c>
      <c r="B3588" s="2" t="s">
        <v>3630</v>
      </c>
      <c r="C3588" s="2"/>
      <c r="D3588" s="2" t="s">
        <v>11</v>
      </c>
      <c r="E3588" s="2">
        <v>10.0</v>
      </c>
      <c r="F3588" s="2" t="s">
        <v>12</v>
      </c>
      <c r="G3588" s="2"/>
      <c r="H3588" s="2"/>
      <c r="I3588" s="2"/>
    </row>
    <row r="3589">
      <c r="A3589" s="1" t="s">
        <v>3632</v>
      </c>
      <c r="B3589" s="2" t="s">
        <v>3630</v>
      </c>
      <c r="C3589" s="2"/>
      <c r="D3589" s="2" t="s">
        <v>11</v>
      </c>
      <c r="E3589" s="2">
        <v>10.0</v>
      </c>
      <c r="F3589" s="2" t="s">
        <v>12</v>
      </c>
      <c r="G3589" s="2"/>
      <c r="H3589" s="2"/>
      <c r="I3589" s="2"/>
    </row>
    <row r="3590">
      <c r="A3590" s="1" t="s">
        <v>3633</v>
      </c>
      <c r="B3590" s="2" t="s">
        <v>3630</v>
      </c>
      <c r="C3590" s="2"/>
      <c r="D3590" s="2" t="s">
        <v>11</v>
      </c>
      <c r="E3590" s="2">
        <v>10.0</v>
      </c>
      <c r="F3590" s="2" t="s">
        <v>12</v>
      </c>
      <c r="G3590" s="2"/>
      <c r="H3590" s="2"/>
      <c r="I3590" s="2"/>
    </row>
    <row r="3591">
      <c r="A3591" s="2" t="s">
        <v>3634</v>
      </c>
      <c r="B3591" s="2" t="s">
        <v>3630</v>
      </c>
      <c r="C3591" s="2"/>
      <c r="D3591" s="2" t="s">
        <v>11</v>
      </c>
      <c r="E3591" s="2">
        <v>10.0</v>
      </c>
      <c r="F3591" s="2" t="s">
        <v>12</v>
      </c>
      <c r="G3591" s="2"/>
      <c r="H3591" s="2"/>
      <c r="I3591" s="2"/>
    </row>
    <row r="3592">
      <c r="A3592" s="2" t="s">
        <v>3635</v>
      </c>
      <c r="B3592" s="2" t="s">
        <v>3630</v>
      </c>
      <c r="C3592" s="2"/>
      <c r="D3592" s="2" t="s">
        <v>11</v>
      </c>
      <c r="E3592" s="2">
        <v>10.0</v>
      </c>
      <c r="F3592" s="2" t="s">
        <v>12</v>
      </c>
      <c r="G3592" s="2"/>
      <c r="H3592" s="2"/>
      <c r="I3592" s="2"/>
    </row>
    <row r="3593">
      <c r="A3593" s="2" t="s">
        <v>3636</v>
      </c>
      <c r="B3593" s="2" t="s">
        <v>3630</v>
      </c>
      <c r="C3593" s="2"/>
      <c r="D3593" s="2" t="s">
        <v>11</v>
      </c>
      <c r="E3593" s="2">
        <v>10.0</v>
      </c>
      <c r="F3593" s="2" t="s">
        <v>12</v>
      </c>
      <c r="G3593" s="2"/>
      <c r="H3593" s="2"/>
      <c r="I3593" s="2"/>
    </row>
    <row r="3594">
      <c r="A3594" s="2" t="s">
        <v>3637</v>
      </c>
      <c r="B3594" s="2" t="s">
        <v>3630</v>
      </c>
      <c r="C3594" s="2"/>
      <c r="D3594" s="2" t="s">
        <v>11</v>
      </c>
      <c r="E3594" s="2">
        <v>10.0</v>
      </c>
      <c r="F3594" s="2" t="s">
        <v>12</v>
      </c>
      <c r="G3594" s="2"/>
      <c r="H3594" s="2"/>
      <c r="I3594" s="2"/>
    </row>
    <row r="3595">
      <c r="A3595" s="2" t="s">
        <v>3638</v>
      </c>
      <c r="B3595" s="2" t="s">
        <v>3630</v>
      </c>
      <c r="C3595" s="2"/>
      <c r="D3595" s="2" t="s">
        <v>11</v>
      </c>
      <c r="E3595" s="2">
        <v>10.0</v>
      </c>
      <c r="F3595" s="2" t="s">
        <v>12</v>
      </c>
      <c r="G3595" s="2"/>
      <c r="H3595" s="2"/>
      <c r="I3595" s="2"/>
    </row>
    <row r="3596">
      <c r="A3596" s="2" t="s">
        <v>3639</v>
      </c>
      <c r="B3596" s="2" t="s">
        <v>3630</v>
      </c>
      <c r="C3596" s="2"/>
      <c r="D3596" s="2" t="s">
        <v>11</v>
      </c>
      <c r="E3596" s="2">
        <v>10.0</v>
      </c>
      <c r="F3596" s="2" t="s">
        <v>12</v>
      </c>
      <c r="G3596" s="2"/>
      <c r="H3596" s="2"/>
      <c r="I3596" s="2"/>
    </row>
    <row r="3597">
      <c r="A3597" s="1" t="s">
        <v>3640</v>
      </c>
      <c r="B3597" s="2" t="s">
        <v>3630</v>
      </c>
      <c r="C3597" s="2"/>
      <c r="D3597" s="2" t="s">
        <v>11</v>
      </c>
      <c r="E3597" s="2">
        <v>10.0</v>
      </c>
      <c r="F3597" s="2" t="s">
        <v>12</v>
      </c>
      <c r="G3597" s="2"/>
      <c r="H3597" s="2"/>
      <c r="I3597" s="2"/>
    </row>
    <row r="3598">
      <c r="A3598" s="2" t="s">
        <v>3641</v>
      </c>
      <c r="B3598" s="2" t="s">
        <v>3630</v>
      </c>
      <c r="C3598" s="2"/>
      <c r="D3598" s="2" t="s">
        <v>11</v>
      </c>
      <c r="E3598" s="2">
        <v>10.0</v>
      </c>
      <c r="F3598" s="2" t="s">
        <v>12</v>
      </c>
      <c r="G3598" s="2"/>
      <c r="H3598" s="2"/>
      <c r="I3598" s="2"/>
    </row>
    <row r="3599">
      <c r="A3599" s="1" t="s">
        <v>3642</v>
      </c>
      <c r="B3599" s="2" t="s">
        <v>3630</v>
      </c>
      <c r="C3599" s="2"/>
      <c r="D3599" s="2" t="s">
        <v>11</v>
      </c>
      <c r="E3599" s="2">
        <v>10.0</v>
      </c>
      <c r="F3599" s="2" t="s">
        <v>12</v>
      </c>
      <c r="G3599" s="2"/>
      <c r="H3599" s="2"/>
      <c r="I3599" s="2"/>
    </row>
    <row r="3600">
      <c r="A3600" s="1" t="s">
        <v>3643</v>
      </c>
      <c r="B3600" s="2" t="s">
        <v>3630</v>
      </c>
      <c r="C3600" s="2"/>
      <c r="D3600" s="2" t="s">
        <v>11</v>
      </c>
      <c r="E3600" s="2">
        <v>10.0</v>
      </c>
      <c r="F3600" s="2" t="s">
        <v>12</v>
      </c>
      <c r="G3600" s="2"/>
      <c r="H3600" s="2"/>
      <c r="I3600" s="2"/>
    </row>
    <row r="3601">
      <c r="A3601" s="1" t="s">
        <v>3644</v>
      </c>
      <c r="B3601" s="2" t="s">
        <v>3630</v>
      </c>
      <c r="C3601" s="2"/>
      <c r="D3601" s="2" t="s">
        <v>11</v>
      </c>
      <c r="E3601" s="2">
        <v>10.0</v>
      </c>
      <c r="F3601" s="2" t="s">
        <v>12</v>
      </c>
      <c r="G3601" s="2"/>
      <c r="H3601" s="2"/>
      <c r="I3601" s="2"/>
    </row>
    <row r="3602">
      <c r="A3602" s="1" t="s">
        <v>3645</v>
      </c>
      <c r="B3602" s="2" t="s">
        <v>3630</v>
      </c>
      <c r="C3602" s="2"/>
      <c r="D3602" s="2" t="s">
        <v>11</v>
      </c>
      <c r="E3602" s="2">
        <v>10.0</v>
      </c>
      <c r="F3602" s="2" t="s">
        <v>12</v>
      </c>
      <c r="G3602" s="2"/>
      <c r="H3602" s="2"/>
      <c r="I3602" s="2"/>
    </row>
    <row r="3603">
      <c r="A3603" s="1" t="s">
        <v>3646</v>
      </c>
      <c r="B3603" s="2" t="s">
        <v>3630</v>
      </c>
      <c r="C3603" s="2"/>
      <c r="D3603" s="2" t="s">
        <v>11</v>
      </c>
      <c r="E3603" s="2">
        <v>10.0</v>
      </c>
      <c r="F3603" s="2" t="s">
        <v>12</v>
      </c>
      <c r="G3603" s="2"/>
      <c r="H3603" s="2"/>
      <c r="I3603" s="2"/>
    </row>
    <row r="3604">
      <c r="A3604" s="1" t="s">
        <v>3647</v>
      </c>
      <c r="B3604" s="2" t="s">
        <v>3630</v>
      </c>
      <c r="C3604" s="2"/>
      <c r="D3604" s="2" t="s">
        <v>11</v>
      </c>
      <c r="E3604" s="2">
        <v>10.0</v>
      </c>
      <c r="F3604" s="2" t="s">
        <v>12</v>
      </c>
      <c r="G3604" s="2"/>
      <c r="H3604" s="2"/>
      <c r="I3604" s="2"/>
    </row>
    <row r="3605">
      <c r="A3605" s="2" t="s">
        <v>3648</v>
      </c>
      <c r="B3605" s="2" t="s">
        <v>3630</v>
      </c>
      <c r="C3605" s="2"/>
      <c r="D3605" s="2" t="s">
        <v>11</v>
      </c>
      <c r="E3605" s="2">
        <v>10.0</v>
      </c>
      <c r="F3605" s="2" t="s">
        <v>12</v>
      </c>
      <c r="G3605" s="2"/>
      <c r="H3605" s="2"/>
      <c r="I3605" s="2"/>
    </row>
    <row r="3606">
      <c r="A3606" s="1" t="s">
        <v>3649</v>
      </c>
      <c r="B3606" s="2" t="s">
        <v>3630</v>
      </c>
      <c r="C3606" s="2"/>
      <c r="D3606" s="2" t="s">
        <v>11</v>
      </c>
      <c r="E3606" s="2">
        <v>7.0</v>
      </c>
      <c r="F3606" s="2" t="s">
        <v>12</v>
      </c>
      <c r="G3606" s="2"/>
      <c r="H3606" s="2"/>
      <c r="I3606" s="2"/>
    </row>
    <row r="3607">
      <c r="A3607" s="2" t="s">
        <v>3650</v>
      </c>
      <c r="B3607" s="2" t="s">
        <v>3630</v>
      </c>
      <c r="C3607" s="2"/>
      <c r="D3607" s="2" t="s">
        <v>11</v>
      </c>
      <c r="E3607" s="2">
        <v>10.0</v>
      </c>
      <c r="F3607" s="2" t="s">
        <v>12</v>
      </c>
      <c r="G3607" s="2"/>
      <c r="H3607" s="2"/>
      <c r="I3607" s="2"/>
    </row>
    <row r="3608">
      <c r="A3608" s="1" t="s">
        <v>3651</v>
      </c>
      <c r="B3608" s="2" t="s">
        <v>3630</v>
      </c>
      <c r="C3608" s="2"/>
      <c r="D3608" s="2" t="s">
        <v>11</v>
      </c>
      <c r="E3608" s="2">
        <v>10.0</v>
      </c>
      <c r="F3608" s="2" t="s">
        <v>12</v>
      </c>
      <c r="G3608" s="2"/>
      <c r="H3608" s="2"/>
      <c r="I3608" s="2"/>
    </row>
    <row r="3609">
      <c r="A3609" s="1" t="s">
        <v>3652</v>
      </c>
      <c r="B3609" s="2" t="s">
        <v>3630</v>
      </c>
      <c r="C3609" s="2"/>
      <c r="D3609" s="2" t="s">
        <v>11</v>
      </c>
      <c r="E3609" s="2">
        <v>10.0</v>
      </c>
      <c r="F3609" s="2" t="s">
        <v>12</v>
      </c>
      <c r="G3609" s="2"/>
      <c r="H3609" s="2"/>
      <c r="I3609" s="2"/>
    </row>
    <row r="3610">
      <c r="A3610" s="1" t="s">
        <v>3653</v>
      </c>
      <c r="B3610" s="2" t="s">
        <v>3630</v>
      </c>
      <c r="C3610" s="2"/>
      <c r="D3610" s="2" t="s">
        <v>11</v>
      </c>
      <c r="E3610" s="2">
        <v>10.0</v>
      </c>
      <c r="F3610" s="2" t="s">
        <v>12</v>
      </c>
      <c r="G3610" s="2"/>
      <c r="H3610" s="2"/>
      <c r="I3610" s="2"/>
    </row>
    <row r="3611">
      <c r="A3611" s="1" t="s">
        <v>3654</v>
      </c>
      <c r="B3611" s="2" t="s">
        <v>3630</v>
      </c>
      <c r="C3611" s="2"/>
      <c r="D3611" s="2" t="s">
        <v>11</v>
      </c>
      <c r="E3611" s="2">
        <v>10.0</v>
      </c>
      <c r="F3611" s="2" t="s">
        <v>12</v>
      </c>
      <c r="G3611" s="2"/>
      <c r="H3611" s="2"/>
      <c r="I3611" s="2"/>
    </row>
    <row r="3612">
      <c r="A3612" s="1" t="s">
        <v>3655</v>
      </c>
      <c r="B3612" s="2" t="s">
        <v>3630</v>
      </c>
      <c r="C3612" s="2"/>
      <c r="D3612" s="2" t="s">
        <v>11</v>
      </c>
      <c r="E3612" s="2">
        <v>10.0</v>
      </c>
      <c r="F3612" s="2" t="s">
        <v>12</v>
      </c>
      <c r="G3612" s="2"/>
      <c r="H3612" s="2"/>
      <c r="I3612" s="2"/>
    </row>
    <row r="3613">
      <c r="A3613" s="1" t="s">
        <v>3656</v>
      </c>
      <c r="B3613" s="2" t="s">
        <v>3630</v>
      </c>
      <c r="C3613" s="2"/>
      <c r="D3613" s="2" t="s">
        <v>11</v>
      </c>
      <c r="E3613" s="2">
        <v>10.0</v>
      </c>
      <c r="F3613" s="2" t="s">
        <v>12</v>
      </c>
      <c r="G3613" s="2"/>
      <c r="H3613" s="2"/>
      <c r="I3613" s="2"/>
    </row>
    <row r="3614">
      <c r="A3614" s="1" t="s">
        <v>3657</v>
      </c>
      <c r="B3614" s="2" t="s">
        <v>3630</v>
      </c>
      <c r="C3614" s="2"/>
      <c r="D3614" s="2" t="s">
        <v>11</v>
      </c>
      <c r="E3614" s="2">
        <v>10.0</v>
      </c>
      <c r="F3614" s="2" t="s">
        <v>12</v>
      </c>
      <c r="G3614" s="2"/>
      <c r="H3614" s="2"/>
      <c r="I3614" s="2"/>
    </row>
    <row r="3615">
      <c r="A3615" s="2" t="s">
        <v>3658</v>
      </c>
      <c r="B3615" s="2" t="s">
        <v>3659</v>
      </c>
      <c r="C3615" s="2"/>
      <c r="D3615" s="2" t="s">
        <v>11</v>
      </c>
      <c r="E3615" s="2">
        <v>10.0</v>
      </c>
      <c r="F3615" s="2" t="s">
        <v>12</v>
      </c>
      <c r="G3615" s="2"/>
      <c r="H3615" s="2"/>
      <c r="I3615" s="2"/>
    </row>
    <row r="3616">
      <c r="A3616" s="2" t="s">
        <v>3660</v>
      </c>
      <c r="B3616" s="2" t="s">
        <v>3659</v>
      </c>
      <c r="C3616" s="2"/>
      <c r="D3616" s="2" t="s">
        <v>11</v>
      </c>
      <c r="E3616" s="2">
        <v>2.0</v>
      </c>
      <c r="F3616" s="2" t="s">
        <v>12</v>
      </c>
      <c r="G3616" s="2"/>
      <c r="H3616" s="2"/>
      <c r="I3616" s="2"/>
    </row>
    <row r="3617">
      <c r="A3617" s="2" t="s">
        <v>3661</v>
      </c>
      <c r="B3617" s="2" t="s">
        <v>3659</v>
      </c>
      <c r="C3617" s="1"/>
      <c r="D3617" s="2"/>
      <c r="E3617" s="2"/>
      <c r="F3617" s="2"/>
      <c r="G3617" s="2"/>
      <c r="H3617" s="2"/>
      <c r="I3617" s="2"/>
    </row>
    <row r="3618">
      <c r="A3618" s="2" t="s">
        <v>3662</v>
      </c>
      <c r="B3618" s="2" t="s">
        <v>3659</v>
      </c>
      <c r="C3618" s="2"/>
      <c r="D3618" s="2" t="s">
        <v>11</v>
      </c>
      <c r="E3618" s="2">
        <v>10.0</v>
      </c>
      <c r="F3618" s="2" t="s">
        <v>12</v>
      </c>
      <c r="G3618" s="2"/>
      <c r="H3618" s="2"/>
      <c r="I3618" s="2"/>
    </row>
    <row r="3619">
      <c r="A3619" s="2" t="s">
        <v>3663</v>
      </c>
      <c r="B3619" s="2" t="s">
        <v>3659</v>
      </c>
      <c r="C3619" s="2"/>
      <c r="D3619" s="2" t="s">
        <v>11</v>
      </c>
      <c r="E3619" s="2">
        <v>8.0</v>
      </c>
      <c r="F3619" s="2" t="s">
        <v>12</v>
      </c>
      <c r="G3619" s="2"/>
      <c r="H3619" s="2"/>
      <c r="I3619" s="2"/>
    </row>
    <row r="3620">
      <c r="A3620" s="2" t="s">
        <v>3664</v>
      </c>
      <c r="B3620" s="2" t="s">
        <v>3659</v>
      </c>
      <c r="C3620" s="2"/>
      <c r="D3620" s="2" t="s">
        <v>11</v>
      </c>
      <c r="E3620" s="2">
        <v>10.0</v>
      </c>
      <c r="F3620" s="2" t="s">
        <v>12</v>
      </c>
      <c r="G3620" s="2"/>
      <c r="H3620" s="2"/>
      <c r="I3620" s="2"/>
    </row>
    <row r="3621">
      <c r="A3621" s="2" t="s">
        <v>3665</v>
      </c>
      <c r="B3621" s="2" t="s">
        <v>3659</v>
      </c>
      <c r="C3621" s="2"/>
      <c r="D3621" s="2" t="s">
        <v>1023</v>
      </c>
      <c r="E3621" s="2">
        <v>4.0</v>
      </c>
      <c r="F3621" s="2"/>
      <c r="G3621" s="2"/>
      <c r="H3621" s="2"/>
      <c r="I3621" s="2"/>
    </row>
    <row r="3622">
      <c r="A3622" s="2" t="s">
        <v>3666</v>
      </c>
      <c r="B3622" s="2" t="s">
        <v>3659</v>
      </c>
      <c r="C3622" s="2"/>
      <c r="D3622" s="2" t="s">
        <v>11</v>
      </c>
      <c r="E3622" s="2">
        <v>10.0</v>
      </c>
      <c r="F3622" s="2" t="s">
        <v>12</v>
      </c>
      <c r="G3622" s="2"/>
      <c r="H3622" s="2"/>
      <c r="I3622" s="2"/>
    </row>
    <row r="3623">
      <c r="A3623" s="2" t="s">
        <v>3667</v>
      </c>
      <c r="B3623" s="2" t="s">
        <v>3659</v>
      </c>
      <c r="C3623" s="2"/>
      <c r="D3623" s="2" t="s">
        <v>11</v>
      </c>
      <c r="E3623" s="2">
        <v>10.0</v>
      </c>
      <c r="F3623" s="2" t="s">
        <v>12</v>
      </c>
      <c r="G3623" s="2"/>
      <c r="H3623" s="2"/>
      <c r="I3623" s="2"/>
    </row>
    <row r="3624">
      <c r="A3624" s="2" t="s">
        <v>3668</v>
      </c>
      <c r="B3624" s="2" t="s">
        <v>3659</v>
      </c>
      <c r="C3624" s="2"/>
      <c r="D3624" s="2" t="s">
        <v>11</v>
      </c>
      <c r="E3624" s="2">
        <v>10.0</v>
      </c>
      <c r="F3624" s="2" t="s">
        <v>12</v>
      </c>
      <c r="G3624" s="2"/>
      <c r="H3624" s="2"/>
      <c r="I3624" s="2"/>
    </row>
    <row r="3625">
      <c r="A3625" s="2" t="s">
        <v>3669</v>
      </c>
      <c r="B3625" s="2" t="s">
        <v>3659</v>
      </c>
      <c r="C3625" s="1"/>
      <c r="D3625" s="2"/>
      <c r="E3625" s="2"/>
      <c r="F3625" s="2"/>
      <c r="G3625" s="2"/>
      <c r="H3625" s="2"/>
      <c r="I3625" s="2"/>
    </row>
    <row r="3626">
      <c r="A3626" s="2" t="s">
        <v>3670</v>
      </c>
      <c r="B3626" s="2" t="s">
        <v>3659</v>
      </c>
      <c r="C3626" s="2"/>
      <c r="D3626" s="2" t="s">
        <v>11</v>
      </c>
      <c r="E3626" s="2">
        <v>10.0</v>
      </c>
      <c r="F3626" s="2" t="s">
        <v>12</v>
      </c>
      <c r="G3626" s="2"/>
      <c r="H3626" s="2"/>
      <c r="I3626" s="2"/>
    </row>
    <row r="3627">
      <c r="A3627" s="2" t="s">
        <v>3671</v>
      </c>
      <c r="B3627" s="2" t="s">
        <v>3659</v>
      </c>
      <c r="C3627" s="2"/>
      <c r="D3627" s="2" t="s">
        <v>11</v>
      </c>
      <c r="E3627" s="2">
        <v>10.0</v>
      </c>
      <c r="F3627" s="2" t="s">
        <v>12</v>
      </c>
      <c r="G3627" s="2"/>
      <c r="H3627" s="2"/>
      <c r="I3627" s="2"/>
    </row>
    <row r="3628">
      <c r="A3628" s="2" t="s">
        <v>3672</v>
      </c>
      <c r="B3628" s="2" t="s">
        <v>3659</v>
      </c>
      <c r="C3628" s="1"/>
      <c r="D3628" s="2"/>
      <c r="E3628" s="2"/>
      <c r="F3628" s="2"/>
      <c r="G3628" s="2"/>
      <c r="H3628" s="2"/>
      <c r="I3628" s="2"/>
    </row>
    <row r="3629">
      <c r="A3629" s="2" t="s">
        <v>3673</v>
      </c>
      <c r="B3629" s="2" t="s">
        <v>3659</v>
      </c>
      <c r="C3629" s="1"/>
      <c r="D3629" s="2"/>
      <c r="E3629" s="2"/>
      <c r="F3629" s="2"/>
      <c r="G3629" s="2"/>
      <c r="H3629" s="2"/>
      <c r="I3629" s="2"/>
    </row>
    <row r="3630">
      <c r="A3630" s="2" t="s">
        <v>3674</v>
      </c>
      <c r="B3630" s="2" t="s">
        <v>3659</v>
      </c>
      <c r="C3630" s="2"/>
      <c r="D3630" s="2" t="s">
        <v>11</v>
      </c>
      <c r="E3630" s="2">
        <v>10.0</v>
      </c>
      <c r="F3630" s="2" t="s">
        <v>12</v>
      </c>
      <c r="G3630" s="2"/>
      <c r="H3630" s="2"/>
      <c r="I3630" s="2"/>
    </row>
    <row r="3631">
      <c r="A3631" s="2" t="s">
        <v>3675</v>
      </c>
      <c r="B3631" s="2" t="s">
        <v>3659</v>
      </c>
      <c r="C3631" s="2"/>
      <c r="D3631" s="2" t="s">
        <v>11</v>
      </c>
      <c r="E3631" s="2">
        <v>10.0</v>
      </c>
      <c r="F3631" s="2" t="s">
        <v>12</v>
      </c>
      <c r="G3631" s="2"/>
      <c r="H3631" s="2"/>
      <c r="I3631" s="2"/>
    </row>
    <row r="3632">
      <c r="A3632" s="1" t="s">
        <v>3676</v>
      </c>
      <c r="B3632" s="2" t="s">
        <v>3659</v>
      </c>
      <c r="C3632" s="2"/>
      <c r="D3632" s="2" t="s">
        <v>11</v>
      </c>
      <c r="E3632" s="2">
        <v>10.0</v>
      </c>
      <c r="F3632" s="2" t="s">
        <v>12</v>
      </c>
      <c r="G3632" s="2"/>
      <c r="H3632" s="2"/>
      <c r="I3632" s="2"/>
    </row>
    <row r="3633">
      <c r="A3633" s="2" t="s">
        <v>3677</v>
      </c>
      <c r="B3633" s="2" t="s">
        <v>3659</v>
      </c>
      <c r="C3633" s="1"/>
      <c r="D3633" s="2"/>
      <c r="E3633" s="2"/>
      <c r="F3633" s="2"/>
      <c r="G3633" s="2"/>
      <c r="H3633" s="2"/>
      <c r="I3633" s="2"/>
    </row>
    <row r="3634">
      <c r="A3634" s="1" t="s">
        <v>3678</v>
      </c>
      <c r="B3634" s="2" t="s">
        <v>3659</v>
      </c>
      <c r="C3634" s="2"/>
      <c r="D3634" s="2" t="s">
        <v>11</v>
      </c>
      <c r="E3634" s="2">
        <v>10.0</v>
      </c>
      <c r="F3634" s="2" t="s">
        <v>12</v>
      </c>
      <c r="G3634" s="2"/>
      <c r="H3634" s="2"/>
      <c r="I3634" s="2"/>
    </row>
    <row r="3635">
      <c r="A3635" s="1" t="s">
        <v>3679</v>
      </c>
      <c r="B3635" s="2" t="s">
        <v>3659</v>
      </c>
      <c r="C3635" s="2"/>
      <c r="D3635" s="2" t="s">
        <v>11</v>
      </c>
      <c r="E3635" s="2">
        <v>10.0</v>
      </c>
      <c r="F3635" s="2" t="s">
        <v>12</v>
      </c>
      <c r="G3635" s="2"/>
      <c r="H3635" s="2"/>
      <c r="I3635" s="2"/>
    </row>
    <row r="3636">
      <c r="A3636" s="2" t="s">
        <v>3680</v>
      </c>
      <c r="B3636" s="2" t="s">
        <v>3659</v>
      </c>
      <c r="C3636" s="2"/>
      <c r="D3636" s="2" t="s">
        <v>11</v>
      </c>
      <c r="E3636" s="2">
        <v>10.0</v>
      </c>
      <c r="F3636" s="2" t="s">
        <v>12</v>
      </c>
      <c r="G3636" s="2"/>
      <c r="H3636" s="2"/>
      <c r="I3636" s="2"/>
    </row>
    <row r="3637">
      <c r="A3637" s="2" t="s">
        <v>3681</v>
      </c>
      <c r="B3637" s="2" t="s">
        <v>3659</v>
      </c>
      <c r="C3637" s="2"/>
      <c r="D3637" s="2" t="s">
        <v>11</v>
      </c>
      <c r="E3637" s="2">
        <v>10.0</v>
      </c>
      <c r="F3637" s="2" t="s">
        <v>12</v>
      </c>
      <c r="G3637" s="2"/>
      <c r="H3637" s="2"/>
      <c r="I3637" s="2"/>
    </row>
    <row r="3638">
      <c r="A3638" s="2" t="s">
        <v>3682</v>
      </c>
      <c r="B3638" s="2" t="s">
        <v>3659</v>
      </c>
      <c r="C3638" s="2"/>
      <c r="D3638" s="2" t="s">
        <v>11</v>
      </c>
      <c r="E3638" s="2">
        <v>10.0</v>
      </c>
      <c r="F3638" s="2" t="s">
        <v>12</v>
      </c>
      <c r="G3638" s="2"/>
      <c r="H3638" s="2"/>
      <c r="I3638" s="2"/>
    </row>
    <row r="3639">
      <c r="A3639" s="2" t="s">
        <v>3683</v>
      </c>
      <c r="B3639" s="2" t="s">
        <v>3659</v>
      </c>
      <c r="C3639" s="2"/>
      <c r="D3639" s="2" t="s">
        <v>11</v>
      </c>
      <c r="E3639" s="2">
        <v>10.0</v>
      </c>
      <c r="F3639" s="2" t="s">
        <v>12</v>
      </c>
      <c r="G3639" s="2"/>
      <c r="H3639" s="2"/>
      <c r="I3639" s="2"/>
    </row>
    <row r="3640">
      <c r="A3640" s="2" t="s">
        <v>3684</v>
      </c>
      <c r="B3640" s="2" t="s">
        <v>3659</v>
      </c>
      <c r="C3640" s="2"/>
      <c r="D3640" s="2" t="s">
        <v>11</v>
      </c>
      <c r="E3640" s="2">
        <v>10.0</v>
      </c>
      <c r="F3640" s="2" t="s">
        <v>12</v>
      </c>
      <c r="G3640" s="2"/>
      <c r="H3640" s="2"/>
      <c r="I3640" s="2"/>
    </row>
    <row r="3641">
      <c r="A3641" s="2" t="s">
        <v>3685</v>
      </c>
      <c r="B3641" s="2" t="s">
        <v>3659</v>
      </c>
      <c r="C3641" s="2"/>
      <c r="D3641" s="2" t="s">
        <v>11</v>
      </c>
      <c r="E3641" s="2">
        <v>10.0</v>
      </c>
      <c r="F3641" s="2" t="s">
        <v>12</v>
      </c>
      <c r="G3641" s="2"/>
      <c r="H3641" s="2"/>
      <c r="I3641" s="2"/>
    </row>
    <row r="3642">
      <c r="A3642" s="2" t="s">
        <v>3686</v>
      </c>
      <c r="B3642" s="2" t="s">
        <v>3659</v>
      </c>
      <c r="C3642" s="1"/>
      <c r="D3642" s="2"/>
      <c r="E3642" s="2"/>
      <c r="F3642" s="2"/>
      <c r="G3642" s="2"/>
      <c r="H3642" s="2"/>
      <c r="I3642" s="2"/>
    </row>
    <row r="3643">
      <c r="A3643" s="2" t="s">
        <v>3687</v>
      </c>
      <c r="B3643" s="2" t="s">
        <v>3659</v>
      </c>
      <c r="C3643" s="1"/>
      <c r="D3643" s="2"/>
      <c r="E3643" s="2"/>
      <c r="F3643" s="2"/>
      <c r="G3643" s="2"/>
      <c r="H3643" s="2"/>
      <c r="I3643" s="2"/>
    </row>
    <row r="3644">
      <c r="A3644" s="2" t="s">
        <v>3688</v>
      </c>
      <c r="B3644" s="2" t="s">
        <v>3659</v>
      </c>
      <c r="C3644" s="2"/>
      <c r="D3644" s="2" t="s">
        <v>11</v>
      </c>
      <c r="E3644" s="2">
        <v>10.0</v>
      </c>
      <c r="F3644" s="2" t="s">
        <v>12</v>
      </c>
      <c r="G3644" s="2"/>
      <c r="H3644" s="2"/>
      <c r="I3644" s="2"/>
    </row>
    <row r="3645">
      <c r="A3645" s="1" t="s">
        <v>3689</v>
      </c>
      <c r="B3645" s="2" t="s">
        <v>3659</v>
      </c>
      <c r="C3645" s="2"/>
      <c r="D3645" s="2" t="s">
        <v>11</v>
      </c>
      <c r="E3645" s="2">
        <v>10.0</v>
      </c>
      <c r="F3645" s="2" t="s">
        <v>12</v>
      </c>
      <c r="G3645" s="2"/>
      <c r="H3645" s="2"/>
      <c r="I3645" s="2"/>
    </row>
    <row r="3646">
      <c r="A3646" s="1" t="s">
        <v>3690</v>
      </c>
      <c r="B3646" s="2" t="s">
        <v>3659</v>
      </c>
      <c r="C3646" s="2"/>
      <c r="D3646" s="2" t="s">
        <v>11</v>
      </c>
      <c r="E3646" s="2">
        <v>10.0</v>
      </c>
      <c r="F3646" s="2" t="s">
        <v>12</v>
      </c>
      <c r="G3646" s="2"/>
      <c r="H3646" s="2"/>
      <c r="I3646" s="2"/>
    </row>
    <row r="3647">
      <c r="A3647" s="2" t="s">
        <v>3691</v>
      </c>
      <c r="B3647" s="2" t="s">
        <v>3659</v>
      </c>
      <c r="C3647" s="2"/>
      <c r="D3647" s="2" t="s">
        <v>11</v>
      </c>
      <c r="E3647" s="2">
        <v>10.0</v>
      </c>
      <c r="F3647" s="2" t="s">
        <v>12</v>
      </c>
      <c r="G3647" s="2"/>
      <c r="H3647" s="2"/>
      <c r="I3647" s="2"/>
    </row>
    <row r="3648">
      <c r="A3648" s="2" t="s">
        <v>3692</v>
      </c>
      <c r="B3648" s="2" t="s">
        <v>3659</v>
      </c>
      <c r="C3648" s="2"/>
      <c r="D3648" s="2" t="s">
        <v>11</v>
      </c>
      <c r="E3648" s="2">
        <v>10.0</v>
      </c>
      <c r="F3648" s="2" t="s">
        <v>12</v>
      </c>
      <c r="G3648" s="2"/>
      <c r="H3648" s="2"/>
      <c r="I3648" s="2"/>
    </row>
    <row r="3649">
      <c r="A3649" s="2" t="s">
        <v>3693</v>
      </c>
      <c r="B3649" s="2" t="s">
        <v>3659</v>
      </c>
      <c r="C3649" s="2"/>
      <c r="D3649" s="2" t="s">
        <v>11</v>
      </c>
      <c r="E3649" s="2">
        <v>10.0</v>
      </c>
      <c r="F3649" s="2" t="s">
        <v>12</v>
      </c>
      <c r="G3649" s="2"/>
      <c r="H3649" s="2"/>
      <c r="I3649" s="2"/>
    </row>
    <row r="3650">
      <c r="A3650" s="2" t="s">
        <v>3694</v>
      </c>
      <c r="B3650" s="2" t="s">
        <v>3659</v>
      </c>
      <c r="C3650" s="1"/>
      <c r="D3650" s="2"/>
      <c r="E3650" s="2"/>
      <c r="F3650" s="2"/>
      <c r="G3650" s="2"/>
      <c r="H3650" s="2"/>
      <c r="I3650" s="2"/>
    </row>
    <row r="3651">
      <c r="A3651" s="2" t="s">
        <v>3695</v>
      </c>
      <c r="B3651" s="2" t="s">
        <v>3659</v>
      </c>
      <c r="C3651" s="1"/>
      <c r="D3651" s="2"/>
      <c r="E3651" s="2"/>
      <c r="F3651" s="2"/>
      <c r="G3651" s="2"/>
      <c r="H3651" s="2"/>
      <c r="I3651" s="2"/>
    </row>
    <row r="3652">
      <c r="A3652" s="2" t="s">
        <v>3696</v>
      </c>
      <c r="B3652" s="2" t="s">
        <v>3659</v>
      </c>
      <c r="C3652" s="1"/>
      <c r="D3652" s="2"/>
      <c r="E3652" s="2"/>
      <c r="F3652" s="2"/>
      <c r="G3652" s="2"/>
      <c r="H3652" s="2"/>
      <c r="I3652" s="2"/>
    </row>
    <row r="3653">
      <c r="A3653" s="2" t="s">
        <v>3697</v>
      </c>
      <c r="B3653" s="2" t="s">
        <v>3659</v>
      </c>
      <c r="C3653" s="1"/>
      <c r="D3653" s="2"/>
      <c r="E3653" s="2"/>
      <c r="F3653" s="2"/>
      <c r="G3653" s="2"/>
      <c r="H3653" s="2"/>
      <c r="I3653" s="2"/>
    </row>
    <row r="3654">
      <c r="A3654" s="2" t="s">
        <v>3698</v>
      </c>
      <c r="B3654" s="2" t="s">
        <v>3659</v>
      </c>
      <c r="C3654" s="1"/>
      <c r="D3654" s="2"/>
      <c r="E3654" s="2"/>
      <c r="F3654" s="2"/>
      <c r="G3654" s="2"/>
      <c r="H3654" s="2"/>
      <c r="I3654" s="2"/>
    </row>
    <row r="3655">
      <c r="A3655" s="2" t="s">
        <v>3699</v>
      </c>
      <c r="B3655" s="2" t="s">
        <v>3659</v>
      </c>
      <c r="C3655" s="1"/>
      <c r="D3655" s="2"/>
      <c r="E3655" s="2"/>
      <c r="F3655" s="2"/>
      <c r="G3655" s="2"/>
      <c r="H3655" s="2"/>
      <c r="I3655" s="2"/>
    </row>
    <row r="3656">
      <c r="A3656" s="2" t="s">
        <v>3700</v>
      </c>
      <c r="B3656" s="2" t="s">
        <v>3659</v>
      </c>
      <c r="C3656" s="1"/>
      <c r="D3656" s="2"/>
      <c r="E3656" s="2"/>
      <c r="F3656" s="2"/>
      <c r="G3656" s="2"/>
      <c r="H3656" s="2"/>
      <c r="I3656" s="2"/>
    </row>
    <row r="3657">
      <c r="A3657" s="1" t="s">
        <v>3701</v>
      </c>
      <c r="B3657" s="2" t="s">
        <v>3659</v>
      </c>
      <c r="C3657" s="2"/>
      <c r="D3657" s="2" t="s">
        <v>11</v>
      </c>
      <c r="E3657" s="2">
        <v>10.0</v>
      </c>
      <c r="F3657" s="2" t="s">
        <v>12</v>
      </c>
      <c r="G3657" s="2"/>
      <c r="H3657" s="2"/>
      <c r="I3657" s="2"/>
    </row>
    <row r="3658">
      <c r="A3658" s="1" t="s">
        <v>3702</v>
      </c>
      <c r="B3658" s="2" t="s">
        <v>3659</v>
      </c>
      <c r="C3658" s="2"/>
      <c r="D3658" s="2" t="s">
        <v>11</v>
      </c>
      <c r="E3658" s="2">
        <v>10.0</v>
      </c>
      <c r="F3658" s="2" t="s">
        <v>12</v>
      </c>
      <c r="G3658" s="2"/>
      <c r="H3658" s="2"/>
      <c r="I3658" s="2"/>
    </row>
    <row r="3659">
      <c r="A3659" s="2" t="s">
        <v>3703</v>
      </c>
      <c r="B3659" s="2" t="s">
        <v>3659</v>
      </c>
      <c r="C3659" s="2"/>
      <c r="D3659" s="2" t="s">
        <v>11</v>
      </c>
      <c r="E3659" s="2">
        <v>10.0</v>
      </c>
      <c r="F3659" s="2" t="s">
        <v>12</v>
      </c>
      <c r="G3659" s="2"/>
      <c r="H3659" s="2"/>
      <c r="I3659" s="2"/>
    </row>
    <row r="3660">
      <c r="A3660" s="2" t="s">
        <v>3704</v>
      </c>
      <c r="B3660" s="2" t="s">
        <v>3659</v>
      </c>
      <c r="C3660" s="2"/>
      <c r="D3660" s="2" t="s">
        <v>11</v>
      </c>
      <c r="E3660" s="2">
        <v>10.0</v>
      </c>
      <c r="F3660" s="2" t="s">
        <v>12</v>
      </c>
      <c r="G3660" s="2"/>
      <c r="H3660" s="2"/>
      <c r="I3660" s="2"/>
    </row>
    <row r="3661">
      <c r="A3661" s="2" t="s">
        <v>3705</v>
      </c>
      <c r="B3661" s="2" t="s">
        <v>3659</v>
      </c>
      <c r="C3661" s="1"/>
      <c r="D3661" s="2"/>
      <c r="E3661" s="2"/>
      <c r="F3661" s="2"/>
      <c r="G3661" s="2"/>
      <c r="H3661" s="2"/>
      <c r="I3661" s="2"/>
    </row>
    <row r="3662">
      <c r="A3662" s="2" t="s">
        <v>3706</v>
      </c>
      <c r="B3662" s="2" t="s">
        <v>3707</v>
      </c>
      <c r="C3662" s="1"/>
      <c r="D3662" s="2"/>
      <c r="E3662" s="2"/>
      <c r="F3662" s="2"/>
      <c r="G3662" s="2"/>
      <c r="H3662" s="2"/>
      <c r="I3662" s="2"/>
    </row>
    <row r="3663">
      <c r="A3663" s="2" t="s">
        <v>3708</v>
      </c>
      <c r="B3663" s="2" t="s">
        <v>3707</v>
      </c>
      <c r="C3663" s="1"/>
      <c r="D3663" s="2"/>
      <c r="E3663" s="2"/>
      <c r="F3663" s="2"/>
      <c r="G3663" s="2"/>
      <c r="H3663" s="2"/>
      <c r="I3663" s="2"/>
    </row>
    <row r="3664">
      <c r="A3664" s="2" t="s">
        <v>3709</v>
      </c>
      <c r="B3664" s="2" t="s">
        <v>3707</v>
      </c>
      <c r="C3664" s="1"/>
      <c r="D3664" s="2"/>
      <c r="E3664" s="2"/>
      <c r="F3664" s="2"/>
      <c r="G3664" s="2"/>
      <c r="H3664" s="2"/>
      <c r="I3664" s="2"/>
    </row>
    <row r="3665">
      <c r="A3665" s="2" t="s">
        <v>3710</v>
      </c>
      <c r="B3665" s="2" t="s">
        <v>3707</v>
      </c>
      <c r="C3665" s="1"/>
      <c r="D3665" s="2"/>
      <c r="E3665" s="2"/>
      <c r="F3665" s="2"/>
      <c r="G3665" s="2"/>
      <c r="H3665" s="2"/>
      <c r="I3665" s="2"/>
    </row>
    <row r="3666">
      <c r="A3666" s="2" t="s">
        <v>3711</v>
      </c>
      <c r="B3666" s="2" t="s">
        <v>3707</v>
      </c>
      <c r="C3666" s="1"/>
      <c r="D3666" s="2"/>
      <c r="E3666" s="2"/>
      <c r="F3666" s="2"/>
      <c r="G3666" s="2"/>
      <c r="H3666" s="2"/>
      <c r="I3666" s="2"/>
    </row>
    <row r="3667">
      <c r="A3667" s="2" t="s">
        <v>3712</v>
      </c>
      <c r="B3667" s="2" t="s">
        <v>3707</v>
      </c>
      <c r="C3667" s="1"/>
      <c r="D3667" s="2"/>
      <c r="E3667" s="2"/>
      <c r="F3667" s="2"/>
      <c r="G3667" s="2"/>
      <c r="H3667" s="2"/>
      <c r="I3667" s="2"/>
    </row>
    <row r="3668">
      <c r="A3668" s="2" t="s">
        <v>3713</v>
      </c>
      <c r="B3668" s="2" t="s">
        <v>3707</v>
      </c>
      <c r="C3668" s="1"/>
      <c r="D3668" s="2"/>
      <c r="E3668" s="2"/>
      <c r="F3668" s="2"/>
      <c r="G3668" s="2"/>
      <c r="H3668" s="2"/>
      <c r="I3668" s="2"/>
    </row>
    <row r="3669">
      <c r="A3669" s="2" t="s">
        <v>3714</v>
      </c>
      <c r="B3669" s="2" t="s">
        <v>3707</v>
      </c>
      <c r="C3669" s="1"/>
      <c r="D3669" s="2"/>
      <c r="E3669" s="2"/>
      <c r="F3669" s="2"/>
      <c r="G3669" s="2"/>
      <c r="H3669" s="2"/>
      <c r="I3669" s="2"/>
    </row>
    <row r="3670">
      <c r="A3670" s="2" t="s">
        <v>3715</v>
      </c>
      <c r="B3670" s="2" t="s">
        <v>3707</v>
      </c>
      <c r="C3670" s="2"/>
      <c r="D3670" s="2" t="s">
        <v>37</v>
      </c>
      <c r="E3670" s="2">
        <v>10.0</v>
      </c>
      <c r="F3670" s="2" t="s">
        <v>12</v>
      </c>
      <c r="G3670" s="2"/>
      <c r="H3670" s="2"/>
      <c r="I3670" s="2"/>
    </row>
    <row r="3671">
      <c r="A3671" s="2" t="s">
        <v>3716</v>
      </c>
      <c r="B3671" s="2" t="s">
        <v>3707</v>
      </c>
      <c r="C3671" s="2"/>
      <c r="D3671" s="2" t="s">
        <v>11</v>
      </c>
      <c r="E3671" s="2">
        <v>10.0</v>
      </c>
      <c r="F3671" s="2" t="s">
        <v>12</v>
      </c>
      <c r="G3671" s="2"/>
      <c r="H3671" s="2"/>
      <c r="I3671" s="2"/>
    </row>
    <row r="3672">
      <c r="A3672" s="2" t="s">
        <v>3717</v>
      </c>
      <c r="B3672" s="2" t="s">
        <v>3707</v>
      </c>
      <c r="C3672" s="1"/>
      <c r="D3672" s="2"/>
      <c r="E3672" s="2"/>
      <c r="F3672" s="2"/>
      <c r="G3672" s="2"/>
      <c r="H3672" s="2"/>
      <c r="I3672" s="2"/>
    </row>
    <row r="3673">
      <c r="A3673" s="2" t="s">
        <v>3718</v>
      </c>
      <c r="B3673" s="2" t="s">
        <v>3707</v>
      </c>
      <c r="C3673" s="1"/>
      <c r="D3673" s="2"/>
      <c r="E3673" s="2"/>
      <c r="F3673" s="2"/>
      <c r="G3673" s="2"/>
      <c r="H3673" s="2"/>
      <c r="I3673" s="2"/>
    </row>
    <row r="3674">
      <c r="A3674" s="2" t="s">
        <v>3719</v>
      </c>
      <c r="B3674" s="2" t="s">
        <v>3720</v>
      </c>
      <c r="C3674" s="2"/>
      <c r="D3674" s="2" t="s">
        <v>37</v>
      </c>
      <c r="E3674" s="2">
        <v>10.0</v>
      </c>
      <c r="F3674" s="2" t="s">
        <v>12</v>
      </c>
      <c r="G3674" s="2"/>
      <c r="H3674" s="2"/>
      <c r="I3674" s="2"/>
    </row>
    <row r="3675">
      <c r="A3675" s="2" t="s">
        <v>3721</v>
      </c>
      <c r="B3675" s="2" t="s">
        <v>3722</v>
      </c>
      <c r="C3675" s="2"/>
      <c r="D3675" s="2" t="s">
        <v>37</v>
      </c>
      <c r="E3675" s="2">
        <v>10.0</v>
      </c>
      <c r="F3675" s="2" t="s">
        <v>12</v>
      </c>
      <c r="G3675" s="2"/>
      <c r="H3675" s="2"/>
      <c r="I3675" s="2"/>
    </row>
    <row r="3676">
      <c r="A3676" s="2" t="s">
        <v>3723</v>
      </c>
      <c r="B3676" s="2" t="s">
        <v>3722</v>
      </c>
      <c r="C3676" s="2"/>
      <c r="D3676" s="2" t="s">
        <v>11</v>
      </c>
      <c r="E3676" s="2">
        <v>15.0</v>
      </c>
      <c r="F3676" s="2" t="s">
        <v>12</v>
      </c>
      <c r="G3676" s="2"/>
      <c r="H3676" s="2"/>
      <c r="I3676" s="2"/>
    </row>
    <row r="3677">
      <c r="A3677" s="2" t="s">
        <v>3724</v>
      </c>
      <c r="B3677" s="2" t="s">
        <v>3722</v>
      </c>
      <c r="C3677" s="2"/>
      <c r="D3677" s="2" t="s">
        <v>37</v>
      </c>
      <c r="E3677" s="2">
        <v>15.0</v>
      </c>
      <c r="F3677" s="2" t="s">
        <v>12</v>
      </c>
      <c r="G3677" s="2"/>
      <c r="H3677" s="2"/>
      <c r="I3677" s="2"/>
    </row>
    <row r="3678">
      <c r="A3678" s="2" t="s">
        <v>3725</v>
      </c>
      <c r="B3678" s="2" t="s">
        <v>3722</v>
      </c>
      <c r="C3678" s="1"/>
      <c r="D3678" s="2"/>
      <c r="E3678" s="2"/>
      <c r="F3678" s="2"/>
      <c r="G3678" s="2"/>
      <c r="H3678" s="2"/>
      <c r="I3678" s="2"/>
    </row>
    <row r="3679">
      <c r="A3679" s="1" t="s">
        <v>3726</v>
      </c>
      <c r="B3679" s="2" t="s">
        <v>3722</v>
      </c>
      <c r="C3679" s="2"/>
      <c r="D3679" s="2" t="s">
        <v>73</v>
      </c>
      <c r="E3679" s="2">
        <v>1.0</v>
      </c>
      <c r="F3679" s="2" t="s">
        <v>74</v>
      </c>
      <c r="G3679" s="2"/>
      <c r="H3679" s="2"/>
      <c r="I3679" s="2"/>
    </row>
    <row r="3680">
      <c r="A3680" s="2" t="s">
        <v>3727</v>
      </c>
      <c r="B3680" s="2" t="s">
        <v>3722</v>
      </c>
      <c r="C3680" s="2"/>
      <c r="D3680" s="2" t="s">
        <v>11</v>
      </c>
      <c r="E3680" s="2">
        <v>10.0</v>
      </c>
      <c r="F3680" s="2" t="s">
        <v>12</v>
      </c>
      <c r="G3680" s="2"/>
      <c r="H3680" s="2"/>
      <c r="I3680" s="2"/>
    </row>
    <row r="3681">
      <c r="A3681" s="1" t="s">
        <v>3728</v>
      </c>
      <c r="B3681" s="2" t="s">
        <v>3722</v>
      </c>
      <c r="C3681" s="2"/>
      <c r="D3681" s="2" t="s">
        <v>11</v>
      </c>
      <c r="E3681" s="2">
        <v>10.0</v>
      </c>
      <c r="F3681" s="2" t="s">
        <v>12</v>
      </c>
      <c r="G3681" s="2"/>
      <c r="H3681" s="2"/>
      <c r="I3681" s="2"/>
    </row>
    <row r="3682">
      <c r="A3682" s="2" t="s">
        <v>3729</v>
      </c>
      <c r="B3682" s="2" t="s">
        <v>3722</v>
      </c>
      <c r="C3682" s="2"/>
      <c r="D3682" s="2" t="s">
        <v>11</v>
      </c>
      <c r="E3682" s="2">
        <v>12.0</v>
      </c>
      <c r="F3682" s="2" t="s">
        <v>12</v>
      </c>
      <c r="G3682" s="2"/>
      <c r="H3682" s="2"/>
      <c r="I3682" s="2"/>
    </row>
    <row r="3683">
      <c r="A3683" s="1" t="s">
        <v>3730</v>
      </c>
      <c r="B3683" s="2" t="s">
        <v>3722</v>
      </c>
      <c r="C3683" s="2"/>
      <c r="D3683" s="2" t="s">
        <v>37</v>
      </c>
      <c r="E3683" s="2">
        <v>10.0</v>
      </c>
      <c r="F3683" s="2" t="s">
        <v>12</v>
      </c>
      <c r="G3683" s="2"/>
      <c r="H3683" s="2"/>
      <c r="I3683" s="2"/>
    </row>
    <row r="3684">
      <c r="A3684" s="2" t="s">
        <v>3731</v>
      </c>
      <c r="B3684" s="2" t="s">
        <v>3722</v>
      </c>
      <c r="C3684" s="2"/>
      <c r="D3684" s="2" t="s">
        <v>37</v>
      </c>
      <c r="E3684" s="2">
        <v>10.0</v>
      </c>
      <c r="F3684" s="2" t="s">
        <v>12</v>
      </c>
      <c r="G3684" s="2"/>
      <c r="H3684" s="2"/>
      <c r="I3684" s="2"/>
    </row>
    <row r="3685">
      <c r="A3685" s="2" t="s">
        <v>3732</v>
      </c>
      <c r="B3685" s="2" t="s">
        <v>3722</v>
      </c>
      <c r="C3685" s="2"/>
      <c r="D3685" s="2" t="s">
        <v>37</v>
      </c>
      <c r="E3685" s="2">
        <v>10.0</v>
      </c>
      <c r="F3685" s="2" t="s">
        <v>12</v>
      </c>
      <c r="G3685" s="2"/>
      <c r="H3685" s="2"/>
      <c r="I3685" s="2"/>
    </row>
    <row r="3686">
      <c r="A3686" s="2" t="s">
        <v>3733</v>
      </c>
      <c r="B3686" s="2" t="s">
        <v>3722</v>
      </c>
      <c r="C3686" s="2"/>
      <c r="D3686" s="2" t="s">
        <v>37</v>
      </c>
      <c r="E3686" s="2">
        <v>15.0</v>
      </c>
      <c r="F3686" s="2" t="s">
        <v>12</v>
      </c>
      <c r="G3686" s="2"/>
      <c r="H3686" s="2"/>
      <c r="I3686" s="2"/>
    </row>
    <row r="3687">
      <c r="A3687" s="2" t="s">
        <v>3734</v>
      </c>
      <c r="B3687" s="2" t="s">
        <v>3722</v>
      </c>
      <c r="C3687" s="1"/>
      <c r="D3687" s="2"/>
      <c r="E3687" s="2"/>
      <c r="F3687" s="2"/>
      <c r="G3687" s="2"/>
      <c r="H3687" s="2"/>
      <c r="I3687" s="2"/>
    </row>
    <row r="3688">
      <c r="A3688" s="2" t="s">
        <v>3735</v>
      </c>
      <c r="B3688" s="2" t="s">
        <v>3722</v>
      </c>
      <c r="C3688" s="2"/>
      <c r="D3688" s="2" t="s">
        <v>37</v>
      </c>
      <c r="E3688" s="2">
        <v>10.0</v>
      </c>
      <c r="F3688" s="2" t="s">
        <v>12</v>
      </c>
      <c r="G3688" s="2"/>
      <c r="H3688" s="2"/>
      <c r="I3688" s="2"/>
    </row>
    <row r="3689">
      <c r="A3689" s="2" t="s">
        <v>3736</v>
      </c>
      <c r="B3689" s="2" t="s">
        <v>3722</v>
      </c>
      <c r="C3689" s="2"/>
      <c r="D3689" s="2" t="s">
        <v>37</v>
      </c>
      <c r="E3689" s="2">
        <v>10.0</v>
      </c>
      <c r="F3689" s="2" t="s">
        <v>12</v>
      </c>
      <c r="G3689" s="2"/>
      <c r="H3689" s="2"/>
      <c r="I3689" s="2"/>
    </row>
    <row r="3690">
      <c r="A3690" s="2" t="s">
        <v>3737</v>
      </c>
      <c r="B3690" s="2" t="s">
        <v>3722</v>
      </c>
      <c r="C3690" s="2"/>
      <c r="D3690" s="2" t="s">
        <v>37</v>
      </c>
      <c r="E3690" s="2">
        <v>10.0</v>
      </c>
      <c r="F3690" s="2" t="s">
        <v>12</v>
      </c>
      <c r="G3690" s="2"/>
      <c r="H3690" s="2"/>
      <c r="I3690" s="2"/>
    </row>
    <row r="3691">
      <c r="A3691" s="2" t="s">
        <v>3738</v>
      </c>
      <c r="B3691" s="2" t="s">
        <v>3722</v>
      </c>
      <c r="C3691" s="1"/>
      <c r="D3691" s="2"/>
      <c r="E3691" s="2"/>
      <c r="F3691" s="2"/>
      <c r="G3691" s="2"/>
      <c r="H3691" s="2"/>
      <c r="I3691" s="2"/>
    </row>
    <row r="3692">
      <c r="A3692" s="2" t="s">
        <v>3739</v>
      </c>
      <c r="B3692" s="2" t="s">
        <v>3722</v>
      </c>
      <c r="C3692" s="2"/>
      <c r="D3692" s="2" t="s">
        <v>11</v>
      </c>
      <c r="E3692" s="2">
        <v>10.0</v>
      </c>
      <c r="F3692" s="2" t="s">
        <v>12</v>
      </c>
      <c r="G3692" s="2"/>
      <c r="H3692" s="2"/>
      <c r="I3692" s="2"/>
    </row>
    <row r="3693">
      <c r="A3693" s="2" t="s">
        <v>3740</v>
      </c>
      <c r="B3693" s="2" t="s">
        <v>3722</v>
      </c>
      <c r="C3693" s="2"/>
      <c r="D3693" s="2" t="s">
        <v>37</v>
      </c>
      <c r="E3693" s="2">
        <v>10.0</v>
      </c>
      <c r="F3693" s="2" t="s">
        <v>12</v>
      </c>
      <c r="G3693" s="2"/>
      <c r="H3693" s="2"/>
      <c r="I3693" s="2"/>
    </row>
    <row r="3694">
      <c r="A3694" s="1" t="s">
        <v>3741</v>
      </c>
      <c r="B3694" s="2" t="s">
        <v>3722</v>
      </c>
      <c r="C3694" s="1"/>
      <c r="D3694" s="2"/>
      <c r="E3694" s="2"/>
      <c r="F3694" s="2"/>
      <c r="G3694" s="2"/>
      <c r="H3694" s="2"/>
      <c r="I3694" s="2"/>
    </row>
    <row r="3695">
      <c r="A3695" s="2" t="s">
        <v>3742</v>
      </c>
      <c r="B3695" s="2" t="s">
        <v>3722</v>
      </c>
      <c r="C3695" s="2"/>
      <c r="D3695" s="2" t="s">
        <v>37</v>
      </c>
      <c r="E3695" s="2">
        <v>10.0</v>
      </c>
      <c r="F3695" s="2" t="s">
        <v>12</v>
      </c>
      <c r="G3695" s="2"/>
      <c r="H3695" s="2"/>
      <c r="I3695" s="2"/>
    </row>
    <row r="3696">
      <c r="A3696" s="2" t="s">
        <v>3743</v>
      </c>
      <c r="B3696" s="2" t="s">
        <v>3722</v>
      </c>
      <c r="C3696" s="2"/>
      <c r="D3696" s="2" t="s">
        <v>37</v>
      </c>
      <c r="E3696" s="2">
        <v>10.0</v>
      </c>
      <c r="F3696" s="2" t="s">
        <v>12</v>
      </c>
      <c r="G3696" s="2"/>
      <c r="H3696" s="2"/>
      <c r="I3696" s="2"/>
    </row>
    <row r="3697">
      <c r="A3697" s="2" t="s">
        <v>3744</v>
      </c>
      <c r="B3697" s="2" t="s">
        <v>3722</v>
      </c>
      <c r="C3697" s="1"/>
      <c r="D3697" s="2"/>
      <c r="E3697" s="2"/>
      <c r="F3697" s="2"/>
      <c r="G3697" s="2"/>
      <c r="H3697" s="2"/>
      <c r="I3697" s="2"/>
    </row>
    <row r="3698">
      <c r="A3698" s="2" t="s">
        <v>3745</v>
      </c>
      <c r="B3698" s="2" t="s">
        <v>3722</v>
      </c>
      <c r="C3698" s="1"/>
      <c r="D3698" s="2"/>
      <c r="E3698" s="2"/>
      <c r="F3698" s="2"/>
      <c r="G3698" s="2"/>
      <c r="H3698" s="2"/>
      <c r="I3698" s="2"/>
    </row>
    <row r="3699">
      <c r="A3699" s="2" t="s">
        <v>3746</v>
      </c>
      <c r="B3699" s="2" t="s">
        <v>3722</v>
      </c>
      <c r="C3699" s="2"/>
      <c r="D3699" s="2" t="s">
        <v>37</v>
      </c>
      <c r="E3699" s="2">
        <v>10.0</v>
      </c>
      <c r="F3699" s="2" t="s">
        <v>12</v>
      </c>
      <c r="G3699" s="2"/>
      <c r="H3699" s="2"/>
      <c r="I3699" s="2"/>
    </row>
    <row r="3700">
      <c r="A3700" s="2" t="s">
        <v>3747</v>
      </c>
      <c r="B3700" s="2" t="s">
        <v>3722</v>
      </c>
      <c r="C3700" s="2"/>
      <c r="D3700" s="2" t="s">
        <v>11</v>
      </c>
      <c r="E3700" s="2">
        <v>10.0</v>
      </c>
      <c r="F3700" s="2" t="s">
        <v>12</v>
      </c>
      <c r="G3700" s="2"/>
      <c r="H3700" s="2"/>
      <c r="I3700" s="2"/>
    </row>
    <row r="3701">
      <c r="A3701" s="2" t="s">
        <v>3748</v>
      </c>
      <c r="B3701" s="2" t="s">
        <v>3722</v>
      </c>
      <c r="C3701" s="2"/>
      <c r="D3701" s="2" t="s">
        <v>11</v>
      </c>
      <c r="E3701" s="2">
        <v>10.0</v>
      </c>
      <c r="F3701" s="2" t="s">
        <v>12</v>
      </c>
      <c r="G3701" s="2"/>
      <c r="H3701" s="2"/>
      <c r="I3701" s="2"/>
    </row>
    <row r="3702">
      <c r="A3702" s="2" t="s">
        <v>3749</v>
      </c>
      <c r="B3702" s="2" t="s">
        <v>3722</v>
      </c>
      <c r="C3702" s="2"/>
      <c r="D3702" s="2" t="s">
        <v>11</v>
      </c>
      <c r="E3702" s="2">
        <v>10.0</v>
      </c>
      <c r="F3702" s="2" t="s">
        <v>12</v>
      </c>
      <c r="G3702" s="2"/>
      <c r="H3702" s="2"/>
      <c r="I3702" s="2"/>
    </row>
    <row r="3703">
      <c r="A3703" s="2" t="s">
        <v>3750</v>
      </c>
      <c r="B3703" s="2" t="s">
        <v>3751</v>
      </c>
      <c r="C3703" s="2"/>
      <c r="D3703" s="2" t="s">
        <v>37</v>
      </c>
      <c r="E3703" s="2">
        <v>10.0</v>
      </c>
      <c r="F3703" s="2" t="s">
        <v>12</v>
      </c>
      <c r="G3703" s="2"/>
      <c r="H3703" s="2"/>
      <c r="I3703" s="2"/>
    </row>
    <row r="3704">
      <c r="A3704" s="2" t="s">
        <v>3752</v>
      </c>
      <c r="B3704" s="2" t="s">
        <v>3751</v>
      </c>
      <c r="C3704" s="2"/>
      <c r="D3704" s="2" t="s">
        <v>11</v>
      </c>
      <c r="E3704" s="2">
        <v>10.0</v>
      </c>
      <c r="F3704" s="2" t="s">
        <v>12</v>
      </c>
      <c r="G3704" s="2"/>
      <c r="H3704" s="2"/>
      <c r="I3704" s="2"/>
    </row>
    <row r="3705">
      <c r="A3705" s="2" t="s">
        <v>3753</v>
      </c>
      <c r="B3705" s="2" t="s">
        <v>3751</v>
      </c>
      <c r="C3705" s="2"/>
      <c r="D3705" s="2" t="s">
        <v>37</v>
      </c>
      <c r="E3705" s="2">
        <v>10.0</v>
      </c>
      <c r="F3705" s="2" t="s">
        <v>12</v>
      </c>
      <c r="G3705" s="2"/>
      <c r="H3705" s="2"/>
      <c r="I3705" s="2"/>
    </row>
    <row r="3706">
      <c r="A3706" s="2" t="s">
        <v>3754</v>
      </c>
      <c r="B3706" s="2" t="s">
        <v>3751</v>
      </c>
      <c r="C3706" s="1"/>
      <c r="D3706" s="2"/>
      <c r="E3706" s="2"/>
      <c r="F3706" s="2"/>
      <c r="G3706" s="2"/>
      <c r="H3706" s="2"/>
      <c r="I3706" s="2"/>
    </row>
    <row r="3707">
      <c r="A3707" s="2" t="s">
        <v>3755</v>
      </c>
      <c r="B3707" s="2" t="s">
        <v>3751</v>
      </c>
      <c r="C3707" s="2"/>
      <c r="D3707" s="2" t="s">
        <v>37</v>
      </c>
      <c r="E3707" s="2">
        <v>10.0</v>
      </c>
      <c r="F3707" s="2" t="s">
        <v>12</v>
      </c>
      <c r="G3707" s="2"/>
      <c r="H3707" s="2"/>
      <c r="I3707" s="2"/>
    </row>
    <row r="3708">
      <c r="A3708" s="2" t="s">
        <v>3756</v>
      </c>
      <c r="B3708" s="2" t="s">
        <v>3751</v>
      </c>
      <c r="C3708" s="2"/>
      <c r="D3708" s="2" t="s">
        <v>37</v>
      </c>
      <c r="E3708" s="2">
        <v>10.0</v>
      </c>
      <c r="F3708" s="2" t="s">
        <v>12</v>
      </c>
      <c r="G3708" s="2"/>
      <c r="H3708" s="2"/>
      <c r="I3708" s="2"/>
    </row>
    <row r="3709">
      <c r="A3709" s="2" t="s">
        <v>3757</v>
      </c>
      <c r="B3709" s="2" t="s">
        <v>3751</v>
      </c>
      <c r="C3709" s="2"/>
      <c r="D3709" s="2" t="s">
        <v>37</v>
      </c>
      <c r="E3709" s="2">
        <v>10.0</v>
      </c>
      <c r="F3709" s="2" t="s">
        <v>12</v>
      </c>
      <c r="G3709" s="2"/>
      <c r="H3709" s="2"/>
      <c r="I3709" s="2"/>
    </row>
    <row r="3710">
      <c r="A3710" s="2" t="s">
        <v>3758</v>
      </c>
      <c r="B3710" s="2" t="s">
        <v>3751</v>
      </c>
      <c r="C3710" s="2"/>
      <c r="D3710" s="2" t="s">
        <v>37</v>
      </c>
      <c r="E3710" s="2">
        <v>10.0</v>
      </c>
      <c r="F3710" s="2" t="s">
        <v>12</v>
      </c>
      <c r="G3710" s="2"/>
      <c r="H3710" s="2"/>
      <c r="I3710" s="2"/>
    </row>
    <row r="3711">
      <c r="A3711" s="2" t="s">
        <v>3759</v>
      </c>
      <c r="B3711" s="2" t="s">
        <v>3751</v>
      </c>
      <c r="C3711" s="2"/>
      <c r="D3711" s="2" t="s">
        <v>37</v>
      </c>
      <c r="E3711" s="2">
        <v>10.0</v>
      </c>
      <c r="F3711" s="2" t="s">
        <v>12</v>
      </c>
      <c r="G3711" s="2"/>
      <c r="H3711" s="2"/>
      <c r="I3711" s="2"/>
    </row>
    <row r="3712">
      <c r="A3712" s="2" t="s">
        <v>3760</v>
      </c>
      <c r="B3712" s="2" t="s">
        <v>3751</v>
      </c>
      <c r="C3712" s="2"/>
      <c r="D3712" s="2" t="s">
        <v>37</v>
      </c>
      <c r="E3712" s="2">
        <v>10.0</v>
      </c>
      <c r="F3712" s="2" t="s">
        <v>12</v>
      </c>
      <c r="G3712" s="2"/>
      <c r="H3712" s="2"/>
      <c r="I3712" s="2"/>
    </row>
    <row r="3713">
      <c r="A3713" s="2" t="s">
        <v>3761</v>
      </c>
      <c r="B3713" s="2" t="s">
        <v>3751</v>
      </c>
      <c r="C3713" s="2"/>
      <c r="D3713" s="2" t="s">
        <v>11</v>
      </c>
      <c r="E3713" s="2">
        <v>15.0</v>
      </c>
      <c r="F3713" s="2" t="s">
        <v>12</v>
      </c>
      <c r="G3713" s="2"/>
      <c r="H3713" s="2"/>
      <c r="I3713" s="2"/>
    </row>
    <row r="3714">
      <c r="A3714" s="2" t="s">
        <v>3762</v>
      </c>
      <c r="B3714" s="2" t="s">
        <v>3751</v>
      </c>
      <c r="C3714" s="2"/>
      <c r="D3714" s="2" t="s">
        <v>37</v>
      </c>
      <c r="E3714" s="2">
        <v>10.0</v>
      </c>
      <c r="F3714" s="2" t="s">
        <v>12</v>
      </c>
      <c r="G3714" s="2"/>
      <c r="H3714" s="2"/>
      <c r="I3714" s="2"/>
    </row>
    <row r="3715">
      <c r="A3715" s="2" t="s">
        <v>3763</v>
      </c>
      <c r="B3715" s="2" t="s">
        <v>3751</v>
      </c>
      <c r="C3715" s="2"/>
      <c r="D3715" s="2" t="s">
        <v>37</v>
      </c>
      <c r="E3715" s="2">
        <v>10.0</v>
      </c>
      <c r="F3715" s="2" t="s">
        <v>12</v>
      </c>
      <c r="G3715" s="2"/>
      <c r="H3715" s="2"/>
      <c r="I3715" s="2"/>
    </row>
    <row r="3716">
      <c r="A3716" s="2" t="s">
        <v>3764</v>
      </c>
      <c r="B3716" s="2" t="s">
        <v>3751</v>
      </c>
      <c r="C3716" s="2"/>
      <c r="D3716" s="2" t="s">
        <v>37</v>
      </c>
      <c r="E3716" s="2">
        <v>10.0</v>
      </c>
      <c r="F3716" s="2" t="s">
        <v>12</v>
      </c>
      <c r="G3716" s="2"/>
      <c r="H3716" s="2"/>
      <c r="I3716" s="2"/>
    </row>
    <row r="3717">
      <c r="A3717" s="2" t="s">
        <v>3765</v>
      </c>
      <c r="B3717" s="2" t="s">
        <v>3751</v>
      </c>
      <c r="C3717" s="1"/>
      <c r="D3717" s="2"/>
      <c r="E3717" s="2"/>
      <c r="F3717" s="2"/>
      <c r="G3717" s="2"/>
      <c r="H3717" s="2"/>
      <c r="I3717" s="2"/>
    </row>
    <row r="3718">
      <c r="A3718" s="1" t="s">
        <v>3766</v>
      </c>
      <c r="B3718" s="2" t="s">
        <v>3751</v>
      </c>
      <c r="C3718" s="1"/>
      <c r="D3718" s="2"/>
      <c r="E3718" s="2"/>
      <c r="F3718" s="2"/>
      <c r="G3718" s="2"/>
      <c r="H3718" s="2"/>
      <c r="I3718" s="2"/>
    </row>
    <row r="3719">
      <c r="A3719" s="1" t="s">
        <v>3767</v>
      </c>
      <c r="B3719" s="2" t="s">
        <v>3751</v>
      </c>
      <c r="C3719" s="1"/>
      <c r="D3719" s="2"/>
      <c r="E3719" s="2"/>
      <c r="F3719" s="2"/>
      <c r="G3719" s="2"/>
      <c r="H3719" s="2"/>
      <c r="I3719" s="2"/>
    </row>
    <row r="3720">
      <c r="A3720" s="2" t="s">
        <v>3768</v>
      </c>
      <c r="B3720" s="2" t="s">
        <v>3751</v>
      </c>
      <c r="C3720" s="2"/>
      <c r="D3720" s="2" t="s">
        <v>37</v>
      </c>
      <c r="E3720" s="2">
        <v>10.0</v>
      </c>
      <c r="F3720" s="2" t="s">
        <v>12</v>
      </c>
      <c r="G3720" s="2"/>
      <c r="H3720" s="2"/>
      <c r="I3720" s="2"/>
    </row>
    <row r="3721">
      <c r="A3721" s="2" t="s">
        <v>3769</v>
      </c>
      <c r="B3721" s="2" t="s">
        <v>3751</v>
      </c>
      <c r="C3721" s="2"/>
      <c r="D3721" s="1" t="s">
        <v>11</v>
      </c>
      <c r="E3721" s="2">
        <v>4.0</v>
      </c>
      <c r="F3721" s="2" t="s">
        <v>12</v>
      </c>
      <c r="G3721" s="2"/>
      <c r="H3721" s="2"/>
      <c r="I3721" s="2"/>
    </row>
    <row r="3722">
      <c r="A3722" s="1" t="s">
        <v>3770</v>
      </c>
      <c r="B3722" s="2" t="s">
        <v>3751</v>
      </c>
      <c r="C3722" s="2"/>
      <c r="D3722" s="2" t="s">
        <v>11</v>
      </c>
      <c r="E3722" s="2">
        <v>10.0</v>
      </c>
      <c r="F3722" s="2" t="s">
        <v>12</v>
      </c>
      <c r="G3722" s="2"/>
      <c r="H3722" s="2"/>
      <c r="I3722" s="2"/>
    </row>
    <row r="3723">
      <c r="A3723" s="1" t="s">
        <v>3771</v>
      </c>
      <c r="B3723" s="2" t="s">
        <v>3751</v>
      </c>
      <c r="C3723" s="2"/>
      <c r="D3723" s="2" t="s">
        <v>11</v>
      </c>
      <c r="E3723" s="2">
        <v>10.0</v>
      </c>
      <c r="F3723" s="2" t="s">
        <v>12</v>
      </c>
      <c r="G3723" s="2"/>
      <c r="H3723" s="2"/>
      <c r="I3723" s="2"/>
    </row>
    <row r="3724">
      <c r="A3724" s="1" t="s">
        <v>3772</v>
      </c>
      <c r="B3724" s="2" t="s">
        <v>3751</v>
      </c>
      <c r="C3724" s="2"/>
      <c r="D3724" s="2" t="s">
        <v>37</v>
      </c>
      <c r="E3724" s="2">
        <v>10.0</v>
      </c>
      <c r="F3724" s="2" t="s">
        <v>12</v>
      </c>
      <c r="G3724" s="2"/>
      <c r="H3724" s="2"/>
      <c r="I3724" s="2"/>
    </row>
    <row r="3725">
      <c r="A3725" s="1" t="s">
        <v>3773</v>
      </c>
      <c r="B3725" s="2" t="s">
        <v>3751</v>
      </c>
      <c r="C3725" s="2"/>
      <c r="D3725" s="2" t="s">
        <v>37</v>
      </c>
      <c r="E3725" s="2">
        <v>10.0</v>
      </c>
      <c r="F3725" s="2" t="s">
        <v>12</v>
      </c>
      <c r="G3725" s="2"/>
      <c r="H3725" s="2"/>
      <c r="I3725" s="2"/>
    </row>
    <row r="3726">
      <c r="A3726" s="1" t="s">
        <v>3774</v>
      </c>
      <c r="B3726" s="2" t="s">
        <v>3751</v>
      </c>
      <c r="C3726" s="2"/>
      <c r="D3726" s="2" t="s">
        <v>37</v>
      </c>
      <c r="E3726" s="2">
        <v>10.0</v>
      </c>
      <c r="F3726" s="2" t="s">
        <v>12</v>
      </c>
      <c r="G3726" s="2"/>
      <c r="H3726" s="2"/>
      <c r="I3726" s="2"/>
    </row>
    <row r="3727">
      <c r="A3727" s="1" t="s">
        <v>3775</v>
      </c>
      <c r="B3727" s="2" t="s">
        <v>3751</v>
      </c>
      <c r="C3727" s="2"/>
      <c r="D3727" s="2" t="s">
        <v>37</v>
      </c>
      <c r="E3727" s="2">
        <v>10.0</v>
      </c>
      <c r="F3727" s="2" t="s">
        <v>12</v>
      </c>
      <c r="G3727" s="2"/>
      <c r="H3727" s="2"/>
      <c r="I3727" s="2"/>
    </row>
    <row r="3728">
      <c r="A3728" s="2" t="s">
        <v>3776</v>
      </c>
      <c r="B3728" s="2" t="s">
        <v>3751</v>
      </c>
      <c r="C3728" s="2"/>
      <c r="D3728" s="2" t="s">
        <v>11</v>
      </c>
      <c r="E3728" s="2">
        <v>10.0</v>
      </c>
      <c r="F3728" s="2" t="s">
        <v>12</v>
      </c>
      <c r="G3728" s="2"/>
      <c r="H3728" s="2"/>
      <c r="I3728" s="2"/>
    </row>
    <row r="3729">
      <c r="A3729" s="2" t="s">
        <v>3777</v>
      </c>
      <c r="B3729" s="2" t="s">
        <v>3751</v>
      </c>
      <c r="C3729" s="2"/>
      <c r="D3729" s="2" t="s">
        <v>11</v>
      </c>
      <c r="E3729" s="2"/>
      <c r="F3729" s="2"/>
      <c r="G3729" s="2"/>
      <c r="H3729" s="2"/>
      <c r="I3729" s="2"/>
    </row>
    <row r="3730">
      <c r="A3730" s="2" t="s">
        <v>3778</v>
      </c>
      <c r="B3730" s="2" t="s">
        <v>3751</v>
      </c>
      <c r="C3730" s="2"/>
      <c r="D3730" s="2" t="s">
        <v>37</v>
      </c>
      <c r="E3730" s="2">
        <v>12.0</v>
      </c>
      <c r="F3730" s="2"/>
      <c r="G3730" s="2"/>
      <c r="H3730" s="2"/>
      <c r="I3730" s="2"/>
    </row>
    <row r="3731">
      <c r="A3731" s="2" t="s">
        <v>3779</v>
      </c>
      <c r="B3731" s="2" t="s">
        <v>3751</v>
      </c>
      <c r="C3731" s="1"/>
      <c r="D3731" s="2"/>
      <c r="E3731" s="2"/>
      <c r="F3731" s="2"/>
      <c r="G3731" s="2"/>
      <c r="H3731" s="2"/>
      <c r="I3731" s="2"/>
    </row>
    <row r="3732">
      <c r="A3732" s="2" t="s">
        <v>3780</v>
      </c>
      <c r="B3732" s="2" t="s">
        <v>3751</v>
      </c>
      <c r="C3732" s="1"/>
      <c r="D3732" s="2"/>
      <c r="E3732" s="2"/>
      <c r="F3732" s="2"/>
      <c r="G3732" s="2"/>
      <c r="H3732" s="2"/>
      <c r="I3732" s="2"/>
    </row>
    <row r="3733">
      <c r="A3733" s="1" t="s">
        <v>3781</v>
      </c>
      <c r="B3733" s="2" t="s">
        <v>3751</v>
      </c>
      <c r="C3733" s="2"/>
      <c r="D3733" s="2" t="s">
        <v>11</v>
      </c>
      <c r="E3733" s="2">
        <v>10.0</v>
      </c>
      <c r="F3733" s="2" t="s">
        <v>12</v>
      </c>
      <c r="G3733" s="2"/>
      <c r="H3733" s="2"/>
      <c r="I3733" s="2"/>
    </row>
    <row r="3734">
      <c r="A3734" s="1" t="s">
        <v>3782</v>
      </c>
      <c r="B3734" s="2" t="s">
        <v>3751</v>
      </c>
      <c r="C3734" s="2"/>
      <c r="D3734" s="2" t="s">
        <v>11</v>
      </c>
      <c r="E3734" s="2">
        <v>10.0</v>
      </c>
      <c r="F3734" s="2" t="s">
        <v>12</v>
      </c>
      <c r="G3734" s="2"/>
      <c r="H3734" s="2"/>
      <c r="I3734" s="2"/>
    </row>
    <row r="3735">
      <c r="A3735" s="2" t="s">
        <v>3783</v>
      </c>
      <c r="B3735" s="2" t="s">
        <v>3751</v>
      </c>
      <c r="C3735" s="2"/>
      <c r="D3735" s="2" t="s">
        <v>37</v>
      </c>
      <c r="E3735" s="2">
        <v>15.0</v>
      </c>
      <c r="F3735" s="2" t="s">
        <v>12</v>
      </c>
      <c r="G3735" s="2"/>
      <c r="H3735" s="2"/>
      <c r="I3735" s="2"/>
    </row>
    <row r="3736">
      <c r="A3736" s="2" t="s">
        <v>3784</v>
      </c>
      <c r="B3736" s="2" t="s">
        <v>3751</v>
      </c>
      <c r="C3736" s="2"/>
      <c r="D3736" s="2" t="s">
        <v>37</v>
      </c>
      <c r="E3736" s="2">
        <v>5.0</v>
      </c>
      <c r="F3736" s="2"/>
      <c r="G3736" s="2"/>
      <c r="H3736" s="2"/>
      <c r="I3736" s="2"/>
    </row>
    <row r="3737">
      <c r="A3737" s="2" t="s">
        <v>3785</v>
      </c>
      <c r="B3737" s="2" t="s">
        <v>3751</v>
      </c>
      <c r="C3737" s="2"/>
      <c r="D3737" s="2" t="s">
        <v>37</v>
      </c>
      <c r="E3737" s="2">
        <v>10.0</v>
      </c>
      <c r="F3737" s="2" t="s">
        <v>12</v>
      </c>
      <c r="G3737" s="2"/>
      <c r="H3737" s="2"/>
      <c r="I3737" s="2"/>
    </row>
    <row r="3738">
      <c r="A3738" s="2" t="s">
        <v>3786</v>
      </c>
      <c r="B3738" s="2" t="s">
        <v>3751</v>
      </c>
      <c r="C3738" s="2"/>
      <c r="D3738" s="2" t="s">
        <v>11</v>
      </c>
      <c r="E3738" s="2">
        <v>5.0</v>
      </c>
      <c r="F3738" s="2" t="s">
        <v>12</v>
      </c>
      <c r="G3738" s="2"/>
      <c r="H3738" s="2"/>
      <c r="I3738" s="2"/>
    </row>
    <row r="3739">
      <c r="A3739" s="2" t="s">
        <v>3787</v>
      </c>
      <c r="B3739" s="2" t="s">
        <v>3751</v>
      </c>
      <c r="C3739" s="2"/>
      <c r="D3739" s="2" t="s">
        <v>11</v>
      </c>
      <c r="E3739" s="2">
        <v>10.0</v>
      </c>
      <c r="F3739" s="2" t="s">
        <v>12</v>
      </c>
      <c r="G3739" s="2"/>
      <c r="H3739" s="2"/>
      <c r="I3739" s="2"/>
    </row>
    <row r="3740">
      <c r="A3740" s="2" t="s">
        <v>3788</v>
      </c>
      <c r="B3740" s="2" t="s">
        <v>3751</v>
      </c>
      <c r="C3740" s="2"/>
      <c r="D3740" s="2" t="s">
        <v>37</v>
      </c>
      <c r="E3740" s="2">
        <v>10.0</v>
      </c>
      <c r="F3740" s="2" t="s">
        <v>12</v>
      </c>
      <c r="G3740" s="2"/>
      <c r="H3740" s="2"/>
      <c r="I3740" s="2"/>
    </row>
    <row r="3741">
      <c r="A3741" s="2" t="s">
        <v>3789</v>
      </c>
      <c r="B3741" s="2" t="s">
        <v>3790</v>
      </c>
      <c r="C3741" s="1"/>
      <c r="D3741" s="2"/>
      <c r="E3741" s="2"/>
      <c r="F3741" s="2"/>
      <c r="G3741" s="2"/>
      <c r="H3741" s="2"/>
      <c r="I3741" s="2"/>
    </row>
    <row r="3742">
      <c r="A3742" s="2" t="s">
        <v>3791</v>
      </c>
      <c r="B3742" s="2" t="s">
        <v>3790</v>
      </c>
      <c r="C3742" s="2"/>
      <c r="D3742" s="2" t="s">
        <v>11</v>
      </c>
      <c r="E3742" s="2">
        <v>10.0</v>
      </c>
      <c r="F3742" s="2" t="s">
        <v>12</v>
      </c>
      <c r="G3742" s="2"/>
      <c r="H3742" s="2"/>
      <c r="I3742" s="2"/>
    </row>
    <row r="3743">
      <c r="A3743" s="2" t="s">
        <v>3792</v>
      </c>
      <c r="B3743" s="2" t="s">
        <v>3790</v>
      </c>
      <c r="C3743" s="2"/>
      <c r="D3743" s="2" t="s">
        <v>11</v>
      </c>
      <c r="E3743" s="2">
        <v>100.0</v>
      </c>
      <c r="F3743" s="2" t="s">
        <v>22</v>
      </c>
      <c r="G3743" s="2"/>
      <c r="H3743" s="2"/>
      <c r="I3743" s="2"/>
    </row>
    <row r="3744">
      <c r="A3744" s="2" t="s">
        <v>3793</v>
      </c>
      <c r="B3744" s="2" t="s">
        <v>3790</v>
      </c>
      <c r="C3744" s="1"/>
      <c r="D3744" s="2"/>
      <c r="E3744" s="2"/>
      <c r="F3744" s="2"/>
      <c r="G3744" s="2"/>
      <c r="H3744" s="2"/>
      <c r="I3744" s="2"/>
    </row>
    <row r="3745">
      <c r="A3745" s="2" t="s">
        <v>3794</v>
      </c>
      <c r="B3745" s="2" t="s">
        <v>3790</v>
      </c>
      <c r="C3745" s="1"/>
      <c r="D3745" s="2"/>
      <c r="E3745" s="2"/>
      <c r="F3745" s="2"/>
      <c r="G3745" s="2"/>
      <c r="H3745" s="2"/>
      <c r="I3745" s="2"/>
    </row>
    <row r="3746">
      <c r="A3746" s="2" t="s">
        <v>3795</v>
      </c>
      <c r="B3746" s="2" t="s">
        <v>3790</v>
      </c>
      <c r="C3746" s="1"/>
      <c r="D3746" s="2"/>
      <c r="E3746" s="2"/>
      <c r="F3746" s="2"/>
      <c r="G3746" s="2"/>
      <c r="H3746" s="2"/>
      <c r="I3746" s="2"/>
    </row>
    <row r="3747">
      <c r="A3747" s="2" t="s">
        <v>3796</v>
      </c>
      <c r="B3747" s="2" t="s">
        <v>3790</v>
      </c>
      <c r="C3747" s="2"/>
      <c r="D3747" s="2" t="s">
        <v>11</v>
      </c>
      <c r="E3747" s="2">
        <v>2.0</v>
      </c>
      <c r="F3747" s="2" t="s">
        <v>12</v>
      </c>
      <c r="G3747" s="2"/>
      <c r="H3747" s="2"/>
      <c r="I3747" s="2"/>
    </row>
    <row r="3748">
      <c r="A3748" s="2" t="s">
        <v>3797</v>
      </c>
      <c r="B3748" s="2" t="s">
        <v>3790</v>
      </c>
      <c r="C3748" s="1"/>
      <c r="D3748" s="2"/>
      <c r="E3748" s="2"/>
      <c r="F3748" s="2"/>
      <c r="G3748" s="2"/>
      <c r="H3748" s="2"/>
      <c r="I3748" s="2"/>
    </row>
    <row r="3749">
      <c r="A3749" s="2" t="s">
        <v>3798</v>
      </c>
      <c r="B3749" s="2" t="s">
        <v>3790</v>
      </c>
      <c r="C3749" s="1"/>
      <c r="D3749" s="2"/>
      <c r="E3749" s="2"/>
      <c r="F3749" s="2"/>
      <c r="G3749" s="2"/>
      <c r="H3749" s="2"/>
      <c r="I3749" s="2"/>
    </row>
    <row r="3750">
      <c r="A3750" s="2" t="s">
        <v>3799</v>
      </c>
      <c r="B3750" s="2" t="s">
        <v>3790</v>
      </c>
      <c r="C3750" s="2"/>
      <c r="D3750" s="2" t="s">
        <v>11</v>
      </c>
      <c r="E3750" s="2">
        <v>10.0</v>
      </c>
      <c r="F3750" s="2" t="s">
        <v>12</v>
      </c>
      <c r="G3750" s="2"/>
      <c r="H3750" s="2"/>
      <c r="I3750" s="2"/>
    </row>
    <row r="3751">
      <c r="A3751" s="2" t="s">
        <v>3799</v>
      </c>
      <c r="B3751" s="2" t="s">
        <v>3790</v>
      </c>
      <c r="C3751" s="2"/>
      <c r="D3751" s="2" t="s">
        <v>11</v>
      </c>
      <c r="E3751" s="2"/>
      <c r="F3751" s="2"/>
      <c r="G3751" s="2"/>
      <c r="H3751" s="2"/>
      <c r="I3751" s="2"/>
    </row>
    <row r="3752">
      <c r="A3752" s="2" t="s">
        <v>3799</v>
      </c>
      <c r="B3752" s="2" t="s">
        <v>3790</v>
      </c>
      <c r="C3752" s="2"/>
      <c r="D3752" s="2" t="s">
        <v>11</v>
      </c>
      <c r="E3752" s="2">
        <v>60.0</v>
      </c>
      <c r="F3752" s="2" t="s">
        <v>22</v>
      </c>
      <c r="G3752" s="2"/>
      <c r="H3752" s="2"/>
      <c r="I3752" s="2"/>
    </row>
    <row r="3753">
      <c r="A3753" s="2" t="s">
        <v>3800</v>
      </c>
      <c r="B3753" s="2" t="s">
        <v>3790</v>
      </c>
      <c r="C3753" s="2"/>
      <c r="D3753" s="2" t="s">
        <v>11</v>
      </c>
      <c r="E3753" s="2">
        <v>10.0</v>
      </c>
      <c r="F3753" s="2" t="s">
        <v>12</v>
      </c>
      <c r="G3753" s="2"/>
      <c r="H3753" s="2"/>
      <c r="I3753" s="2"/>
    </row>
    <row r="3754">
      <c r="A3754" s="2" t="s">
        <v>3800</v>
      </c>
      <c r="B3754" s="2" t="s">
        <v>3790</v>
      </c>
      <c r="C3754" s="2"/>
      <c r="D3754" s="2" t="s">
        <v>11</v>
      </c>
      <c r="E3754" s="2"/>
      <c r="F3754" s="2"/>
      <c r="G3754" s="2"/>
      <c r="H3754" s="2"/>
      <c r="I3754" s="2"/>
    </row>
    <row r="3755">
      <c r="A3755" s="2" t="s">
        <v>3801</v>
      </c>
      <c r="B3755" s="2" t="s">
        <v>3790</v>
      </c>
      <c r="C3755" s="2"/>
      <c r="D3755" s="2" t="s">
        <v>11</v>
      </c>
      <c r="E3755" s="2">
        <v>10.0</v>
      </c>
      <c r="F3755" s="2" t="s">
        <v>12</v>
      </c>
      <c r="G3755" s="2"/>
      <c r="H3755" s="2"/>
      <c r="I3755" s="2"/>
    </row>
    <row r="3756">
      <c r="A3756" s="2" t="s">
        <v>3801</v>
      </c>
      <c r="B3756" s="2" t="s">
        <v>3790</v>
      </c>
      <c r="C3756" s="2"/>
      <c r="D3756" s="2" t="s">
        <v>11</v>
      </c>
      <c r="E3756" s="2"/>
      <c r="F3756" s="2"/>
      <c r="G3756" s="2"/>
      <c r="H3756" s="2"/>
      <c r="I3756" s="2"/>
    </row>
    <row r="3757">
      <c r="A3757" s="2" t="s">
        <v>3802</v>
      </c>
      <c r="B3757" s="2" t="s">
        <v>3790</v>
      </c>
      <c r="C3757" s="1"/>
      <c r="D3757" s="2"/>
      <c r="E3757" s="2"/>
      <c r="F3757" s="2"/>
      <c r="G3757" s="2"/>
      <c r="H3757" s="2"/>
      <c r="I3757" s="2"/>
    </row>
    <row r="3758">
      <c r="A3758" s="2" t="s">
        <v>3803</v>
      </c>
      <c r="B3758" s="2" t="s">
        <v>3790</v>
      </c>
      <c r="C3758" s="1"/>
      <c r="D3758" s="2"/>
      <c r="E3758" s="2"/>
      <c r="F3758" s="2"/>
      <c r="G3758" s="2"/>
      <c r="H3758" s="2"/>
      <c r="I3758" s="2"/>
    </row>
    <row r="3759">
      <c r="A3759" s="2" t="s">
        <v>3804</v>
      </c>
      <c r="B3759" s="2" t="s">
        <v>3790</v>
      </c>
      <c r="C3759" s="1"/>
      <c r="D3759" s="2"/>
      <c r="E3759" s="2"/>
      <c r="F3759" s="2"/>
      <c r="G3759" s="2"/>
      <c r="H3759" s="2"/>
      <c r="I3759" s="2"/>
    </row>
    <row r="3760">
      <c r="A3760" s="2" t="s">
        <v>3805</v>
      </c>
      <c r="B3760" s="2" t="s">
        <v>3790</v>
      </c>
      <c r="C3760" s="1"/>
      <c r="D3760" s="2"/>
      <c r="E3760" s="2"/>
      <c r="F3760" s="2"/>
      <c r="G3760" s="2"/>
      <c r="H3760" s="2"/>
      <c r="I3760" s="2"/>
    </row>
    <row r="3761">
      <c r="A3761" s="2" t="s">
        <v>3806</v>
      </c>
      <c r="B3761" s="2" t="s">
        <v>3790</v>
      </c>
      <c r="C3761" s="1"/>
      <c r="D3761" s="2"/>
      <c r="E3761" s="2"/>
      <c r="F3761" s="2"/>
      <c r="G3761" s="2"/>
      <c r="H3761" s="2"/>
      <c r="I3761" s="2"/>
    </row>
    <row r="3762">
      <c r="A3762" s="2" t="s">
        <v>3807</v>
      </c>
      <c r="B3762" s="2" t="s">
        <v>3790</v>
      </c>
      <c r="C3762" s="1"/>
      <c r="D3762" s="2"/>
      <c r="E3762" s="2"/>
      <c r="F3762" s="2"/>
      <c r="G3762" s="2"/>
      <c r="H3762" s="2"/>
      <c r="I3762" s="2"/>
    </row>
    <row r="3763">
      <c r="A3763" s="2" t="s">
        <v>3808</v>
      </c>
      <c r="B3763" s="2" t="s">
        <v>3790</v>
      </c>
      <c r="C3763" s="1"/>
      <c r="D3763" s="2"/>
      <c r="E3763" s="2"/>
      <c r="F3763" s="2"/>
      <c r="G3763" s="2"/>
      <c r="H3763" s="2"/>
      <c r="I3763" s="2"/>
    </row>
    <row r="3764">
      <c r="A3764" s="2" t="s">
        <v>3809</v>
      </c>
      <c r="B3764" s="2" t="s">
        <v>3790</v>
      </c>
      <c r="C3764" s="1"/>
      <c r="D3764" s="2"/>
      <c r="E3764" s="2"/>
      <c r="F3764" s="2"/>
      <c r="G3764" s="2"/>
      <c r="H3764" s="2"/>
      <c r="I3764" s="2"/>
    </row>
    <row r="3765">
      <c r="A3765" s="2" t="s">
        <v>3810</v>
      </c>
      <c r="B3765" s="2" t="s">
        <v>3790</v>
      </c>
      <c r="C3765" s="1"/>
      <c r="D3765" s="2"/>
      <c r="E3765" s="2"/>
      <c r="F3765" s="2"/>
      <c r="G3765" s="2"/>
      <c r="H3765" s="2"/>
      <c r="I3765" s="2"/>
    </row>
    <row r="3766">
      <c r="A3766" s="2" t="s">
        <v>3811</v>
      </c>
      <c r="B3766" s="2" t="s">
        <v>3790</v>
      </c>
      <c r="C3766" s="1"/>
      <c r="D3766" s="2"/>
      <c r="E3766" s="2"/>
      <c r="F3766" s="2"/>
      <c r="G3766" s="2"/>
      <c r="H3766" s="2"/>
      <c r="I3766" s="2"/>
    </row>
    <row r="3767">
      <c r="A3767" s="2" t="s">
        <v>3812</v>
      </c>
      <c r="B3767" s="2" t="s">
        <v>3790</v>
      </c>
      <c r="C3767" s="1"/>
      <c r="D3767" s="2"/>
      <c r="E3767" s="2"/>
      <c r="F3767" s="2"/>
      <c r="G3767" s="2"/>
      <c r="H3767" s="2"/>
      <c r="I3767" s="2"/>
    </row>
    <row r="3768">
      <c r="A3768" s="2" t="s">
        <v>3813</v>
      </c>
      <c r="B3768" s="2" t="s">
        <v>3790</v>
      </c>
      <c r="C3768" s="1"/>
      <c r="D3768" s="2"/>
      <c r="E3768" s="2"/>
      <c r="F3768" s="2"/>
      <c r="G3768" s="2"/>
      <c r="H3768" s="2"/>
      <c r="I3768" s="2"/>
    </row>
    <row r="3769">
      <c r="A3769" s="2" t="s">
        <v>3814</v>
      </c>
      <c r="B3769" s="2" t="s">
        <v>3790</v>
      </c>
      <c r="C3769" s="1"/>
      <c r="D3769" s="2"/>
      <c r="E3769" s="2"/>
      <c r="F3769" s="2"/>
      <c r="G3769" s="2"/>
      <c r="H3769" s="2"/>
      <c r="I3769" s="2"/>
    </row>
    <row r="3770">
      <c r="A3770" s="2" t="s">
        <v>3815</v>
      </c>
      <c r="B3770" s="2" t="s">
        <v>3790</v>
      </c>
      <c r="C3770" s="1"/>
      <c r="D3770" s="2"/>
      <c r="E3770" s="2"/>
      <c r="F3770" s="2"/>
      <c r="G3770" s="2"/>
      <c r="H3770" s="2"/>
      <c r="I3770" s="2"/>
    </row>
    <row r="3771">
      <c r="A3771" s="2" t="s">
        <v>3816</v>
      </c>
      <c r="B3771" s="2" t="s">
        <v>3790</v>
      </c>
      <c r="C3771" s="1"/>
      <c r="D3771" s="2"/>
      <c r="E3771" s="2"/>
      <c r="F3771" s="2"/>
      <c r="G3771" s="2"/>
      <c r="H3771" s="2"/>
      <c r="I3771" s="2"/>
    </row>
    <row r="3772">
      <c r="A3772" s="2" t="s">
        <v>3817</v>
      </c>
      <c r="B3772" s="2" t="s">
        <v>3790</v>
      </c>
      <c r="C3772" s="1"/>
      <c r="D3772" s="2"/>
      <c r="E3772" s="2"/>
      <c r="F3772" s="2"/>
      <c r="G3772" s="2"/>
      <c r="H3772" s="2"/>
      <c r="I3772" s="2"/>
    </row>
    <row r="3773">
      <c r="A3773" s="2" t="s">
        <v>3818</v>
      </c>
      <c r="B3773" s="2" t="s">
        <v>3790</v>
      </c>
      <c r="C3773" s="1"/>
      <c r="D3773" s="2"/>
      <c r="E3773" s="2"/>
      <c r="F3773" s="2"/>
      <c r="G3773" s="2"/>
      <c r="H3773" s="2"/>
      <c r="I3773" s="2"/>
    </row>
    <row r="3774">
      <c r="A3774" s="2" t="s">
        <v>3819</v>
      </c>
      <c r="B3774" s="2" t="s">
        <v>3790</v>
      </c>
      <c r="C3774" s="1"/>
      <c r="D3774" s="2"/>
      <c r="E3774" s="2"/>
      <c r="F3774" s="2"/>
      <c r="G3774" s="2"/>
      <c r="H3774" s="2"/>
      <c r="I3774" s="2"/>
    </row>
    <row r="3775">
      <c r="A3775" s="2" t="s">
        <v>3820</v>
      </c>
      <c r="B3775" s="2" t="s">
        <v>3821</v>
      </c>
      <c r="C3775" s="2"/>
      <c r="D3775" s="2" t="s">
        <v>11</v>
      </c>
      <c r="E3775" s="2">
        <v>10.0</v>
      </c>
      <c r="F3775" s="2" t="s">
        <v>12</v>
      </c>
      <c r="G3775" s="2"/>
      <c r="H3775" s="2"/>
      <c r="I3775" s="2"/>
    </row>
    <row r="3776">
      <c r="A3776" s="1" t="s">
        <v>3822</v>
      </c>
      <c r="B3776" s="2" t="s">
        <v>3821</v>
      </c>
      <c r="C3776" s="2"/>
      <c r="D3776" s="2" t="s">
        <v>11</v>
      </c>
      <c r="E3776" s="2">
        <v>10.0</v>
      </c>
      <c r="F3776" s="2" t="s">
        <v>12</v>
      </c>
      <c r="G3776" s="2"/>
      <c r="H3776" s="2"/>
      <c r="I3776" s="2"/>
    </row>
    <row r="3777">
      <c r="A3777" s="1" t="s">
        <v>3823</v>
      </c>
      <c r="B3777" s="2" t="s">
        <v>3821</v>
      </c>
      <c r="C3777" s="2"/>
      <c r="D3777" s="2" t="s">
        <v>37</v>
      </c>
      <c r="E3777" s="2">
        <v>10.0</v>
      </c>
      <c r="F3777" s="2" t="s">
        <v>12</v>
      </c>
      <c r="G3777" s="2"/>
      <c r="H3777" s="2"/>
      <c r="I3777" s="2"/>
    </row>
    <row r="3778">
      <c r="A3778" s="1" t="s">
        <v>3824</v>
      </c>
      <c r="B3778" s="2" t="s">
        <v>3821</v>
      </c>
      <c r="C3778" s="2"/>
      <c r="D3778" s="2" t="s">
        <v>11</v>
      </c>
      <c r="E3778" s="2">
        <v>20.0</v>
      </c>
      <c r="F3778" s="2" t="s">
        <v>12</v>
      </c>
      <c r="G3778" s="2"/>
      <c r="H3778" s="2"/>
      <c r="I3778" s="2"/>
    </row>
    <row r="3779">
      <c r="A3779" s="1" t="s">
        <v>3825</v>
      </c>
      <c r="B3779" s="2" t="s">
        <v>3821</v>
      </c>
      <c r="C3779" s="2"/>
      <c r="D3779" s="2" t="s">
        <v>11</v>
      </c>
      <c r="E3779" s="2">
        <v>5.0</v>
      </c>
      <c r="F3779" s="2" t="s">
        <v>12</v>
      </c>
      <c r="G3779" s="2"/>
      <c r="H3779" s="2"/>
      <c r="I3779" s="2"/>
    </row>
    <row r="3780">
      <c r="A3780" s="2" t="s">
        <v>3826</v>
      </c>
      <c r="B3780" s="2" t="s">
        <v>3827</v>
      </c>
      <c r="C3780" s="1"/>
      <c r="D3780" s="2"/>
      <c r="E3780" s="2"/>
      <c r="F3780" s="2"/>
      <c r="G3780" s="2"/>
      <c r="H3780" s="2"/>
      <c r="I3780" s="2"/>
    </row>
    <row r="3781">
      <c r="A3781" s="2" t="s">
        <v>3828</v>
      </c>
      <c r="B3781" s="2" t="s">
        <v>3827</v>
      </c>
      <c r="C3781" s="1"/>
      <c r="D3781" s="2"/>
      <c r="E3781" s="2"/>
      <c r="F3781" s="2"/>
      <c r="G3781" s="2"/>
      <c r="H3781" s="2"/>
      <c r="I3781" s="2"/>
    </row>
    <row r="3782">
      <c r="A3782" s="2" t="s">
        <v>3829</v>
      </c>
      <c r="B3782" s="2" t="s">
        <v>3827</v>
      </c>
      <c r="C3782" s="1"/>
      <c r="D3782" s="2"/>
      <c r="E3782" s="2"/>
      <c r="F3782" s="2"/>
      <c r="G3782" s="2"/>
      <c r="H3782" s="2"/>
      <c r="I3782" s="2"/>
    </row>
    <row r="3783">
      <c r="A3783" s="2" t="s">
        <v>3830</v>
      </c>
      <c r="B3783" s="2" t="s">
        <v>3827</v>
      </c>
      <c r="C3783" s="1"/>
      <c r="D3783" s="2"/>
      <c r="E3783" s="2"/>
      <c r="F3783" s="2"/>
      <c r="G3783" s="2"/>
      <c r="H3783" s="2"/>
      <c r="I3783" s="2"/>
    </row>
    <row r="3784">
      <c r="A3784" s="2" t="s">
        <v>3831</v>
      </c>
      <c r="B3784" s="2" t="s">
        <v>3827</v>
      </c>
      <c r="C3784" s="1"/>
      <c r="D3784" s="2"/>
      <c r="E3784" s="2"/>
      <c r="F3784" s="2"/>
      <c r="G3784" s="2"/>
      <c r="H3784" s="2"/>
      <c r="I3784" s="2"/>
    </row>
    <row r="3785">
      <c r="A3785" s="2" t="s">
        <v>3832</v>
      </c>
      <c r="B3785" s="2" t="s">
        <v>3827</v>
      </c>
      <c r="C3785" s="1"/>
      <c r="D3785" s="2"/>
      <c r="E3785" s="2"/>
      <c r="F3785" s="2"/>
      <c r="G3785" s="2"/>
      <c r="H3785" s="2"/>
      <c r="I3785" s="2"/>
    </row>
    <row r="3786">
      <c r="A3786" s="1" t="s">
        <v>3833</v>
      </c>
      <c r="B3786" s="2" t="s">
        <v>3827</v>
      </c>
      <c r="C3786" s="2"/>
      <c r="D3786" s="2" t="s">
        <v>11</v>
      </c>
      <c r="E3786" s="2">
        <v>10.0</v>
      </c>
      <c r="F3786" s="2" t="s">
        <v>12</v>
      </c>
      <c r="G3786" s="2"/>
      <c r="H3786" s="2"/>
      <c r="I3786" s="2"/>
    </row>
    <row r="3787">
      <c r="A3787" s="1" t="s">
        <v>3834</v>
      </c>
      <c r="B3787" s="2" t="s">
        <v>3827</v>
      </c>
      <c r="C3787" s="2"/>
      <c r="D3787" s="2" t="s">
        <v>11</v>
      </c>
      <c r="E3787" s="2">
        <v>10.0</v>
      </c>
      <c r="F3787" s="2" t="s">
        <v>12</v>
      </c>
      <c r="G3787" s="2"/>
      <c r="H3787" s="2"/>
      <c r="I3787" s="2"/>
    </row>
    <row r="3788">
      <c r="A3788" s="1" t="s">
        <v>3835</v>
      </c>
      <c r="B3788" s="2" t="s">
        <v>3827</v>
      </c>
      <c r="C3788" s="2"/>
      <c r="D3788" s="2" t="s">
        <v>11</v>
      </c>
      <c r="E3788" s="2">
        <v>10.0</v>
      </c>
      <c r="F3788" s="2" t="s">
        <v>12</v>
      </c>
      <c r="G3788" s="2"/>
      <c r="H3788" s="2"/>
      <c r="I3788" s="2"/>
    </row>
    <row r="3789">
      <c r="A3789" s="1" t="s">
        <v>3836</v>
      </c>
      <c r="B3789" s="2" t="s">
        <v>3827</v>
      </c>
      <c r="C3789" s="2"/>
      <c r="D3789" s="2" t="s">
        <v>11</v>
      </c>
      <c r="E3789" s="2">
        <v>10.0</v>
      </c>
      <c r="F3789" s="2" t="s">
        <v>12</v>
      </c>
      <c r="G3789" s="2"/>
      <c r="H3789" s="2"/>
      <c r="I3789" s="2"/>
    </row>
    <row r="3790">
      <c r="A3790" s="1" t="s">
        <v>3837</v>
      </c>
      <c r="B3790" s="2" t="s">
        <v>3827</v>
      </c>
      <c r="C3790" s="2"/>
      <c r="D3790" s="2" t="s">
        <v>11</v>
      </c>
      <c r="E3790" s="2">
        <v>5.0</v>
      </c>
      <c r="F3790" s="2" t="s">
        <v>12</v>
      </c>
      <c r="G3790" s="2"/>
      <c r="H3790" s="2"/>
      <c r="I3790" s="2"/>
    </row>
    <row r="3791">
      <c r="A3791" s="2" t="s">
        <v>3838</v>
      </c>
      <c r="B3791" s="2" t="s">
        <v>3827</v>
      </c>
      <c r="C3791" s="1"/>
      <c r="D3791" s="2"/>
      <c r="E3791" s="2"/>
      <c r="F3791" s="2"/>
      <c r="G3791" s="2"/>
      <c r="H3791" s="2"/>
      <c r="I3791" s="2"/>
    </row>
    <row r="3792">
      <c r="A3792" s="2" t="s">
        <v>3839</v>
      </c>
      <c r="B3792" s="2" t="s">
        <v>3827</v>
      </c>
      <c r="C3792" s="2"/>
      <c r="D3792" s="2" t="s">
        <v>11</v>
      </c>
      <c r="E3792" s="2">
        <v>10.0</v>
      </c>
      <c r="F3792" s="2" t="s">
        <v>12</v>
      </c>
      <c r="G3792" s="2"/>
      <c r="H3792" s="2"/>
      <c r="I3792" s="2"/>
    </row>
    <row r="3793">
      <c r="A3793" s="1" t="s">
        <v>3840</v>
      </c>
      <c r="B3793" s="2" t="s">
        <v>3827</v>
      </c>
      <c r="C3793" s="2"/>
      <c r="D3793" s="1" t="s">
        <v>11</v>
      </c>
      <c r="E3793" s="2">
        <v>4.0</v>
      </c>
      <c r="F3793" s="2" t="s">
        <v>12</v>
      </c>
      <c r="G3793" s="2"/>
      <c r="H3793" s="2"/>
      <c r="I3793" s="2"/>
    </row>
    <row r="3794">
      <c r="A3794" s="2" t="s">
        <v>3841</v>
      </c>
      <c r="B3794" s="2" t="s">
        <v>3827</v>
      </c>
      <c r="C3794" s="1"/>
      <c r="D3794" s="2"/>
      <c r="E3794" s="2"/>
      <c r="F3794" s="2"/>
      <c r="G3794" s="2"/>
      <c r="H3794" s="2"/>
      <c r="I3794" s="2"/>
    </row>
    <row r="3795">
      <c r="A3795" s="1" t="s">
        <v>3842</v>
      </c>
      <c r="B3795" s="2" t="s">
        <v>3827</v>
      </c>
      <c r="C3795" s="2"/>
      <c r="D3795" s="2" t="s">
        <v>11</v>
      </c>
      <c r="E3795" s="2">
        <v>10.0</v>
      </c>
      <c r="F3795" s="2" t="s">
        <v>12</v>
      </c>
      <c r="G3795" s="2"/>
      <c r="H3795" s="2"/>
      <c r="I3795" s="2"/>
    </row>
    <row r="3796">
      <c r="A3796" s="1" t="s">
        <v>3843</v>
      </c>
      <c r="B3796" s="2" t="s">
        <v>3827</v>
      </c>
      <c r="C3796" s="2"/>
      <c r="D3796" s="2" t="s">
        <v>11</v>
      </c>
      <c r="E3796" s="2">
        <v>10.0</v>
      </c>
      <c r="F3796" s="2" t="s">
        <v>12</v>
      </c>
      <c r="G3796" s="2"/>
      <c r="H3796" s="2"/>
      <c r="I3796" s="2"/>
    </row>
    <row r="3797">
      <c r="A3797" s="1" t="s">
        <v>3844</v>
      </c>
      <c r="B3797" s="2" t="s">
        <v>3827</v>
      </c>
      <c r="C3797" s="1"/>
      <c r="D3797" s="2"/>
      <c r="E3797" s="2"/>
      <c r="F3797" s="2"/>
      <c r="G3797" s="2"/>
      <c r="H3797" s="2"/>
      <c r="I3797" s="2"/>
    </row>
    <row r="3798">
      <c r="A3798" s="1" t="s">
        <v>3845</v>
      </c>
      <c r="B3798" s="2" t="s">
        <v>3827</v>
      </c>
      <c r="C3798" s="2"/>
      <c r="D3798" s="2" t="s">
        <v>11</v>
      </c>
      <c r="E3798" s="2">
        <v>10.0</v>
      </c>
      <c r="F3798" s="2" t="s">
        <v>12</v>
      </c>
      <c r="G3798" s="2"/>
      <c r="H3798" s="2"/>
      <c r="I3798" s="2"/>
    </row>
    <row r="3799">
      <c r="A3799" s="2" t="s">
        <v>3846</v>
      </c>
      <c r="B3799" s="2" t="s">
        <v>3827</v>
      </c>
      <c r="C3799" s="1"/>
      <c r="D3799" s="2"/>
      <c r="E3799" s="2"/>
      <c r="F3799" s="2"/>
      <c r="G3799" s="2"/>
      <c r="H3799" s="2"/>
      <c r="I3799" s="2"/>
    </row>
    <row r="3800">
      <c r="A3800" s="2" t="s">
        <v>3847</v>
      </c>
      <c r="B3800" s="2" t="s">
        <v>3827</v>
      </c>
      <c r="C3800" s="2"/>
      <c r="D3800" s="2" t="s">
        <v>11</v>
      </c>
      <c r="E3800" s="2">
        <v>10.0</v>
      </c>
      <c r="F3800" s="2" t="s">
        <v>12</v>
      </c>
      <c r="G3800" s="2"/>
      <c r="H3800" s="2"/>
      <c r="I3800" s="2"/>
    </row>
    <row r="3801">
      <c r="A3801" s="1" t="s">
        <v>3848</v>
      </c>
      <c r="B3801" s="2" t="s">
        <v>3827</v>
      </c>
      <c r="C3801" s="2"/>
      <c r="D3801" s="2" t="s">
        <v>11</v>
      </c>
      <c r="E3801" s="2">
        <v>6.0</v>
      </c>
      <c r="F3801" s="2" t="s">
        <v>12</v>
      </c>
      <c r="G3801" s="2"/>
      <c r="H3801" s="2"/>
      <c r="I3801" s="2"/>
    </row>
    <row r="3802">
      <c r="A3802" s="1" t="s">
        <v>3849</v>
      </c>
      <c r="B3802" s="2" t="s">
        <v>3827</v>
      </c>
      <c r="C3802" s="1"/>
      <c r="D3802" s="2"/>
      <c r="E3802" s="2"/>
      <c r="F3802" s="2"/>
      <c r="G3802" s="2"/>
      <c r="H3802" s="2"/>
      <c r="I3802" s="2"/>
    </row>
    <row r="3803">
      <c r="A3803" s="2" t="s">
        <v>3850</v>
      </c>
      <c r="B3803" s="2" t="s">
        <v>3827</v>
      </c>
      <c r="C3803" s="2"/>
      <c r="D3803" s="2" t="s">
        <v>37</v>
      </c>
      <c r="E3803" s="2">
        <v>10.0</v>
      </c>
      <c r="F3803" s="2" t="s">
        <v>12</v>
      </c>
      <c r="G3803" s="2"/>
      <c r="H3803" s="2"/>
      <c r="I3803" s="2"/>
    </row>
    <row r="3804">
      <c r="A3804" s="1" t="s">
        <v>3851</v>
      </c>
      <c r="B3804" s="2" t="s">
        <v>3827</v>
      </c>
      <c r="C3804" s="1"/>
      <c r="D3804" s="2"/>
      <c r="E3804" s="2"/>
      <c r="F3804" s="2"/>
      <c r="G3804" s="2"/>
      <c r="H3804" s="2"/>
      <c r="I3804" s="2"/>
    </row>
    <row r="3805">
      <c r="A3805" s="1" t="s">
        <v>3852</v>
      </c>
      <c r="B3805" s="2" t="s">
        <v>3827</v>
      </c>
      <c r="C3805" s="1"/>
      <c r="D3805" s="2"/>
      <c r="E3805" s="2"/>
      <c r="F3805" s="2"/>
      <c r="G3805" s="2"/>
      <c r="H3805" s="2"/>
      <c r="I3805" s="2"/>
    </row>
    <row r="3806">
      <c r="A3806" s="1" t="s">
        <v>3853</v>
      </c>
      <c r="B3806" s="2" t="s">
        <v>3827</v>
      </c>
      <c r="C3806" s="2"/>
      <c r="D3806" s="2" t="s">
        <v>11</v>
      </c>
      <c r="E3806" s="2">
        <v>10.0</v>
      </c>
      <c r="F3806" s="2" t="s">
        <v>12</v>
      </c>
      <c r="G3806" s="2"/>
      <c r="H3806" s="2"/>
      <c r="I3806" s="2"/>
    </row>
    <row r="3807">
      <c r="A3807" s="1" t="s">
        <v>3854</v>
      </c>
      <c r="B3807" s="2" t="s">
        <v>3827</v>
      </c>
      <c r="C3807" s="2"/>
      <c r="D3807" s="2" t="s">
        <v>11</v>
      </c>
      <c r="E3807" s="2">
        <v>10.0</v>
      </c>
      <c r="F3807" s="2" t="s">
        <v>12</v>
      </c>
      <c r="G3807" s="2"/>
      <c r="H3807" s="2"/>
      <c r="I3807" s="2"/>
    </row>
    <row r="3808">
      <c r="A3808" s="1" t="s">
        <v>3855</v>
      </c>
      <c r="B3808" s="2" t="s">
        <v>3827</v>
      </c>
      <c r="C3808" s="1"/>
      <c r="D3808" s="2"/>
      <c r="E3808" s="2"/>
      <c r="F3808" s="2"/>
      <c r="G3808" s="2"/>
      <c r="H3808" s="2"/>
      <c r="I3808" s="2"/>
    </row>
    <row r="3809">
      <c r="A3809" s="1" t="s">
        <v>3856</v>
      </c>
      <c r="B3809" s="2" t="s">
        <v>3827</v>
      </c>
      <c r="C3809" s="2"/>
      <c r="D3809" s="2" t="s">
        <v>11</v>
      </c>
      <c r="E3809" s="2">
        <v>10.0</v>
      </c>
      <c r="F3809" s="2" t="s">
        <v>12</v>
      </c>
      <c r="G3809" s="2"/>
      <c r="H3809" s="2"/>
      <c r="I3809" s="2"/>
    </row>
    <row r="3810">
      <c r="A3810" s="1" t="s">
        <v>3857</v>
      </c>
      <c r="B3810" s="2" t="s">
        <v>3827</v>
      </c>
      <c r="C3810" s="2"/>
      <c r="D3810" s="2" t="s">
        <v>11</v>
      </c>
      <c r="E3810" s="2">
        <v>10.0</v>
      </c>
      <c r="F3810" s="2" t="s">
        <v>12</v>
      </c>
      <c r="G3810" s="2"/>
      <c r="H3810" s="2"/>
      <c r="I3810" s="2"/>
    </row>
    <row r="3811">
      <c r="A3811" s="1" t="s">
        <v>3858</v>
      </c>
      <c r="B3811" s="2" t="s">
        <v>3827</v>
      </c>
      <c r="C3811" s="2"/>
      <c r="D3811" s="2" t="s">
        <v>11</v>
      </c>
      <c r="E3811" s="2">
        <v>15.0</v>
      </c>
      <c r="F3811" s="2" t="s">
        <v>12</v>
      </c>
      <c r="G3811" s="2"/>
      <c r="H3811" s="2"/>
      <c r="I3811" s="2"/>
    </row>
    <row r="3812">
      <c r="A3812" s="1" t="s">
        <v>3859</v>
      </c>
      <c r="B3812" s="2" t="s">
        <v>3827</v>
      </c>
      <c r="C3812" s="2"/>
      <c r="D3812" s="2" t="s">
        <v>11</v>
      </c>
      <c r="E3812" s="2">
        <v>10.0</v>
      </c>
      <c r="F3812" s="2" t="s">
        <v>12</v>
      </c>
      <c r="G3812" s="2"/>
      <c r="H3812" s="2"/>
      <c r="I3812" s="2"/>
    </row>
    <row r="3813">
      <c r="A3813" s="2" t="s">
        <v>3860</v>
      </c>
      <c r="B3813" s="2" t="s">
        <v>3827</v>
      </c>
      <c r="C3813" s="2"/>
      <c r="D3813" s="2" t="s">
        <v>11</v>
      </c>
      <c r="E3813" s="2">
        <v>10.0</v>
      </c>
      <c r="F3813" s="2" t="s">
        <v>12</v>
      </c>
      <c r="G3813" s="2"/>
      <c r="H3813" s="2"/>
      <c r="I3813" s="2"/>
    </row>
    <row r="3814">
      <c r="A3814" s="1" t="s">
        <v>3861</v>
      </c>
      <c r="B3814" s="2" t="s">
        <v>3827</v>
      </c>
      <c r="C3814" s="2"/>
      <c r="D3814" s="2" t="s">
        <v>11</v>
      </c>
      <c r="E3814" s="2">
        <v>10.0</v>
      </c>
      <c r="F3814" s="2" t="s">
        <v>12</v>
      </c>
      <c r="G3814" s="2"/>
      <c r="H3814" s="2"/>
      <c r="I3814" s="2"/>
    </row>
    <row r="3815">
      <c r="A3815" s="1" t="s">
        <v>3862</v>
      </c>
      <c r="B3815" s="2" t="s">
        <v>3827</v>
      </c>
      <c r="C3815" s="2"/>
      <c r="D3815" s="2" t="s">
        <v>11</v>
      </c>
      <c r="E3815" s="2">
        <v>10.0</v>
      </c>
      <c r="F3815" s="2" t="s">
        <v>12</v>
      </c>
      <c r="G3815" s="2"/>
      <c r="H3815" s="2"/>
      <c r="I3815" s="2"/>
    </row>
    <row r="3816">
      <c r="A3816" s="1" t="s">
        <v>3863</v>
      </c>
      <c r="B3816" s="2" t="s">
        <v>3827</v>
      </c>
      <c r="C3816" s="2"/>
      <c r="D3816" s="2" t="s">
        <v>11</v>
      </c>
      <c r="E3816" s="2">
        <v>10.0</v>
      </c>
      <c r="F3816" s="2" t="s">
        <v>12</v>
      </c>
      <c r="G3816" s="2"/>
      <c r="H3816" s="2"/>
      <c r="I3816" s="2"/>
    </row>
    <row r="3817">
      <c r="A3817" s="1" t="s">
        <v>3864</v>
      </c>
      <c r="B3817" s="2" t="s">
        <v>3827</v>
      </c>
      <c r="C3817" s="2"/>
      <c r="D3817" s="2" t="s">
        <v>37</v>
      </c>
      <c r="E3817" s="2">
        <v>10.0</v>
      </c>
      <c r="F3817" s="2" t="s">
        <v>12</v>
      </c>
      <c r="G3817" s="2"/>
      <c r="H3817" s="2"/>
      <c r="I3817" s="2"/>
    </row>
    <row r="3818">
      <c r="A3818" s="2" t="s">
        <v>3865</v>
      </c>
      <c r="B3818" s="2" t="s">
        <v>3827</v>
      </c>
      <c r="C3818" s="1"/>
      <c r="D3818" s="2"/>
      <c r="E3818" s="2"/>
      <c r="F3818" s="2"/>
      <c r="G3818" s="2"/>
      <c r="H3818" s="2"/>
      <c r="I3818" s="2"/>
    </row>
    <row r="3819">
      <c r="A3819" s="2" t="s">
        <v>3866</v>
      </c>
      <c r="B3819" s="2" t="s">
        <v>3827</v>
      </c>
      <c r="C3819" s="1"/>
      <c r="D3819" s="2"/>
      <c r="E3819" s="2"/>
      <c r="F3819" s="2"/>
      <c r="G3819" s="2"/>
      <c r="H3819" s="2"/>
      <c r="I3819" s="2"/>
    </row>
    <row r="3820">
      <c r="A3820" s="2" t="s">
        <v>3867</v>
      </c>
      <c r="B3820" s="2" t="s">
        <v>3827</v>
      </c>
      <c r="C3820" s="1"/>
      <c r="D3820" s="2"/>
      <c r="E3820" s="2"/>
      <c r="F3820" s="2"/>
      <c r="G3820" s="2"/>
      <c r="H3820" s="2"/>
      <c r="I3820" s="2"/>
    </row>
    <row r="3821">
      <c r="A3821" s="1" t="s">
        <v>3868</v>
      </c>
      <c r="B3821" s="2" t="s">
        <v>3827</v>
      </c>
      <c r="C3821" s="1"/>
      <c r="D3821" s="2"/>
      <c r="E3821" s="2"/>
      <c r="F3821" s="2"/>
      <c r="G3821" s="2"/>
      <c r="H3821" s="2"/>
      <c r="I3821" s="2"/>
    </row>
    <row r="3822">
      <c r="A3822" s="1" t="s">
        <v>3869</v>
      </c>
      <c r="B3822" s="2" t="s">
        <v>3827</v>
      </c>
      <c r="C3822" s="2"/>
      <c r="D3822" s="2" t="s">
        <v>11</v>
      </c>
      <c r="E3822" s="2">
        <v>10.0</v>
      </c>
      <c r="F3822" s="2" t="s">
        <v>12</v>
      </c>
      <c r="G3822" s="2"/>
      <c r="H3822" s="2"/>
      <c r="I3822" s="2"/>
    </row>
    <row r="3823">
      <c r="A3823" s="1" t="s">
        <v>3870</v>
      </c>
      <c r="B3823" s="2" t="s">
        <v>3827</v>
      </c>
      <c r="C3823" s="1"/>
      <c r="D3823" s="2"/>
      <c r="E3823" s="2"/>
      <c r="F3823" s="2"/>
      <c r="G3823" s="2"/>
      <c r="H3823" s="2"/>
      <c r="I3823" s="2"/>
    </row>
    <row r="3824">
      <c r="A3824" s="1" t="s">
        <v>3871</v>
      </c>
      <c r="B3824" s="2" t="s">
        <v>3827</v>
      </c>
      <c r="C3824" s="2"/>
      <c r="D3824" s="2" t="s">
        <v>11</v>
      </c>
      <c r="E3824" s="2">
        <v>10.0</v>
      </c>
      <c r="F3824" s="2" t="s">
        <v>12</v>
      </c>
      <c r="G3824" s="2"/>
      <c r="H3824" s="2"/>
      <c r="I3824" s="2"/>
    </row>
    <row r="3825">
      <c r="A3825" s="1" t="s">
        <v>3872</v>
      </c>
      <c r="B3825" s="2" t="s">
        <v>3827</v>
      </c>
      <c r="C3825" s="2"/>
      <c r="D3825" s="2" t="s">
        <v>11</v>
      </c>
      <c r="E3825" s="2">
        <v>10.0</v>
      </c>
      <c r="F3825" s="2" t="s">
        <v>12</v>
      </c>
      <c r="G3825" s="2"/>
      <c r="H3825" s="2"/>
      <c r="I3825" s="2"/>
    </row>
    <row r="3826">
      <c r="A3826" s="1" t="s">
        <v>3873</v>
      </c>
      <c r="B3826" s="2" t="s">
        <v>3827</v>
      </c>
      <c r="C3826" s="2"/>
      <c r="D3826" s="2" t="s">
        <v>11</v>
      </c>
      <c r="E3826" s="2">
        <v>10.0</v>
      </c>
      <c r="F3826" s="2" t="s">
        <v>12</v>
      </c>
      <c r="G3826" s="2"/>
      <c r="H3826" s="2"/>
      <c r="I3826" s="2"/>
    </row>
    <row r="3827">
      <c r="A3827" s="2" t="s">
        <v>3874</v>
      </c>
      <c r="B3827" s="2" t="s">
        <v>3827</v>
      </c>
      <c r="C3827" s="1"/>
      <c r="D3827" s="2"/>
      <c r="E3827" s="2"/>
      <c r="F3827" s="2"/>
      <c r="G3827" s="2"/>
      <c r="H3827" s="2"/>
      <c r="I3827" s="2"/>
    </row>
    <row r="3828">
      <c r="A3828" s="1" t="s">
        <v>3875</v>
      </c>
      <c r="B3828" s="2" t="s">
        <v>3876</v>
      </c>
      <c r="C3828" s="2"/>
      <c r="D3828" s="2" t="s">
        <v>11</v>
      </c>
      <c r="E3828" s="2">
        <v>10.0</v>
      </c>
      <c r="F3828" s="2" t="s">
        <v>12</v>
      </c>
      <c r="G3828" s="2"/>
      <c r="H3828" s="2"/>
      <c r="I3828" s="2"/>
    </row>
    <row r="3829">
      <c r="A3829" s="2" t="s">
        <v>3877</v>
      </c>
      <c r="B3829" s="2" t="s">
        <v>3876</v>
      </c>
      <c r="C3829" s="1"/>
      <c r="D3829" s="2"/>
      <c r="E3829" s="2"/>
      <c r="F3829" s="2"/>
      <c r="G3829" s="2"/>
      <c r="H3829" s="2"/>
      <c r="I3829" s="2"/>
    </row>
    <row r="3830">
      <c r="A3830" s="1" t="s">
        <v>3878</v>
      </c>
      <c r="B3830" s="2" t="s">
        <v>3876</v>
      </c>
      <c r="C3830" s="2"/>
      <c r="D3830" s="2" t="s">
        <v>11</v>
      </c>
      <c r="E3830" s="2">
        <v>15.0</v>
      </c>
      <c r="F3830" s="2" t="s">
        <v>12</v>
      </c>
      <c r="G3830" s="2"/>
      <c r="H3830" s="2"/>
      <c r="I3830" s="2"/>
    </row>
    <row r="3831">
      <c r="A3831" s="1" t="s">
        <v>3879</v>
      </c>
      <c r="B3831" s="2" t="s">
        <v>3876</v>
      </c>
      <c r="C3831" s="2"/>
      <c r="D3831" s="2" t="s">
        <v>37</v>
      </c>
      <c r="E3831" s="2">
        <v>15.0</v>
      </c>
      <c r="F3831" s="2" t="s">
        <v>12</v>
      </c>
      <c r="G3831" s="2"/>
      <c r="H3831" s="2"/>
      <c r="I3831" s="2"/>
    </row>
    <row r="3832">
      <c r="A3832" s="1" t="s">
        <v>3880</v>
      </c>
      <c r="B3832" s="2" t="s">
        <v>3876</v>
      </c>
      <c r="C3832" s="2"/>
      <c r="D3832" s="2" t="s">
        <v>11</v>
      </c>
      <c r="E3832" s="2">
        <v>15.0</v>
      </c>
      <c r="F3832" s="2" t="s">
        <v>12</v>
      </c>
      <c r="G3832" s="2"/>
      <c r="H3832" s="2"/>
      <c r="I3832" s="2"/>
    </row>
    <row r="3833">
      <c r="A3833" s="1" t="s">
        <v>3881</v>
      </c>
      <c r="B3833" s="2" t="s">
        <v>3876</v>
      </c>
      <c r="C3833" s="2"/>
      <c r="D3833" s="2" t="s">
        <v>37</v>
      </c>
      <c r="E3833" s="2">
        <v>15.0</v>
      </c>
      <c r="F3833" s="2" t="s">
        <v>12</v>
      </c>
      <c r="G3833" s="2"/>
      <c r="H3833" s="2"/>
      <c r="I3833" s="2"/>
    </row>
    <row r="3834">
      <c r="A3834" s="1" t="s">
        <v>3882</v>
      </c>
      <c r="B3834" s="2" t="s">
        <v>3876</v>
      </c>
      <c r="C3834" s="2"/>
      <c r="D3834" s="2" t="s">
        <v>11</v>
      </c>
      <c r="E3834" s="2">
        <v>10.0</v>
      </c>
      <c r="F3834" s="2" t="s">
        <v>12</v>
      </c>
      <c r="G3834" s="2"/>
      <c r="H3834" s="2"/>
      <c r="I3834" s="2"/>
    </row>
    <row r="3835">
      <c r="A3835" s="1" t="s">
        <v>3883</v>
      </c>
      <c r="B3835" s="2" t="s">
        <v>3876</v>
      </c>
      <c r="C3835" s="2"/>
      <c r="D3835" s="2" t="s">
        <v>11</v>
      </c>
      <c r="E3835" s="2">
        <v>10.0</v>
      </c>
      <c r="F3835" s="2" t="s">
        <v>12</v>
      </c>
      <c r="G3835" s="2"/>
      <c r="H3835" s="2"/>
      <c r="I3835" s="2"/>
    </row>
    <row r="3836">
      <c r="A3836" s="1" t="s">
        <v>3884</v>
      </c>
      <c r="B3836" s="2" t="s">
        <v>3876</v>
      </c>
      <c r="C3836" s="1"/>
      <c r="D3836" s="2"/>
      <c r="E3836" s="2"/>
      <c r="F3836" s="2"/>
      <c r="G3836" s="2"/>
      <c r="H3836" s="2"/>
      <c r="I3836" s="2"/>
    </row>
    <row r="3837">
      <c r="A3837" s="1" t="s">
        <v>3885</v>
      </c>
      <c r="B3837" s="2" t="s">
        <v>3876</v>
      </c>
      <c r="C3837" s="1"/>
      <c r="D3837" s="2"/>
      <c r="E3837" s="2"/>
      <c r="F3837" s="2"/>
      <c r="G3837" s="2"/>
      <c r="H3837" s="2"/>
      <c r="I3837" s="2"/>
    </row>
    <row r="3838">
      <c r="A3838" s="1" t="s">
        <v>3886</v>
      </c>
      <c r="B3838" s="2" t="s">
        <v>3876</v>
      </c>
      <c r="C3838" s="2"/>
      <c r="D3838" s="2" t="s">
        <v>11</v>
      </c>
      <c r="E3838" s="2">
        <v>15.0</v>
      </c>
      <c r="F3838" s="2" t="s">
        <v>12</v>
      </c>
      <c r="G3838" s="2"/>
      <c r="H3838" s="2"/>
      <c r="I3838" s="2"/>
    </row>
    <row r="3839">
      <c r="A3839" s="1" t="s">
        <v>3887</v>
      </c>
      <c r="B3839" s="2" t="s">
        <v>3876</v>
      </c>
      <c r="C3839" s="2"/>
      <c r="D3839" s="2" t="s">
        <v>11</v>
      </c>
      <c r="E3839" s="2">
        <v>15.0</v>
      </c>
      <c r="F3839" s="2" t="s">
        <v>12</v>
      </c>
      <c r="G3839" s="2"/>
      <c r="H3839" s="2"/>
      <c r="I3839" s="2"/>
    </row>
    <row r="3840">
      <c r="A3840" s="1" t="s">
        <v>3888</v>
      </c>
      <c r="B3840" s="2" t="s">
        <v>3876</v>
      </c>
      <c r="C3840" s="1"/>
      <c r="D3840" s="2"/>
      <c r="E3840" s="2"/>
      <c r="F3840" s="2"/>
      <c r="G3840" s="2"/>
      <c r="H3840" s="2"/>
      <c r="I3840" s="2"/>
    </row>
    <row r="3841">
      <c r="A3841" s="1" t="s">
        <v>3889</v>
      </c>
      <c r="B3841" s="2" t="s">
        <v>3876</v>
      </c>
      <c r="C3841" s="1"/>
      <c r="D3841" s="2"/>
      <c r="E3841" s="2"/>
      <c r="F3841" s="2"/>
      <c r="G3841" s="2"/>
      <c r="H3841" s="2"/>
      <c r="I3841" s="2"/>
    </row>
    <row r="3842">
      <c r="A3842" s="1" t="s">
        <v>3890</v>
      </c>
      <c r="B3842" s="2" t="s">
        <v>3876</v>
      </c>
      <c r="C3842" s="1"/>
      <c r="D3842" s="2"/>
      <c r="E3842" s="2"/>
      <c r="F3842" s="2"/>
      <c r="G3842" s="2"/>
      <c r="H3842" s="2"/>
      <c r="I3842" s="2"/>
    </row>
    <row r="3843">
      <c r="A3843" s="1" t="s">
        <v>3891</v>
      </c>
      <c r="B3843" s="2" t="s">
        <v>3876</v>
      </c>
      <c r="C3843" s="1"/>
      <c r="D3843" s="2"/>
      <c r="E3843" s="2"/>
      <c r="F3843" s="2"/>
      <c r="G3843" s="2"/>
      <c r="H3843" s="2"/>
      <c r="I3843" s="2"/>
    </row>
    <row r="3844">
      <c r="A3844" s="2" t="s">
        <v>3892</v>
      </c>
      <c r="B3844" s="2" t="s">
        <v>3876</v>
      </c>
      <c r="C3844" s="1"/>
      <c r="D3844" s="2"/>
      <c r="E3844" s="2"/>
      <c r="F3844" s="2"/>
      <c r="G3844" s="2"/>
      <c r="H3844" s="2"/>
      <c r="I3844" s="2"/>
    </row>
    <row r="3845">
      <c r="A3845" s="2" t="s">
        <v>3893</v>
      </c>
      <c r="B3845" s="2" t="s">
        <v>3876</v>
      </c>
      <c r="C3845" s="2"/>
      <c r="D3845" s="2" t="s">
        <v>37</v>
      </c>
      <c r="E3845" s="2">
        <v>15.0</v>
      </c>
      <c r="F3845" s="2" t="s">
        <v>12</v>
      </c>
      <c r="G3845" s="2"/>
      <c r="H3845" s="2"/>
      <c r="I3845" s="2"/>
    </row>
    <row r="3846">
      <c r="A3846" s="1" t="s">
        <v>3894</v>
      </c>
      <c r="B3846" s="2" t="s">
        <v>3876</v>
      </c>
      <c r="C3846" s="2"/>
      <c r="D3846" s="2" t="s">
        <v>21</v>
      </c>
      <c r="E3846" s="2">
        <v>1.0</v>
      </c>
      <c r="F3846" s="2" t="s">
        <v>22</v>
      </c>
      <c r="G3846" s="2"/>
      <c r="H3846" s="2"/>
      <c r="I3846" s="2"/>
    </row>
    <row r="3847">
      <c r="A3847" s="2" t="s">
        <v>3895</v>
      </c>
      <c r="B3847" s="2" t="s">
        <v>3876</v>
      </c>
      <c r="C3847" s="1"/>
      <c r="D3847" s="2"/>
      <c r="E3847" s="2"/>
      <c r="F3847" s="2"/>
      <c r="G3847" s="2"/>
      <c r="H3847" s="2"/>
      <c r="I3847" s="2"/>
    </row>
    <row r="3848">
      <c r="A3848" s="2" t="s">
        <v>3896</v>
      </c>
      <c r="B3848" s="2" t="s">
        <v>3876</v>
      </c>
      <c r="C3848" s="1"/>
      <c r="D3848" s="1" t="s">
        <v>300</v>
      </c>
      <c r="E3848" s="1" t="s">
        <v>2290</v>
      </c>
      <c r="F3848" s="1" t="s">
        <v>302</v>
      </c>
      <c r="G3848" s="2"/>
      <c r="H3848" s="2"/>
      <c r="I3848" s="2"/>
    </row>
    <row r="3849">
      <c r="A3849" s="1" t="s">
        <v>3897</v>
      </c>
      <c r="B3849" s="2" t="s">
        <v>3876</v>
      </c>
      <c r="C3849" s="2"/>
      <c r="D3849" s="2" t="s">
        <v>37</v>
      </c>
      <c r="E3849" s="2">
        <v>10.0</v>
      </c>
      <c r="F3849" s="2" t="s">
        <v>12</v>
      </c>
      <c r="G3849" s="2"/>
      <c r="H3849" s="2"/>
      <c r="I3849" s="2"/>
    </row>
    <row r="3850">
      <c r="A3850" s="1" t="s">
        <v>3898</v>
      </c>
      <c r="B3850" s="2" t="s">
        <v>3876</v>
      </c>
      <c r="C3850" s="2"/>
      <c r="D3850" s="2" t="s">
        <v>37</v>
      </c>
      <c r="E3850" s="2">
        <v>7.0</v>
      </c>
      <c r="F3850" s="2" t="s">
        <v>12</v>
      </c>
      <c r="G3850" s="2"/>
      <c r="H3850" s="2"/>
      <c r="I3850" s="2"/>
    </row>
    <row r="3851">
      <c r="A3851" s="1" t="s">
        <v>3899</v>
      </c>
      <c r="B3851" s="2" t="s">
        <v>3876</v>
      </c>
      <c r="C3851" s="2"/>
      <c r="D3851" s="2" t="s">
        <v>37</v>
      </c>
      <c r="E3851" s="2">
        <v>10.0</v>
      </c>
      <c r="F3851" s="2" t="s">
        <v>12</v>
      </c>
      <c r="G3851" s="2"/>
      <c r="H3851" s="2"/>
      <c r="I3851" s="2"/>
    </row>
    <row r="3852">
      <c r="A3852" s="1" t="s">
        <v>3900</v>
      </c>
      <c r="B3852" s="2" t="s">
        <v>3876</v>
      </c>
      <c r="C3852" s="2"/>
      <c r="D3852" s="2" t="s">
        <v>37</v>
      </c>
      <c r="E3852" s="2">
        <v>7.0</v>
      </c>
      <c r="F3852" s="2" t="s">
        <v>12</v>
      </c>
      <c r="G3852" s="2"/>
      <c r="H3852" s="2"/>
      <c r="I3852" s="2"/>
    </row>
    <row r="3853">
      <c r="A3853" s="2" t="s">
        <v>3901</v>
      </c>
      <c r="B3853" s="2" t="s">
        <v>3876</v>
      </c>
      <c r="C3853" s="1"/>
      <c r="D3853" s="1" t="s">
        <v>300</v>
      </c>
      <c r="E3853" s="1" t="s">
        <v>2290</v>
      </c>
      <c r="F3853" s="1" t="s">
        <v>302</v>
      </c>
      <c r="G3853" s="2"/>
      <c r="H3853" s="2"/>
      <c r="I3853" s="2"/>
    </row>
    <row r="3854">
      <c r="A3854" s="1" t="s">
        <v>3902</v>
      </c>
      <c r="B3854" s="2" t="s">
        <v>3903</v>
      </c>
      <c r="C3854" s="2"/>
      <c r="D3854" s="2" t="s">
        <v>37</v>
      </c>
      <c r="E3854" s="2">
        <v>7.0</v>
      </c>
      <c r="F3854" s="2" t="s">
        <v>12</v>
      </c>
      <c r="G3854" s="2"/>
      <c r="H3854" s="2"/>
      <c r="I3854" s="2"/>
    </row>
    <row r="3855">
      <c r="A3855" s="1" t="s">
        <v>3904</v>
      </c>
      <c r="B3855" s="2" t="s">
        <v>3903</v>
      </c>
      <c r="C3855" s="2"/>
      <c r="D3855" s="2" t="s">
        <v>37</v>
      </c>
      <c r="E3855" s="2">
        <v>7.0</v>
      </c>
      <c r="F3855" s="2" t="s">
        <v>12</v>
      </c>
      <c r="G3855" s="2"/>
      <c r="H3855" s="2"/>
      <c r="I3855" s="2"/>
    </row>
    <row r="3856">
      <c r="A3856" s="1" t="s">
        <v>3905</v>
      </c>
      <c r="B3856" s="2" t="s">
        <v>3903</v>
      </c>
      <c r="C3856" s="2"/>
      <c r="D3856" s="2" t="s">
        <v>37</v>
      </c>
      <c r="E3856" s="2">
        <v>10.0</v>
      </c>
      <c r="F3856" s="2" t="s">
        <v>12</v>
      </c>
      <c r="G3856" s="2"/>
      <c r="H3856" s="2"/>
      <c r="I3856" s="2"/>
    </row>
    <row r="3857">
      <c r="A3857" s="1" t="s">
        <v>3906</v>
      </c>
      <c r="B3857" s="2" t="s">
        <v>3903</v>
      </c>
      <c r="C3857" s="2"/>
      <c r="D3857" s="2" t="s">
        <v>37</v>
      </c>
      <c r="E3857" s="2">
        <v>10.0</v>
      </c>
      <c r="F3857" s="2" t="s">
        <v>12</v>
      </c>
      <c r="G3857" s="2"/>
      <c r="H3857" s="2"/>
      <c r="I3857" s="2"/>
    </row>
    <row r="3858">
      <c r="A3858" s="2" t="s">
        <v>3907</v>
      </c>
      <c r="B3858" s="2" t="s">
        <v>3903</v>
      </c>
      <c r="C3858" s="2"/>
      <c r="D3858" s="2" t="s">
        <v>37</v>
      </c>
      <c r="E3858" s="2">
        <v>10.0</v>
      </c>
      <c r="F3858" s="2" t="s">
        <v>12</v>
      </c>
      <c r="G3858" s="2"/>
      <c r="H3858" s="2"/>
      <c r="I3858" s="2"/>
    </row>
    <row r="3859">
      <c r="A3859" s="2" t="s">
        <v>3908</v>
      </c>
      <c r="B3859" s="2" t="s">
        <v>3903</v>
      </c>
      <c r="C3859" s="2"/>
      <c r="D3859" s="2" t="s">
        <v>37</v>
      </c>
      <c r="E3859" s="2">
        <v>10.0</v>
      </c>
      <c r="F3859" s="2" t="s">
        <v>12</v>
      </c>
      <c r="G3859" s="2"/>
      <c r="H3859" s="2"/>
      <c r="I3859" s="2"/>
    </row>
    <row r="3860">
      <c r="A3860" s="1" t="s">
        <v>3909</v>
      </c>
      <c r="B3860" s="2" t="s">
        <v>3903</v>
      </c>
      <c r="C3860" s="2"/>
      <c r="D3860" s="2" t="s">
        <v>11</v>
      </c>
      <c r="E3860" s="2">
        <v>10.0</v>
      </c>
      <c r="F3860" s="2" t="s">
        <v>12</v>
      </c>
      <c r="G3860" s="2"/>
      <c r="H3860" s="2"/>
      <c r="I3860" s="2"/>
    </row>
    <row r="3861">
      <c r="A3861" s="2" t="s">
        <v>3910</v>
      </c>
      <c r="B3861" s="2" t="s">
        <v>3903</v>
      </c>
      <c r="C3861" s="2"/>
      <c r="D3861" s="2" t="s">
        <v>11</v>
      </c>
      <c r="E3861" s="2">
        <v>10.0</v>
      </c>
      <c r="F3861" s="2" t="s">
        <v>12</v>
      </c>
      <c r="G3861" s="2"/>
      <c r="H3861" s="2"/>
      <c r="I3861" s="2"/>
    </row>
    <row r="3862">
      <c r="A3862" s="1" t="s">
        <v>3911</v>
      </c>
      <c r="B3862" s="2" t="s">
        <v>3903</v>
      </c>
      <c r="C3862" s="2"/>
      <c r="D3862" s="2" t="s">
        <v>11</v>
      </c>
      <c r="E3862" s="2">
        <v>10.0</v>
      </c>
      <c r="F3862" s="2" t="s">
        <v>12</v>
      </c>
      <c r="G3862" s="2"/>
      <c r="H3862" s="2"/>
      <c r="I3862" s="2"/>
    </row>
    <row r="3863">
      <c r="A3863" s="1" t="s">
        <v>3912</v>
      </c>
      <c r="B3863" s="2" t="s">
        <v>3903</v>
      </c>
      <c r="C3863" s="2"/>
      <c r="D3863" s="2" t="s">
        <v>11</v>
      </c>
      <c r="E3863" s="2">
        <v>10.0</v>
      </c>
      <c r="F3863" s="2" t="s">
        <v>12</v>
      </c>
      <c r="G3863" s="2"/>
      <c r="H3863" s="2"/>
      <c r="I3863" s="2"/>
    </row>
    <row r="3864">
      <c r="A3864" s="1" t="s">
        <v>3913</v>
      </c>
      <c r="B3864" s="2" t="s">
        <v>3903</v>
      </c>
      <c r="C3864" s="2"/>
      <c r="D3864" s="2" t="s">
        <v>11</v>
      </c>
      <c r="E3864" s="2">
        <v>10.0</v>
      </c>
      <c r="F3864" s="2" t="s">
        <v>12</v>
      </c>
      <c r="G3864" s="2"/>
      <c r="H3864" s="2"/>
      <c r="I3864" s="2"/>
    </row>
    <row r="3865">
      <c r="A3865" s="1" t="s">
        <v>3914</v>
      </c>
      <c r="B3865" s="2" t="s">
        <v>3903</v>
      </c>
      <c r="C3865" s="2"/>
      <c r="D3865" s="2" t="s">
        <v>11</v>
      </c>
      <c r="E3865" s="2">
        <v>6.0</v>
      </c>
      <c r="F3865" s="2" t="s">
        <v>12</v>
      </c>
      <c r="G3865" s="2"/>
      <c r="H3865" s="2"/>
      <c r="I3865" s="2"/>
    </row>
    <row r="3866">
      <c r="A3866" s="2" t="s">
        <v>3915</v>
      </c>
      <c r="B3866" s="2" t="s">
        <v>3903</v>
      </c>
      <c r="C3866" s="2"/>
      <c r="D3866" s="2" t="s">
        <v>11</v>
      </c>
      <c r="E3866" s="2">
        <v>10.0</v>
      </c>
      <c r="F3866" s="2" t="s">
        <v>12</v>
      </c>
      <c r="G3866" s="2"/>
      <c r="H3866" s="2"/>
      <c r="I3866" s="2"/>
    </row>
    <row r="3867">
      <c r="A3867" s="2" t="s">
        <v>3916</v>
      </c>
      <c r="B3867" s="2" t="s">
        <v>3903</v>
      </c>
      <c r="C3867" s="2"/>
      <c r="D3867" s="2" t="s">
        <v>11</v>
      </c>
      <c r="E3867" s="2">
        <v>3.0</v>
      </c>
      <c r="F3867" s="2" t="s">
        <v>12</v>
      </c>
      <c r="G3867" s="2"/>
      <c r="H3867" s="2"/>
      <c r="I3867" s="2"/>
    </row>
    <row r="3868">
      <c r="A3868" s="2" t="s">
        <v>3917</v>
      </c>
      <c r="B3868" s="2" t="s">
        <v>3903</v>
      </c>
      <c r="C3868" s="2"/>
      <c r="D3868" s="2" t="s">
        <v>11</v>
      </c>
      <c r="E3868" s="2">
        <v>31.0</v>
      </c>
      <c r="F3868" s="2"/>
      <c r="G3868" s="2"/>
      <c r="H3868" s="2"/>
      <c r="I3868" s="2"/>
    </row>
    <row r="3869">
      <c r="A3869" s="1" t="s">
        <v>3918</v>
      </c>
      <c r="B3869" s="2" t="s">
        <v>3903</v>
      </c>
      <c r="C3869" s="2"/>
      <c r="D3869" s="2" t="s">
        <v>11</v>
      </c>
      <c r="E3869" s="2">
        <v>10.0</v>
      </c>
      <c r="F3869" s="2" t="s">
        <v>12</v>
      </c>
      <c r="G3869" s="2"/>
      <c r="H3869" s="2"/>
      <c r="I3869" s="2"/>
    </row>
    <row r="3870">
      <c r="A3870" s="2" t="s">
        <v>3919</v>
      </c>
      <c r="B3870" s="2" t="s">
        <v>3903</v>
      </c>
      <c r="C3870" s="2"/>
      <c r="D3870" s="2" t="s">
        <v>11</v>
      </c>
      <c r="E3870" s="2">
        <v>10.0</v>
      </c>
      <c r="F3870" s="2" t="s">
        <v>12</v>
      </c>
      <c r="G3870" s="2"/>
      <c r="H3870" s="2"/>
      <c r="I3870" s="2"/>
    </row>
    <row r="3871">
      <c r="A3871" s="1" t="s">
        <v>3920</v>
      </c>
      <c r="B3871" s="2" t="s">
        <v>3903</v>
      </c>
      <c r="C3871" s="2"/>
      <c r="D3871" s="2" t="s">
        <v>11</v>
      </c>
      <c r="E3871" s="2">
        <v>15.0</v>
      </c>
      <c r="F3871" s="2" t="s">
        <v>12</v>
      </c>
      <c r="G3871" s="2"/>
      <c r="H3871" s="2"/>
      <c r="I3871" s="2"/>
    </row>
    <row r="3872">
      <c r="A3872" s="2" t="s">
        <v>3921</v>
      </c>
      <c r="B3872" s="2" t="s">
        <v>3903</v>
      </c>
      <c r="C3872" s="2"/>
      <c r="D3872" s="2" t="s">
        <v>37</v>
      </c>
      <c r="E3872" s="2">
        <v>10.0</v>
      </c>
      <c r="F3872" s="2" t="s">
        <v>12</v>
      </c>
      <c r="G3872" s="2"/>
      <c r="H3872" s="2"/>
      <c r="I3872" s="2"/>
    </row>
    <row r="3873">
      <c r="A3873" s="2" t="s">
        <v>3922</v>
      </c>
      <c r="B3873" s="2" t="s">
        <v>3903</v>
      </c>
      <c r="C3873" s="1"/>
      <c r="D3873" s="2"/>
      <c r="E3873" s="2"/>
      <c r="F3873" s="2"/>
      <c r="G3873" s="2"/>
      <c r="H3873" s="2"/>
      <c r="I3873" s="2"/>
    </row>
    <row r="3874">
      <c r="A3874" s="1" t="s">
        <v>3923</v>
      </c>
      <c r="B3874" s="2" t="s">
        <v>3903</v>
      </c>
      <c r="C3874" s="2"/>
      <c r="D3874" s="2" t="s">
        <v>11</v>
      </c>
      <c r="E3874" s="2">
        <v>10.0</v>
      </c>
      <c r="F3874" s="2" t="s">
        <v>12</v>
      </c>
      <c r="G3874" s="2"/>
      <c r="H3874" s="2"/>
      <c r="I3874" s="2"/>
    </row>
    <row r="3875">
      <c r="A3875" s="1" t="s">
        <v>3924</v>
      </c>
      <c r="B3875" s="2" t="s">
        <v>3903</v>
      </c>
      <c r="C3875" s="2"/>
      <c r="D3875" s="2" t="s">
        <v>11</v>
      </c>
      <c r="E3875" s="2">
        <v>10.0</v>
      </c>
      <c r="F3875" s="2" t="s">
        <v>12</v>
      </c>
      <c r="G3875" s="2"/>
      <c r="H3875" s="2"/>
      <c r="I3875" s="2"/>
    </row>
    <row r="3876">
      <c r="A3876" s="2" t="s">
        <v>3925</v>
      </c>
      <c r="B3876" s="2" t="s">
        <v>3903</v>
      </c>
      <c r="C3876" s="1"/>
      <c r="D3876" s="2"/>
      <c r="E3876" s="2"/>
      <c r="F3876" s="2"/>
      <c r="G3876" s="2"/>
      <c r="H3876" s="2"/>
      <c r="I3876" s="2"/>
    </row>
    <row r="3877">
      <c r="A3877" s="2" t="s">
        <v>3926</v>
      </c>
      <c r="B3877" s="2" t="s">
        <v>3903</v>
      </c>
      <c r="C3877" s="2"/>
      <c r="D3877" s="2" t="s">
        <v>11</v>
      </c>
      <c r="E3877" s="2">
        <v>10.0</v>
      </c>
      <c r="F3877" s="2" t="s">
        <v>12</v>
      </c>
      <c r="G3877" s="2"/>
      <c r="H3877" s="2"/>
      <c r="I3877" s="2"/>
    </row>
    <row r="3878">
      <c r="A3878" s="2" t="s">
        <v>3927</v>
      </c>
      <c r="B3878" s="2" t="s">
        <v>3903</v>
      </c>
      <c r="C3878" s="1"/>
      <c r="D3878" s="2"/>
      <c r="E3878" s="2"/>
      <c r="F3878" s="2"/>
      <c r="G3878" s="2"/>
      <c r="H3878" s="2"/>
      <c r="I3878" s="2"/>
    </row>
    <row r="3879">
      <c r="A3879" s="2" t="s">
        <v>3928</v>
      </c>
      <c r="B3879" s="2" t="s">
        <v>3903</v>
      </c>
      <c r="C3879" s="1"/>
      <c r="D3879" s="2"/>
      <c r="E3879" s="2"/>
      <c r="F3879" s="2"/>
      <c r="G3879" s="2"/>
      <c r="H3879" s="2"/>
      <c r="I3879" s="2"/>
    </row>
    <row r="3880">
      <c r="A3880" s="2" t="s">
        <v>3929</v>
      </c>
      <c r="B3880" s="2" t="s">
        <v>3930</v>
      </c>
      <c r="C3880" s="2"/>
      <c r="D3880" s="2" t="s">
        <v>11</v>
      </c>
      <c r="E3880" s="2">
        <v>10.0</v>
      </c>
      <c r="F3880" s="2" t="s">
        <v>12</v>
      </c>
      <c r="G3880" s="2"/>
      <c r="H3880" s="2"/>
      <c r="I3880" s="2"/>
    </row>
    <row r="3881">
      <c r="A3881" s="1" t="s">
        <v>3931</v>
      </c>
      <c r="B3881" s="2" t="s">
        <v>3930</v>
      </c>
      <c r="C3881" s="2"/>
      <c r="D3881" s="2" t="s">
        <v>11</v>
      </c>
      <c r="E3881" s="2">
        <v>14.0</v>
      </c>
      <c r="F3881" s="2" t="s">
        <v>12</v>
      </c>
      <c r="G3881" s="2"/>
      <c r="H3881" s="2"/>
      <c r="I3881" s="2"/>
    </row>
    <row r="3882">
      <c r="A3882" s="1" t="s">
        <v>3932</v>
      </c>
      <c r="B3882" s="2" t="s">
        <v>3930</v>
      </c>
      <c r="C3882" s="2"/>
      <c r="D3882" s="2" t="s">
        <v>11</v>
      </c>
      <c r="E3882" s="2">
        <v>14.0</v>
      </c>
      <c r="F3882" s="2" t="s">
        <v>12</v>
      </c>
      <c r="G3882" s="2"/>
      <c r="H3882" s="2"/>
      <c r="I3882" s="2"/>
    </row>
    <row r="3883">
      <c r="A3883" s="1" t="s">
        <v>3933</v>
      </c>
      <c r="B3883" s="2" t="s">
        <v>3930</v>
      </c>
      <c r="C3883" s="2"/>
      <c r="D3883" s="2" t="s">
        <v>11</v>
      </c>
      <c r="E3883" s="2">
        <v>10.0</v>
      </c>
      <c r="F3883" s="2" t="s">
        <v>12</v>
      </c>
      <c r="G3883" s="2"/>
      <c r="H3883" s="2"/>
      <c r="I3883" s="2"/>
    </row>
    <row r="3884">
      <c r="A3884" s="1" t="s">
        <v>3934</v>
      </c>
      <c r="B3884" s="2" t="s">
        <v>3930</v>
      </c>
      <c r="C3884" s="2"/>
      <c r="D3884" s="2" t="s">
        <v>11</v>
      </c>
      <c r="E3884" s="2">
        <v>10.0</v>
      </c>
      <c r="F3884" s="2" t="s">
        <v>12</v>
      </c>
      <c r="G3884" s="2"/>
      <c r="H3884" s="2"/>
      <c r="I3884" s="2"/>
    </row>
    <row r="3885">
      <c r="A3885" s="1" t="s">
        <v>3935</v>
      </c>
      <c r="B3885" s="2" t="s">
        <v>3930</v>
      </c>
      <c r="C3885" s="2"/>
      <c r="D3885" s="2" t="s">
        <v>11</v>
      </c>
      <c r="E3885" s="2">
        <v>10.0</v>
      </c>
      <c r="F3885" s="2" t="s">
        <v>12</v>
      </c>
      <c r="G3885" s="2"/>
      <c r="H3885" s="2"/>
      <c r="I3885" s="2"/>
    </row>
    <row r="3886">
      <c r="A3886" s="1" t="s">
        <v>3936</v>
      </c>
      <c r="B3886" s="2" t="s">
        <v>3930</v>
      </c>
      <c r="C3886" s="2"/>
      <c r="D3886" s="2" t="s">
        <v>11</v>
      </c>
      <c r="E3886" s="2">
        <v>10.0</v>
      </c>
      <c r="F3886" s="2" t="s">
        <v>12</v>
      </c>
      <c r="G3886" s="2"/>
      <c r="H3886" s="2"/>
      <c r="I3886" s="2"/>
    </row>
    <row r="3887">
      <c r="A3887" s="1" t="s">
        <v>3937</v>
      </c>
      <c r="B3887" s="2" t="s">
        <v>3930</v>
      </c>
      <c r="C3887" s="2"/>
      <c r="D3887" s="2" t="s">
        <v>11</v>
      </c>
      <c r="E3887" s="2">
        <v>10.0</v>
      </c>
      <c r="F3887" s="2" t="s">
        <v>12</v>
      </c>
      <c r="G3887" s="2"/>
      <c r="H3887" s="2"/>
      <c r="I3887" s="2"/>
    </row>
    <row r="3888">
      <c r="A3888" s="1" t="s">
        <v>3938</v>
      </c>
      <c r="B3888" s="2" t="s">
        <v>3930</v>
      </c>
      <c r="C3888" s="2"/>
      <c r="D3888" s="2" t="s">
        <v>11</v>
      </c>
      <c r="E3888" s="2">
        <v>10.0</v>
      </c>
      <c r="F3888" s="2" t="s">
        <v>12</v>
      </c>
      <c r="G3888" s="2"/>
      <c r="H3888" s="2"/>
      <c r="I3888" s="2"/>
    </row>
    <row r="3889">
      <c r="A3889" s="1" t="s">
        <v>3939</v>
      </c>
      <c r="B3889" s="2" t="s">
        <v>3930</v>
      </c>
      <c r="C3889" s="2"/>
      <c r="D3889" s="2" t="s">
        <v>11</v>
      </c>
      <c r="E3889" s="2">
        <v>10.0</v>
      </c>
      <c r="F3889" s="2" t="s">
        <v>12</v>
      </c>
      <c r="G3889" s="2"/>
      <c r="H3889" s="2"/>
      <c r="I3889" s="2"/>
    </row>
    <row r="3890">
      <c r="A3890" s="2" t="s">
        <v>3940</v>
      </c>
      <c r="B3890" s="2" t="s">
        <v>3930</v>
      </c>
      <c r="C3890" s="2"/>
      <c r="D3890" s="2" t="s">
        <v>11</v>
      </c>
      <c r="E3890" s="2">
        <v>10.0</v>
      </c>
      <c r="F3890" s="2" t="s">
        <v>12</v>
      </c>
      <c r="G3890" s="2"/>
      <c r="H3890" s="2"/>
      <c r="I3890" s="2"/>
    </row>
    <row r="3891">
      <c r="A3891" s="2" t="s">
        <v>3941</v>
      </c>
      <c r="B3891" s="2" t="s">
        <v>3930</v>
      </c>
      <c r="C3891" s="2"/>
      <c r="D3891" s="2" t="s">
        <v>11</v>
      </c>
      <c r="E3891" s="2">
        <v>10.0</v>
      </c>
      <c r="F3891" s="2" t="s">
        <v>12</v>
      </c>
      <c r="G3891" s="2"/>
      <c r="H3891" s="2"/>
      <c r="I3891" s="2"/>
    </row>
    <row r="3892">
      <c r="A3892" s="1" t="s">
        <v>3942</v>
      </c>
      <c r="B3892" s="2" t="s">
        <v>3930</v>
      </c>
      <c r="C3892" s="2"/>
      <c r="D3892" s="2" t="s">
        <v>11</v>
      </c>
      <c r="E3892" s="2">
        <v>10.0</v>
      </c>
      <c r="F3892" s="2" t="s">
        <v>12</v>
      </c>
      <c r="G3892" s="2"/>
      <c r="H3892" s="2"/>
      <c r="I3892" s="2"/>
    </row>
    <row r="3893">
      <c r="A3893" s="1" t="s">
        <v>3943</v>
      </c>
      <c r="B3893" s="2" t="s">
        <v>3930</v>
      </c>
      <c r="C3893" s="2"/>
      <c r="D3893" s="2" t="s">
        <v>11</v>
      </c>
      <c r="E3893" s="2">
        <v>10.0</v>
      </c>
      <c r="F3893" s="2" t="s">
        <v>12</v>
      </c>
      <c r="G3893" s="2"/>
      <c r="H3893" s="2"/>
      <c r="I3893" s="2"/>
    </row>
    <row r="3894">
      <c r="A3894" s="2" t="s">
        <v>3944</v>
      </c>
      <c r="B3894" s="2" t="s">
        <v>3930</v>
      </c>
      <c r="C3894" s="2"/>
      <c r="D3894" s="2" t="s">
        <v>11</v>
      </c>
      <c r="E3894" s="2">
        <v>10.0</v>
      </c>
      <c r="F3894" s="2" t="s">
        <v>12</v>
      </c>
      <c r="G3894" s="2"/>
      <c r="H3894" s="2"/>
      <c r="I3894" s="2"/>
    </row>
    <row r="3895">
      <c r="A3895" s="2" t="s">
        <v>3945</v>
      </c>
      <c r="B3895" s="2" t="s">
        <v>3930</v>
      </c>
      <c r="C3895" s="2"/>
      <c r="D3895" s="2" t="s">
        <v>11</v>
      </c>
      <c r="E3895" s="2">
        <v>10.0</v>
      </c>
      <c r="F3895" s="2" t="s">
        <v>12</v>
      </c>
      <c r="G3895" s="2"/>
      <c r="H3895" s="2"/>
      <c r="I3895" s="2"/>
    </row>
    <row r="3896">
      <c r="A3896" s="1" t="s">
        <v>3946</v>
      </c>
      <c r="B3896" s="2" t="s">
        <v>3930</v>
      </c>
      <c r="C3896" s="2"/>
      <c r="D3896" s="2" t="s">
        <v>11</v>
      </c>
      <c r="E3896" s="2">
        <v>14.0</v>
      </c>
      <c r="F3896" s="2" t="s">
        <v>12</v>
      </c>
      <c r="G3896" s="2"/>
      <c r="H3896" s="2"/>
      <c r="I3896" s="2"/>
    </row>
    <row r="3897">
      <c r="A3897" s="1" t="s">
        <v>3947</v>
      </c>
      <c r="B3897" s="2" t="s">
        <v>3930</v>
      </c>
      <c r="C3897" s="2"/>
      <c r="D3897" s="2" t="s">
        <v>11</v>
      </c>
      <c r="E3897" s="2">
        <v>14.0</v>
      </c>
      <c r="F3897" s="2" t="s">
        <v>12</v>
      </c>
      <c r="G3897" s="2"/>
      <c r="H3897" s="2"/>
      <c r="I3897" s="2"/>
    </row>
    <row r="3898">
      <c r="A3898" s="2" t="s">
        <v>3948</v>
      </c>
      <c r="B3898" s="2" t="s">
        <v>3930</v>
      </c>
      <c r="C3898" s="2"/>
      <c r="D3898" s="2" t="s">
        <v>11</v>
      </c>
      <c r="E3898" s="2">
        <v>10.0</v>
      </c>
      <c r="F3898" s="2" t="s">
        <v>12</v>
      </c>
      <c r="G3898" s="2"/>
      <c r="H3898" s="2"/>
      <c r="I3898" s="2"/>
    </row>
    <row r="3899">
      <c r="A3899" s="1" t="s">
        <v>3949</v>
      </c>
      <c r="B3899" s="2" t="s">
        <v>3930</v>
      </c>
      <c r="C3899" s="2"/>
      <c r="D3899" s="2" t="s">
        <v>11</v>
      </c>
      <c r="E3899" s="2">
        <v>10.0</v>
      </c>
      <c r="F3899" s="2" t="s">
        <v>12</v>
      </c>
      <c r="G3899" s="2"/>
      <c r="H3899" s="2"/>
      <c r="I3899" s="2"/>
    </row>
    <row r="3900">
      <c r="A3900" s="1" t="s">
        <v>3950</v>
      </c>
      <c r="B3900" s="2" t="s">
        <v>3930</v>
      </c>
      <c r="C3900" s="2"/>
      <c r="D3900" s="2" t="s">
        <v>11</v>
      </c>
      <c r="E3900" s="2">
        <v>10.0</v>
      </c>
      <c r="F3900" s="2" t="s">
        <v>12</v>
      </c>
      <c r="G3900" s="2"/>
      <c r="H3900" s="2"/>
      <c r="I3900" s="2"/>
    </row>
    <row r="3901">
      <c r="A3901" s="1" t="s">
        <v>3951</v>
      </c>
      <c r="B3901" s="2" t="s">
        <v>3930</v>
      </c>
      <c r="C3901" s="2"/>
      <c r="D3901" s="2" t="s">
        <v>11</v>
      </c>
      <c r="E3901" s="2">
        <v>10.0</v>
      </c>
      <c r="F3901" s="2" t="s">
        <v>12</v>
      </c>
      <c r="G3901" s="2"/>
      <c r="H3901" s="2"/>
      <c r="I3901" s="2"/>
    </row>
    <row r="3902">
      <c r="A3902" s="2" t="s">
        <v>3952</v>
      </c>
      <c r="B3902" s="2" t="s">
        <v>3930</v>
      </c>
      <c r="C3902" s="2"/>
      <c r="D3902" s="2" t="s">
        <v>11</v>
      </c>
      <c r="E3902" s="2">
        <v>10.0</v>
      </c>
      <c r="F3902" s="2" t="s">
        <v>12</v>
      </c>
      <c r="G3902" s="2"/>
      <c r="H3902" s="2"/>
      <c r="I3902" s="2"/>
    </row>
    <row r="3903">
      <c r="A3903" s="2" t="s">
        <v>3953</v>
      </c>
      <c r="B3903" s="2" t="s">
        <v>3930</v>
      </c>
      <c r="C3903" s="2"/>
      <c r="D3903" s="2" t="s">
        <v>11</v>
      </c>
      <c r="E3903" s="2">
        <v>10.0</v>
      </c>
      <c r="F3903" s="2" t="s">
        <v>12</v>
      </c>
      <c r="G3903" s="2"/>
      <c r="H3903" s="2"/>
      <c r="I3903" s="2"/>
    </row>
    <row r="3904">
      <c r="A3904" s="2" t="s">
        <v>3954</v>
      </c>
      <c r="B3904" s="2" t="s">
        <v>3930</v>
      </c>
      <c r="C3904" s="2"/>
      <c r="D3904" s="2" t="s">
        <v>11</v>
      </c>
      <c r="E3904" s="2">
        <v>10.0</v>
      </c>
      <c r="F3904" s="2" t="s">
        <v>12</v>
      </c>
      <c r="G3904" s="2"/>
      <c r="H3904" s="2"/>
      <c r="I3904" s="2"/>
    </row>
    <row r="3905">
      <c r="A3905" s="2" t="s">
        <v>3955</v>
      </c>
      <c r="B3905" s="2" t="s">
        <v>3930</v>
      </c>
      <c r="C3905" s="2"/>
      <c r="D3905" s="2" t="s">
        <v>11</v>
      </c>
      <c r="E3905" s="2">
        <v>10.0</v>
      </c>
      <c r="F3905" s="2" t="s">
        <v>12</v>
      </c>
      <c r="G3905" s="2"/>
      <c r="H3905" s="2"/>
      <c r="I3905" s="2"/>
    </row>
    <row r="3906">
      <c r="A3906" s="2" t="s">
        <v>3956</v>
      </c>
      <c r="B3906" s="2" t="s">
        <v>3957</v>
      </c>
      <c r="C3906" s="2"/>
      <c r="D3906" s="2" t="s">
        <v>11</v>
      </c>
      <c r="E3906" s="2">
        <v>10.0</v>
      </c>
      <c r="F3906" s="2" t="s">
        <v>12</v>
      </c>
      <c r="G3906" s="2"/>
      <c r="H3906" s="2"/>
      <c r="I3906" s="2"/>
    </row>
    <row r="3907">
      <c r="A3907" s="1" t="s">
        <v>3958</v>
      </c>
      <c r="B3907" s="2" t="s">
        <v>3957</v>
      </c>
      <c r="C3907" s="2"/>
      <c r="D3907" s="2" t="s">
        <v>11</v>
      </c>
      <c r="E3907" s="2">
        <v>10.0</v>
      </c>
      <c r="F3907" s="2" t="s">
        <v>12</v>
      </c>
      <c r="G3907" s="2"/>
      <c r="H3907" s="2"/>
      <c r="I3907" s="2"/>
    </row>
    <row r="3908">
      <c r="A3908" s="2" t="s">
        <v>3959</v>
      </c>
      <c r="B3908" s="2" t="s">
        <v>3957</v>
      </c>
      <c r="C3908" s="2"/>
      <c r="D3908" s="2" t="s">
        <v>11</v>
      </c>
      <c r="E3908" s="2">
        <v>10.0</v>
      </c>
      <c r="F3908" s="2" t="s">
        <v>12</v>
      </c>
      <c r="G3908" s="2"/>
      <c r="H3908" s="2"/>
      <c r="I3908" s="2"/>
    </row>
    <row r="3909">
      <c r="A3909" s="1" t="s">
        <v>3960</v>
      </c>
      <c r="B3909" s="2" t="s">
        <v>3957</v>
      </c>
      <c r="C3909" s="2"/>
      <c r="D3909" s="2" t="s">
        <v>11</v>
      </c>
      <c r="E3909" s="2">
        <v>10.0</v>
      </c>
      <c r="F3909" s="2" t="s">
        <v>12</v>
      </c>
      <c r="G3909" s="2"/>
      <c r="H3909" s="2"/>
      <c r="I3909" s="2"/>
    </row>
    <row r="3910">
      <c r="A3910" s="2" t="s">
        <v>3961</v>
      </c>
      <c r="B3910" s="2" t="s">
        <v>3957</v>
      </c>
      <c r="C3910" s="2"/>
      <c r="D3910" s="2" t="s">
        <v>11</v>
      </c>
      <c r="E3910" s="2">
        <v>10.0</v>
      </c>
      <c r="F3910" s="2" t="s">
        <v>12</v>
      </c>
      <c r="G3910" s="2"/>
      <c r="H3910" s="2"/>
      <c r="I3910" s="2"/>
    </row>
    <row r="3911">
      <c r="A3911" s="2" t="s">
        <v>3962</v>
      </c>
      <c r="B3911" s="2" t="s">
        <v>3957</v>
      </c>
      <c r="C3911" s="2"/>
      <c r="D3911" s="2" t="s">
        <v>11</v>
      </c>
      <c r="E3911" s="2">
        <v>10.0</v>
      </c>
      <c r="F3911" s="2" t="s">
        <v>12</v>
      </c>
      <c r="G3911" s="2"/>
      <c r="H3911" s="2"/>
      <c r="I3911" s="2"/>
    </row>
    <row r="3912">
      <c r="A3912" s="1" t="s">
        <v>3963</v>
      </c>
      <c r="B3912" s="2" t="s">
        <v>3957</v>
      </c>
      <c r="C3912" s="2"/>
      <c r="D3912" s="2" t="s">
        <v>11</v>
      </c>
      <c r="E3912" s="2">
        <v>10.0</v>
      </c>
      <c r="F3912" s="2" t="s">
        <v>12</v>
      </c>
      <c r="G3912" s="2"/>
      <c r="H3912" s="2"/>
      <c r="I3912" s="2"/>
    </row>
    <row r="3913">
      <c r="A3913" s="1" t="s">
        <v>3964</v>
      </c>
      <c r="B3913" s="2" t="s">
        <v>3957</v>
      </c>
      <c r="C3913" s="2"/>
      <c r="D3913" s="2" t="s">
        <v>11</v>
      </c>
      <c r="E3913" s="2">
        <v>10.0</v>
      </c>
      <c r="F3913" s="2" t="s">
        <v>12</v>
      </c>
      <c r="G3913" s="2"/>
      <c r="H3913" s="2"/>
      <c r="I3913" s="2"/>
    </row>
    <row r="3914">
      <c r="A3914" s="1" t="s">
        <v>3965</v>
      </c>
      <c r="B3914" s="2" t="s">
        <v>3957</v>
      </c>
      <c r="C3914" s="2"/>
      <c r="D3914" s="2" t="s">
        <v>11</v>
      </c>
      <c r="E3914" s="2">
        <v>10.0</v>
      </c>
      <c r="F3914" s="2" t="s">
        <v>12</v>
      </c>
      <c r="G3914" s="2"/>
      <c r="H3914" s="2"/>
      <c r="I3914" s="2"/>
    </row>
    <row r="3915">
      <c r="A3915" s="1" t="s">
        <v>3966</v>
      </c>
      <c r="B3915" s="2" t="s">
        <v>3957</v>
      </c>
      <c r="C3915" s="2"/>
      <c r="D3915" s="2" t="s">
        <v>11</v>
      </c>
      <c r="E3915" s="2">
        <v>10.0</v>
      </c>
      <c r="F3915" s="2" t="s">
        <v>12</v>
      </c>
      <c r="G3915" s="2"/>
      <c r="H3915" s="2"/>
      <c r="I3915" s="2"/>
    </row>
    <row r="3916">
      <c r="A3916" s="2" t="s">
        <v>3967</v>
      </c>
      <c r="B3916" s="2" t="s">
        <v>3957</v>
      </c>
      <c r="C3916" s="2"/>
      <c r="D3916" s="2" t="s">
        <v>11</v>
      </c>
      <c r="E3916" s="2">
        <v>10.0</v>
      </c>
      <c r="F3916" s="2" t="s">
        <v>12</v>
      </c>
      <c r="G3916" s="2"/>
      <c r="H3916" s="2"/>
      <c r="I3916" s="2"/>
    </row>
    <row r="3917">
      <c r="A3917" s="2" t="s">
        <v>3968</v>
      </c>
      <c r="B3917" s="2" t="s">
        <v>3957</v>
      </c>
      <c r="C3917" s="2"/>
      <c r="D3917" s="2" t="s">
        <v>37</v>
      </c>
      <c r="E3917" s="2">
        <v>10.0</v>
      </c>
      <c r="F3917" s="2" t="s">
        <v>12</v>
      </c>
      <c r="G3917" s="2"/>
      <c r="H3917" s="2"/>
      <c r="I3917" s="2"/>
    </row>
    <row r="3918">
      <c r="A3918" s="1" t="s">
        <v>3969</v>
      </c>
      <c r="B3918" s="2" t="s">
        <v>3957</v>
      </c>
      <c r="C3918" s="2"/>
      <c r="D3918" s="2" t="s">
        <v>11</v>
      </c>
      <c r="E3918" s="2">
        <v>10.0</v>
      </c>
      <c r="F3918" s="2" t="s">
        <v>12</v>
      </c>
      <c r="G3918" s="2"/>
      <c r="H3918" s="2"/>
      <c r="I3918" s="2"/>
    </row>
    <row r="3919">
      <c r="A3919" s="1" t="s">
        <v>3970</v>
      </c>
      <c r="B3919" s="2" t="s">
        <v>3957</v>
      </c>
      <c r="C3919" s="2"/>
      <c r="D3919" s="2" t="s">
        <v>11</v>
      </c>
      <c r="E3919" s="2">
        <v>10.0</v>
      </c>
      <c r="F3919" s="2" t="s">
        <v>12</v>
      </c>
      <c r="G3919" s="2"/>
      <c r="H3919" s="2"/>
      <c r="I3919" s="2"/>
    </row>
    <row r="3920">
      <c r="A3920" s="2" t="s">
        <v>3971</v>
      </c>
      <c r="B3920" s="2" t="s">
        <v>3957</v>
      </c>
      <c r="C3920" s="2"/>
      <c r="D3920" s="2" t="s">
        <v>11</v>
      </c>
      <c r="E3920" s="2">
        <v>10.0</v>
      </c>
      <c r="F3920" s="2" t="s">
        <v>12</v>
      </c>
      <c r="G3920" s="2"/>
      <c r="H3920" s="2"/>
      <c r="I3920" s="2"/>
    </row>
    <row r="3921">
      <c r="A3921" s="2" t="s">
        <v>3972</v>
      </c>
      <c r="B3921" s="2" t="s">
        <v>3957</v>
      </c>
      <c r="C3921" s="2"/>
      <c r="D3921" s="2" t="s">
        <v>11</v>
      </c>
      <c r="E3921" s="2">
        <v>10.0</v>
      </c>
      <c r="F3921" s="2" t="s">
        <v>12</v>
      </c>
      <c r="G3921" s="2"/>
      <c r="H3921" s="2"/>
      <c r="I3921" s="2"/>
    </row>
    <row r="3922">
      <c r="A3922" s="1" t="s">
        <v>3973</v>
      </c>
      <c r="B3922" s="2" t="s">
        <v>3957</v>
      </c>
      <c r="C3922" s="2"/>
      <c r="D3922" s="2" t="s">
        <v>11</v>
      </c>
      <c r="E3922" s="2">
        <v>10.0</v>
      </c>
      <c r="F3922" s="2" t="s">
        <v>12</v>
      </c>
      <c r="G3922" s="2"/>
      <c r="H3922" s="2"/>
      <c r="I3922" s="2"/>
    </row>
    <row r="3923">
      <c r="A3923" s="1" t="s">
        <v>3974</v>
      </c>
      <c r="B3923" s="2" t="s">
        <v>3957</v>
      </c>
      <c r="C3923" s="2"/>
      <c r="D3923" s="2" t="s">
        <v>11</v>
      </c>
      <c r="E3923" s="2">
        <v>10.0</v>
      </c>
      <c r="F3923" s="2" t="s">
        <v>12</v>
      </c>
      <c r="G3923" s="2"/>
      <c r="H3923" s="2"/>
      <c r="I3923" s="2"/>
    </row>
    <row r="3924">
      <c r="A3924" s="2" t="s">
        <v>3975</v>
      </c>
      <c r="B3924" s="2" t="s">
        <v>3957</v>
      </c>
      <c r="C3924" s="2"/>
      <c r="D3924" s="2" t="s">
        <v>11</v>
      </c>
      <c r="E3924" s="2">
        <v>10.0</v>
      </c>
      <c r="F3924" s="2" t="s">
        <v>12</v>
      </c>
      <c r="G3924" s="2"/>
      <c r="H3924" s="2"/>
      <c r="I3924" s="2"/>
    </row>
    <row r="3925">
      <c r="A3925" s="2" t="s">
        <v>3976</v>
      </c>
      <c r="B3925" s="2" t="s">
        <v>3957</v>
      </c>
      <c r="C3925" s="2"/>
      <c r="D3925" s="2" t="s">
        <v>11</v>
      </c>
      <c r="E3925" s="2">
        <v>10.0</v>
      </c>
      <c r="F3925" s="2" t="s">
        <v>12</v>
      </c>
      <c r="G3925" s="2"/>
      <c r="H3925" s="2"/>
      <c r="I3925" s="2"/>
    </row>
    <row r="3926">
      <c r="A3926" s="2" t="s">
        <v>3977</v>
      </c>
      <c r="B3926" s="2" t="s">
        <v>3957</v>
      </c>
      <c r="C3926" s="2"/>
      <c r="D3926" s="2" t="s">
        <v>11</v>
      </c>
      <c r="E3926" s="2">
        <v>10.0</v>
      </c>
      <c r="F3926" s="2" t="s">
        <v>12</v>
      </c>
      <c r="G3926" s="2"/>
      <c r="H3926" s="2"/>
      <c r="I3926" s="2"/>
    </row>
    <row r="3927">
      <c r="A3927" s="2" t="s">
        <v>3978</v>
      </c>
      <c r="B3927" s="2" t="s">
        <v>3979</v>
      </c>
      <c r="C3927" s="2"/>
      <c r="D3927" s="2" t="s">
        <v>73</v>
      </c>
      <c r="E3927" s="2">
        <v>1.0</v>
      </c>
      <c r="F3927" s="2" t="s">
        <v>74</v>
      </c>
      <c r="G3927" s="2"/>
      <c r="H3927" s="2"/>
      <c r="I3927" s="2"/>
    </row>
    <row r="3928">
      <c r="A3928" s="2" t="s">
        <v>3980</v>
      </c>
      <c r="B3928" s="2" t="s">
        <v>3981</v>
      </c>
      <c r="C3928" s="2"/>
      <c r="D3928" s="2" t="s">
        <v>11</v>
      </c>
      <c r="E3928" s="2">
        <v>10.0</v>
      </c>
      <c r="F3928" s="2" t="s">
        <v>12</v>
      </c>
      <c r="G3928" s="2"/>
      <c r="H3928" s="2"/>
      <c r="I3928" s="2"/>
    </row>
    <row r="3929">
      <c r="A3929" s="1" t="s">
        <v>3982</v>
      </c>
      <c r="B3929" s="2" t="s">
        <v>3981</v>
      </c>
      <c r="C3929" s="2"/>
      <c r="D3929" s="2" t="s">
        <v>37</v>
      </c>
      <c r="E3929" s="2">
        <v>10.0</v>
      </c>
      <c r="F3929" s="2" t="s">
        <v>12</v>
      </c>
      <c r="G3929" s="2"/>
      <c r="H3929" s="2"/>
      <c r="I3929" s="2"/>
    </row>
    <row r="3930">
      <c r="A3930" s="1" t="s">
        <v>3983</v>
      </c>
      <c r="B3930" s="2" t="s">
        <v>3981</v>
      </c>
      <c r="C3930" s="2"/>
      <c r="D3930" s="2" t="s">
        <v>37</v>
      </c>
      <c r="E3930" s="2">
        <v>10.0</v>
      </c>
      <c r="F3930" s="2" t="s">
        <v>12</v>
      </c>
      <c r="G3930" s="2"/>
      <c r="H3930" s="2"/>
      <c r="I3930" s="2"/>
    </row>
    <row r="3931">
      <c r="A3931" s="2" t="s">
        <v>3984</v>
      </c>
      <c r="B3931" s="2" t="s">
        <v>3981</v>
      </c>
      <c r="C3931" s="2"/>
      <c r="D3931" s="2" t="s">
        <v>37</v>
      </c>
      <c r="E3931" s="2">
        <v>10.0</v>
      </c>
      <c r="F3931" s="2" t="s">
        <v>12</v>
      </c>
      <c r="G3931" s="2"/>
      <c r="H3931" s="2"/>
      <c r="I3931" s="2"/>
    </row>
    <row r="3932">
      <c r="A3932" s="1" t="s">
        <v>3985</v>
      </c>
      <c r="B3932" s="2" t="s">
        <v>3981</v>
      </c>
      <c r="C3932" s="2"/>
      <c r="D3932" s="2" t="s">
        <v>11</v>
      </c>
      <c r="E3932" s="2">
        <v>10.0</v>
      </c>
      <c r="F3932" s="2" t="s">
        <v>12</v>
      </c>
      <c r="G3932" s="2"/>
      <c r="H3932" s="2"/>
      <c r="I3932" s="2"/>
    </row>
    <row r="3933">
      <c r="A3933" s="1" t="s">
        <v>3986</v>
      </c>
      <c r="B3933" s="2" t="s">
        <v>3981</v>
      </c>
      <c r="C3933" s="2"/>
      <c r="D3933" s="2" t="s">
        <v>11</v>
      </c>
      <c r="E3933" s="2">
        <v>10.0</v>
      </c>
      <c r="F3933" s="2" t="s">
        <v>12</v>
      </c>
      <c r="G3933" s="2"/>
      <c r="H3933" s="2"/>
      <c r="I3933" s="2"/>
    </row>
    <row r="3934">
      <c r="A3934" s="1" t="s">
        <v>3987</v>
      </c>
      <c r="B3934" s="2" t="s">
        <v>3981</v>
      </c>
      <c r="C3934" s="2"/>
      <c r="D3934" s="2" t="s">
        <v>11</v>
      </c>
      <c r="E3934" s="2">
        <v>10.0</v>
      </c>
      <c r="F3934" s="2" t="s">
        <v>12</v>
      </c>
      <c r="G3934" s="2"/>
      <c r="H3934" s="2"/>
      <c r="I3934" s="2"/>
    </row>
    <row r="3935">
      <c r="A3935" s="1" t="s">
        <v>3988</v>
      </c>
      <c r="B3935" s="2" t="s">
        <v>3981</v>
      </c>
      <c r="C3935" s="2"/>
      <c r="D3935" s="2" t="s">
        <v>11</v>
      </c>
      <c r="E3935" s="2">
        <v>10.0</v>
      </c>
      <c r="F3935" s="2" t="s">
        <v>12</v>
      </c>
      <c r="G3935" s="2"/>
      <c r="H3935" s="2"/>
      <c r="I3935" s="2"/>
    </row>
    <row r="3936">
      <c r="A3936" s="1" t="s">
        <v>3989</v>
      </c>
      <c r="B3936" s="2" t="s">
        <v>3981</v>
      </c>
      <c r="C3936" s="2"/>
      <c r="D3936" s="2" t="s">
        <v>11</v>
      </c>
      <c r="E3936" s="2">
        <v>10.0</v>
      </c>
      <c r="F3936" s="2" t="s">
        <v>12</v>
      </c>
      <c r="G3936" s="2"/>
      <c r="H3936" s="2"/>
      <c r="I3936" s="2"/>
    </row>
    <row r="3937">
      <c r="A3937" s="1" t="s">
        <v>3990</v>
      </c>
      <c r="B3937" s="2" t="s">
        <v>3981</v>
      </c>
      <c r="C3937" s="2"/>
      <c r="D3937" s="2" t="s">
        <v>11</v>
      </c>
      <c r="E3937" s="2">
        <v>10.0</v>
      </c>
      <c r="F3937" s="2" t="s">
        <v>12</v>
      </c>
      <c r="G3937" s="2"/>
      <c r="H3937" s="2"/>
      <c r="I3937" s="2"/>
    </row>
    <row r="3938">
      <c r="A3938" s="1" t="s">
        <v>3991</v>
      </c>
      <c r="B3938" s="2" t="s">
        <v>3981</v>
      </c>
      <c r="C3938" s="2"/>
      <c r="D3938" s="2" t="s">
        <v>11</v>
      </c>
      <c r="E3938" s="2">
        <v>10.0</v>
      </c>
      <c r="F3938" s="2" t="s">
        <v>12</v>
      </c>
      <c r="G3938" s="2"/>
      <c r="H3938" s="2"/>
      <c r="I3938" s="2"/>
    </row>
    <row r="3939">
      <c r="A3939" s="1" t="s">
        <v>3992</v>
      </c>
      <c r="B3939" s="2" t="s">
        <v>3981</v>
      </c>
      <c r="C3939" s="2"/>
      <c r="D3939" s="2" t="s">
        <v>11</v>
      </c>
      <c r="E3939" s="2">
        <v>10.0</v>
      </c>
      <c r="F3939" s="2" t="s">
        <v>12</v>
      </c>
      <c r="G3939" s="2"/>
      <c r="H3939" s="2"/>
      <c r="I3939" s="2"/>
    </row>
    <row r="3940">
      <c r="A3940" s="2" t="s">
        <v>3993</v>
      </c>
      <c r="B3940" s="2" t="s">
        <v>3981</v>
      </c>
      <c r="C3940" s="1"/>
      <c r="D3940" s="2"/>
      <c r="E3940" s="2"/>
      <c r="F3940" s="2"/>
      <c r="G3940" s="2"/>
      <c r="H3940" s="2"/>
      <c r="I3940" s="2"/>
    </row>
    <row r="3941">
      <c r="A3941" s="2" t="s">
        <v>3994</v>
      </c>
      <c r="B3941" s="2" t="s">
        <v>3981</v>
      </c>
      <c r="C3941" s="1"/>
      <c r="D3941" s="2"/>
      <c r="E3941" s="2"/>
      <c r="F3941" s="2"/>
      <c r="G3941" s="2"/>
      <c r="H3941" s="2"/>
      <c r="I3941" s="2"/>
    </row>
    <row r="3942">
      <c r="A3942" s="1" t="s">
        <v>3995</v>
      </c>
      <c r="B3942" s="2" t="s">
        <v>3981</v>
      </c>
      <c r="C3942" s="2"/>
      <c r="D3942" s="2" t="s">
        <v>11</v>
      </c>
      <c r="E3942" s="2">
        <v>10.0</v>
      </c>
      <c r="F3942" s="2" t="s">
        <v>12</v>
      </c>
      <c r="G3942" s="2"/>
      <c r="H3942" s="2"/>
      <c r="I3942" s="2"/>
    </row>
    <row r="3943">
      <c r="A3943" s="1" t="s">
        <v>3996</v>
      </c>
      <c r="B3943" s="2" t="s">
        <v>3981</v>
      </c>
      <c r="C3943" s="2"/>
      <c r="D3943" s="2" t="s">
        <v>37</v>
      </c>
      <c r="E3943" s="2">
        <v>10.0</v>
      </c>
      <c r="F3943" s="2" t="s">
        <v>12</v>
      </c>
      <c r="G3943" s="2"/>
      <c r="H3943" s="2"/>
      <c r="I3943" s="2"/>
    </row>
    <row r="3944">
      <c r="A3944" s="1" t="s">
        <v>3997</v>
      </c>
      <c r="B3944" s="2" t="s">
        <v>3981</v>
      </c>
      <c r="C3944" s="2"/>
      <c r="D3944" s="2" t="s">
        <v>11</v>
      </c>
      <c r="E3944" s="2">
        <v>10.0</v>
      </c>
      <c r="F3944" s="2" t="s">
        <v>12</v>
      </c>
      <c r="G3944" s="2"/>
      <c r="H3944" s="2"/>
      <c r="I3944" s="2"/>
    </row>
    <row r="3945">
      <c r="A3945" s="1" t="s">
        <v>3998</v>
      </c>
      <c r="B3945" s="2" t="s">
        <v>3981</v>
      </c>
      <c r="C3945" s="2"/>
      <c r="D3945" s="2" t="s">
        <v>11</v>
      </c>
      <c r="E3945" s="2">
        <v>10.0</v>
      </c>
      <c r="F3945" s="2" t="s">
        <v>12</v>
      </c>
      <c r="G3945" s="2"/>
      <c r="H3945" s="2"/>
      <c r="I3945" s="2"/>
    </row>
    <row r="3946">
      <c r="A3946" s="1" t="s">
        <v>3999</v>
      </c>
      <c r="B3946" s="2" t="s">
        <v>3981</v>
      </c>
      <c r="C3946" s="2"/>
      <c r="D3946" s="2" t="s">
        <v>11</v>
      </c>
      <c r="E3946" s="2">
        <v>10.0</v>
      </c>
      <c r="F3946" s="2" t="s">
        <v>12</v>
      </c>
      <c r="G3946" s="2"/>
      <c r="H3946" s="2"/>
      <c r="I3946" s="2"/>
    </row>
    <row r="3947">
      <c r="A3947" s="1" t="s">
        <v>4000</v>
      </c>
      <c r="B3947" s="2" t="s">
        <v>3981</v>
      </c>
      <c r="C3947" s="2"/>
      <c r="D3947" s="2" t="s">
        <v>11</v>
      </c>
      <c r="E3947" s="2">
        <v>10.0</v>
      </c>
      <c r="F3947" s="2" t="s">
        <v>12</v>
      </c>
      <c r="G3947" s="2"/>
      <c r="H3947" s="2"/>
      <c r="I3947" s="2"/>
    </row>
    <row r="3948">
      <c r="A3948" s="1" t="s">
        <v>4001</v>
      </c>
      <c r="B3948" s="2" t="s">
        <v>3981</v>
      </c>
      <c r="C3948" s="2"/>
      <c r="D3948" s="2" t="s">
        <v>11</v>
      </c>
      <c r="E3948" s="2">
        <v>10.0</v>
      </c>
      <c r="F3948" s="2" t="s">
        <v>12</v>
      </c>
      <c r="G3948" s="2"/>
      <c r="H3948" s="2"/>
      <c r="I3948" s="2"/>
    </row>
    <row r="3949">
      <c r="A3949" s="1" t="s">
        <v>4002</v>
      </c>
      <c r="B3949" s="2" t="s">
        <v>3981</v>
      </c>
      <c r="C3949" s="2"/>
      <c r="D3949" s="2" t="s">
        <v>11</v>
      </c>
      <c r="E3949" s="2">
        <v>10.0</v>
      </c>
      <c r="F3949" s="2" t="s">
        <v>12</v>
      </c>
      <c r="G3949" s="2"/>
      <c r="H3949" s="2"/>
      <c r="I3949" s="2"/>
    </row>
    <row r="3950">
      <c r="A3950" s="1" t="s">
        <v>4003</v>
      </c>
      <c r="B3950" s="2" t="s">
        <v>3981</v>
      </c>
      <c r="C3950" s="2"/>
      <c r="D3950" s="2" t="s">
        <v>11</v>
      </c>
      <c r="E3950" s="2">
        <v>10.0</v>
      </c>
      <c r="F3950" s="2" t="s">
        <v>12</v>
      </c>
      <c r="G3950" s="2"/>
      <c r="H3950" s="2"/>
      <c r="I3950" s="2"/>
    </row>
    <row r="3951">
      <c r="A3951" s="1" t="s">
        <v>4004</v>
      </c>
      <c r="B3951" s="2" t="s">
        <v>3981</v>
      </c>
      <c r="C3951" s="2"/>
      <c r="D3951" s="2" t="s">
        <v>37</v>
      </c>
      <c r="E3951" s="2">
        <v>10.0</v>
      </c>
      <c r="F3951" s="2" t="s">
        <v>12</v>
      </c>
      <c r="G3951" s="2"/>
      <c r="H3951" s="2"/>
      <c r="I3951" s="2"/>
    </row>
    <row r="3952">
      <c r="A3952" s="1" t="s">
        <v>4005</v>
      </c>
      <c r="B3952" s="2" t="s">
        <v>3981</v>
      </c>
      <c r="C3952" s="2"/>
      <c r="D3952" s="2" t="s">
        <v>37</v>
      </c>
      <c r="E3952" s="2">
        <v>10.0</v>
      </c>
      <c r="F3952" s="2" t="s">
        <v>12</v>
      </c>
      <c r="G3952" s="2"/>
      <c r="H3952" s="2"/>
      <c r="I3952" s="2"/>
    </row>
    <row r="3953">
      <c r="A3953" s="1" t="s">
        <v>4006</v>
      </c>
      <c r="B3953" s="2" t="s">
        <v>3981</v>
      </c>
      <c r="C3953" s="2"/>
      <c r="D3953" s="2" t="s">
        <v>37</v>
      </c>
      <c r="E3953" s="2">
        <v>10.0</v>
      </c>
      <c r="F3953" s="2" t="s">
        <v>12</v>
      </c>
      <c r="G3953" s="2"/>
      <c r="H3953" s="2"/>
      <c r="I3953" s="2"/>
    </row>
    <row r="3954">
      <c r="A3954" s="1" t="s">
        <v>4007</v>
      </c>
      <c r="B3954" s="2" t="s">
        <v>3981</v>
      </c>
      <c r="C3954" s="2"/>
      <c r="D3954" s="2" t="s">
        <v>37</v>
      </c>
      <c r="E3954" s="2">
        <v>10.0</v>
      </c>
      <c r="F3954" s="2" t="s">
        <v>12</v>
      </c>
      <c r="G3954" s="2"/>
      <c r="H3954" s="2"/>
      <c r="I3954" s="2"/>
    </row>
    <row r="3955">
      <c r="A3955" s="1" t="s">
        <v>4008</v>
      </c>
      <c r="B3955" s="2" t="s">
        <v>3981</v>
      </c>
      <c r="C3955" s="2"/>
      <c r="D3955" s="2" t="s">
        <v>37</v>
      </c>
      <c r="E3955" s="2">
        <v>10.0</v>
      </c>
      <c r="F3955" s="2" t="s">
        <v>12</v>
      </c>
      <c r="G3955" s="2"/>
      <c r="H3955" s="2"/>
      <c r="I3955" s="2"/>
    </row>
    <row r="3956">
      <c r="A3956" s="1" t="s">
        <v>4009</v>
      </c>
      <c r="B3956" s="2" t="s">
        <v>3981</v>
      </c>
      <c r="C3956" s="2"/>
      <c r="D3956" s="2" t="s">
        <v>37</v>
      </c>
      <c r="E3956" s="2">
        <v>10.0</v>
      </c>
      <c r="F3956" s="2" t="s">
        <v>12</v>
      </c>
      <c r="G3956" s="2"/>
      <c r="H3956" s="2"/>
      <c r="I3956" s="2"/>
    </row>
    <row r="3957">
      <c r="A3957" s="1" t="s">
        <v>4010</v>
      </c>
      <c r="B3957" s="2" t="s">
        <v>3981</v>
      </c>
      <c r="C3957" s="2"/>
      <c r="D3957" s="2" t="s">
        <v>11</v>
      </c>
      <c r="E3957" s="2">
        <v>10.0</v>
      </c>
      <c r="F3957" s="2" t="s">
        <v>12</v>
      </c>
      <c r="G3957" s="2"/>
      <c r="H3957" s="2"/>
      <c r="I3957" s="2"/>
    </row>
    <row r="3958">
      <c r="A3958" s="1" t="s">
        <v>4011</v>
      </c>
      <c r="B3958" s="2" t="s">
        <v>3981</v>
      </c>
      <c r="C3958" s="2"/>
      <c r="D3958" s="2" t="s">
        <v>11</v>
      </c>
      <c r="E3958" s="2">
        <v>10.0</v>
      </c>
      <c r="F3958" s="2" t="s">
        <v>12</v>
      </c>
      <c r="G3958" s="2"/>
      <c r="H3958" s="2"/>
      <c r="I3958" s="2"/>
    </row>
    <row r="3959">
      <c r="A3959" s="1" t="s">
        <v>4012</v>
      </c>
      <c r="B3959" s="2" t="s">
        <v>4013</v>
      </c>
      <c r="C3959" s="2"/>
      <c r="D3959" s="2" t="s">
        <v>11</v>
      </c>
      <c r="E3959" s="2"/>
      <c r="F3959" s="2"/>
      <c r="G3959" s="2"/>
      <c r="H3959" s="2"/>
      <c r="I3959" s="2"/>
    </row>
    <row r="3960">
      <c r="A3960" s="1" t="s">
        <v>4014</v>
      </c>
      <c r="B3960" s="2" t="s">
        <v>4013</v>
      </c>
      <c r="C3960" s="2"/>
      <c r="D3960" s="2" t="s">
        <v>11</v>
      </c>
      <c r="E3960" s="2">
        <v>10.0</v>
      </c>
      <c r="F3960" s="2" t="s">
        <v>12</v>
      </c>
      <c r="G3960" s="2"/>
      <c r="H3960" s="2"/>
      <c r="I3960" s="2"/>
    </row>
    <row r="3961">
      <c r="A3961" s="1" t="s">
        <v>4015</v>
      </c>
      <c r="B3961" s="2" t="s">
        <v>4013</v>
      </c>
      <c r="C3961" s="2"/>
      <c r="D3961" s="2" t="s">
        <v>11</v>
      </c>
      <c r="E3961" s="2">
        <v>10.0</v>
      </c>
      <c r="F3961" s="2" t="s">
        <v>12</v>
      </c>
      <c r="G3961" s="2"/>
      <c r="H3961" s="2"/>
      <c r="I3961" s="2"/>
    </row>
    <row r="3962">
      <c r="A3962" s="2" t="s">
        <v>4016</v>
      </c>
      <c r="B3962" s="2" t="s">
        <v>4013</v>
      </c>
      <c r="C3962" s="1"/>
      <c r="D3962" s="2"/>
      <c r="E3962" s="2"/>
      <c r="F3962" s="2"/>
      <c r="G3962" s="2"/>
      <c r="H3962" s="2"/>
      <c r="I3962" s="2"/>
    </row>
    <row r="3963">
      <c r="A3963" s="1" t="s">
        <v>4017</v>
      </c>
      <c r="B3963" s="2" t="s">
        <v>4013</v>
      </c>
      <c r="C3963" s="2"/>
      <c r="D3963" s="2" t="s">
        <v>37</v>
      </c>
      <c r="E3963" s="2">
        <v>10.0</v>
      </c>
      <c r="F3963" s="2" t="s">
        <v>12</v>
      </c>
      <c r="G3963" s="2"/>
      <c r="H3963" s="2"/>
      <c r="I3963" s="2"/>
    </row>
    <row r="3964">
      <c r="A3964" s="2" t="s">
        <v>4018</v>
      </c>
      <c r="B3964" s="2" t="s">
        <v>4013</v>
      </c>
      <c r="C3964" s="2"/>
      <c r="D3964" s="2" t="s">
        <v>37</v>
      </c>
      <c r="E3964" s="2">
        <v>10.0</v>
      </c>
      <c r="F3964" s="2" t="s">
        <v>12</v>
      </c>
      <c r="G3964" s="2"/>
      <c r="H3964" s="2"/>
      <c r="I3964" s="2"/>
    </row>
    <row r="3965">
      <c r="A3965" s="2" t="s">
        <v>4019</v>
      </c>
      <c r="B3965" s="2" t="s">
        <v>4013</v>
      </c>
      <c r="C3965" s="2"/>
      <c r="D3965" s="2" t="s">
        <v>11</v>
      </c>
      <c r="E3965" s="2">
        <v>10.0</v>
      </c>
      <c r="F3965" s="2" t="s">
        <v>12</v>
      </c>
      <c r="G3965" s="2"/>
      <c r="H3965" s="2"/>
      <c r="I3965" s="2"/>
    </row>
    <row r="3966">
      <c r="A3966" s="1" t="s">
        <v>4020</v>
      </c>
      <c r="B3966" s="2" t="s">
        <v>4013</v>
      </c>
      <c r="C3966" s="2"/>
      <c r="D3966" s="2" t="s">
        <v>11</v>
      </c>
      <c r="E3966" s="2">
        <v>10.0</v>
      </c>
      <c r="F3966" s="2" t="s">
        <v>12</v>
      </c>
      <c r="G3966" s="2"/>
      <c r="H3966" s="2"/>
      <c r="I3966" s="2"/>
    </row>
    <row r="3967">
      <c r="A3967" s="1" t="s">
        <v>4021</v>
      </c>
      <c r="B3967" s="2" t="s">
        <v>4013</v>
      </c>
      <c r="C3967" s="2"/>
      <c r="D3967" s="2" t="s">
        <v>11</v>
      </c>
      <c r="E3967" s="2">
        <v>10.0</v>
      </c>
      <c r="F3967" s="2" t="s">
        <v>12</v>
      </c>
      <c r="G3967" s="2"/>
      <c r="H3967" s="2"/>
      <c r="I3967" s="2"/>
    </row>
    <row r="3968">
      <c r="A3968" s="1" t="s">
        <v>4022</v>
      </c>
      <c r="B3968" s="2" t="s">
        <v>4013</v>
      </c>
      <c r="C3968" s="2"/>
      <c r="D3968" s="2" t="s">
        <v>11</v>
      </c>
      <c r="E3968" s="2">
        <v>10.0</v>
      </c>
      <c r="F3968" s="2" t="s">
        <v>12</v>
      </c>
      <c r="G3968" s="2"/>
      <c r="H3968" s="2"/>
      <c r="I3968" s="2"/>
    </row>
    <row r="3969">
      <c r="A3969" s="1" t="s">
        <v>4023</v>
      </c>
      <c r="B3969" s="2" t="s">
        <v>4013</v>
      </c>
      <c r="C3969" s="2"/>
      <c r="D3969" s="2" t="s">
        <v>11</v>
      </c>
      <c r="E3969" s="2">
        <v>10.0</v>
      </c>
      <c r="F3969" s="2" t="s">
        <v>12</v>
      </c>
      <c r="G3969" s="2"/>
      <c r="H3969" s="2"/>
      <c r="I3969" s="2"/>
    </row>
    <row r="3970">
      <c r="A3970" s="1" t="s">
        <v>4024</v>
      </c>
      <c r="B3970" s="2" t="s">
        <v>4013</v>
      </c>
      <c r="C3970" s="2"/>
      <c r="D3970" s="2" t="s">
        <v>11</v>
      </c>
      <c r="E3970" s="2">
        <v>10.0</v>
      </c>
      <c r="F3970" s="2" t="s">
        <v>12</v>
      </c>
      <c r="G3970" s="2"/>
      <c r="H3970" s="2"/>
      <c r="I3970" s="2"/>
    </row>
    <row r="3971">
      <c r="A3971" s="1" t="s">
        <v>4025</v>
      </c>
      <c r="B3971" s="2" t="s">
        <v>4013</v>
      </c>
      <c r="C3971" s="2"/>
      <c r="D3971" s="2" t="s">
        <v>11</v>
      </c>
      <c r="E3971" s="2">
        <v>10.0</v>
      </c>
      <c r="F3971" s="2" t="s">
        <v>12</v>
      </c>
      <c r="G3971" s="2"/>
      <c r="H3971" s="2"/>
      <c r="I3971" s="2"/>
    </row>
    <row r="3972">
      <c r="A3972" s="1" t="s">
        <v>4026</v>
      </c>
      <c r="B3972" s="2" t="s">
        <v>4013</v>
      </c>
      <c r="C3972" s="2"/>
      <c r="D3972" s="2" t="s">
        <v>11</v>
      </c>
      <c r="E3972" s="2">
        <v>10.0</v>
      </c>
      <c r="F3972" s="2" t="s">
        <v>12</v>
      </c>
      <c r="G3972" s="2"/>
      <c r="H3972" s="2"/>
      <c r="I3972" s="2"/>
    </row>
    <row r="3973">
      <c r="A3973" s="1" t="s">
        <v>4027</v>
      </c>
      <c r="B3973" s="2" t="s">
        <v>4013</v>
      </c>
      <c r="C3973" s="2"/>
      <c r="D3973" s="2" t="s">
        <v>11</v>
      </c>
      <c r="E3973" s="2">
        <v>10.0</v>
      </c>
      <c r="F3973" s="2" t="s">
        <v>12</v>
      </c>
      <c r="G3973" s="2"/>
      <c r="H3973" s="2"/>
      <c r="I3973" s="2"/>
    </row>
    <row r="3974">
      <c r="A3974" s="1" t="s">
        <v>4028</v>
      </c>
      <c r="B3974" s="2" t="s">
        <v>4013</v>
      </c>
      <c r="C3974" s="2"/>
      <c r="D3974" s="2" t="s">
        <v>11</v>
      </c>
      <c r="E3974" s="2">
        <v>10.0</v>
      </c>
      <c r="F3974" s="2" t="s">
        <v>12</v>
      </c>
      <c r="G3974" s="2"/>
      <c r="H3974" s="2"/>
      <c r="I3974" s="2"/>
    </row>
    <row r="3975">
      <c r="A3975" s="1" t="s">
        <v>4029</v>
      </c>
      <c r="B3975" s="2" t="s">
        <v>4013</v>
      </c>
      <c r="C3975" s="2"/>
      <c r="D3975" s="2" t="s">
        <v>11</v>
      </c>
      <c r="E3975" s="2">
        <v>10.0</v>
      </c>
      <c r="F3975" s="2" t="s">
        <v>12</v>
      </c>
      <c r="G3975" s="2"/>
      <c r="H3975" s="2"/>
      <c r="I3975" s="2"/>
    </row>
    <row r="3976">
      <c r="A3976" s="1" t="s">
        <v>4030</v>
      </c>
      <c r="B3976" s="2" t="s">
        <v>4013</v>
      </c>
      <c r="C3976" s="2"/>
      <c r="D3976" s="2" t="s">
        <v>11</v>
      </c>
      <c r="E3976" s="2">
        <v>10.0</v>
      </c>
      <c r="F3976" s="2" t="s">
        <v>12</v>
      </c>
      <c r="G3976" s="2"/>
      <c r="H3976" s="2"/>
      <c r="I3976" s="2"/>
    </row>
    <row r="3977">
      <c r="A3977" s="1" t="s">
        <v>4031</v>
      </c>
      <c r="B3977" s="2" t="s">
        <v>4013</v>
      </c>
      <c r="C3977" s="2"/>
      <c r="D3977" s="2" t="s">
        <v>11</v>
      </c>
      <c r="E3977" s="2">
        <v>10.0</v>
      </c>
      <c r="F3977" s="2" t="s">
        <v>12</v>
      </c>
      <c r="G3977" s="2"/>
      <c r="H3977" s="2"/>
      <c r="I3977" s="2"/>
    </row>
    <row r="3978">
      <c r="A3978" s="1" t="s">
        <v>4032</v>
      </c>
      <c r="B3978" s="2" t="s">
        <v>4013</v>
      </c>
      <c r="C3978" s="2"/>
      <c r="D3978" s="2" t="s">
        <v>11</v>
      </c>
      <c r="E3978" s="2">
        <v>10.0</v>
      </c>
      <c r="F3978" s="2" t="s">
        <v>12</v>
      </c>
      <c r="G3978" s="2"/>
      <c r="H3978" s="2"/>
      <c r="I3978" s="2"/>
    </row>
    <row r="3979">
      <c r="A3979" s="1" t="s">
        <v>4033</v>
      </c>
      <c r="B3979" s="2" t="s">
        <v>4013</v>
      </c>
      <c r="C3979" s="2"/>
      <c r="D3979" s="2" t="s">
        <v>11</v>
      </c>
      <c r="E3979" s="2">
        <v>10.0</v>
      </c>
      <c r="F3979" s="2" t="s">
        <v>12</v>
      </c>
      <c r="G3979" s="2"/>
      <c r="H3979" s="2"/>
      <c r="I3979" s="2"/>
    </row>
    <row r="3980">
      <c r="A3980" s="1" t="s">
        <v>4034</v>
      </c>
      <c r="B3980" s="2" t="s">
        <v>4013</v>
      </c>
      <c r="C3980" s="2"/>
      <c r="D3980" s="2" t="s">
        <v>11</v>
      </c>
      <c r="E3980" s="2">
        <v>10.0</v>
      </c>
      <c r="F3980" s="2" t="s">
        <v>12</v>
      </c>
      <c r="G3980" s="2"/>
      <c r="H3980" s="2"/>
      <c r="I3980" s="2"/>
    </row>
    <row r="3981">
      <c r="A3981" s="2" t="s">
        <v>4035</v>
      </c>
      <c r="B3981" s="2" t="s">
        <v>4036</v>
      </c>
      <c r="C3981" s="1"/>
      <c r="D3981" s="2"/>
      <c r="E3981" s="2"/>
      <c r="F3981" s="2"/>
      <c r="G3981" s="2"/>
      <c r="H3981" s="2"/>
      <c r="I3981" s="2"/>
    </row>
    <row r="3982">
      <c r="A3982" s="2" t="s">
        <v>4037</v>
      </c>
      <c r="B3982" s="2" t="s">
        <v>4036</v>
      </c>
      <c r="C3982" s="1"/>
      <c r="D3982" s="2"/>
      <c r="E3982" s="2"/>
      <c r="F3982" s="2"/>
      <c r="G3982" s="2"/>
      <c r="H3982" s="2"/>
      <c r="I3982" s="2"/>
    </row>
    <row r="3983">
      <c r="A3983" s="2" t="s">
        <v>4038</v>
      </c>
      <c r="B3983" s="2" t="s">
        <v>4036</v>
      </c>
      <c r="C3983" s="1"/>
      <c r="D3983" s="2"/>
      <c r="E3983" s="2"/>
      <c r="F3983" s="2"/>
      <c r="G3983" s="2"/>
      <c r="H3983" s="2"/>
      <c r="I3983" s="2"/>
    </row>
    <row r="3984">
      <c r="A3984" s="2" t="s">
        <v>4039</v>
      </c>
      <c r="B3984" s="2" t="s">
        <v>4036</v>
      </c>
      <c r="C3984" s="1"/>
      <c r="D3984" s="2"/>
      <c r="E3984" s="2"/>
      <c r="F3984" s="2"/>
      <c r="G3984" s="2"/>
      <c r="H3984" s="2"/>
      <c r="I3984" s="2"/>
    </row>
    <row r="3985">
      <c r="A3985" s="2" t="s">
        <v>4040</v>
      </c>
      <c r="B3985" s="2" t="s">
        <v>4036</v>
      </c>
      <c r="C3985" s="1"/>
      <c r="D3985" s="2"/>
      <c r="E3985" s="2"/>
      <c r="F3985" s="2"/>
      <c r="G3985" s="2"/>
      <c r="H3985" s="2"/>
      <c r="I3985" s="2"/>
    </row>
    <row r="3986">
      <c r="A3986" s="2" t="s">
        <v>4041</v>
      </c>
      <c r="B3986" s="2" t="s">
        <v>4036</v>
      </c>
      <c r="C3986" s="1"/>
      <c r="D3986" s="2"/>
      <c r="E3986" s="2"/>
      <c r="F3986" s="2"/>
      <c r="G3986" s="2"/>
      <c r="H3986" s="2"/>
      <c r="I3986" s="2"/>
    </row>
    <row r="3987">
      <c r="A3987" s="2" t="s">
        <v>4042</v>
      </c>
      <c r="B3987" s="2" t="s">
        <v>4036</v>
      </c>
      <c r="C3987" s="1"/>
      <c r="D3987" s="2"/>
      <c r="E3987" s="2"/>
      <c r="F3987" s="2"/>
      <c r="G3987" s="2"/>
      <c r="H3987" s="2"/>
      <c r="I3987" s="2"/>
    </row>
    <row r="3988">
      <c r="A3988" s="2" t="s">
        <v>4043</v>
      </c>
      <c r="B3988" s="2" t="s">
        <v>4036</v>
      </c>
      <c r="C3988" s="1"/>
      <c r="D3988" s="2"/>
      <c r="E3988" s="2"/>
      <c r="F3988" s="2"/>
      <c r="G3988" s="2"/>
      <c r="H3988" s="2"/>
      <c r="I3988" s="2"/>
    </row>
    <row r="3989">
      <c r="A3989" s="2" t="s">
        <v>4044</v>
      </c>
      <c r="B3989" s="2" t="s">
        <v>4036</v>
      </c>
      <c r="C3989" s="1"/>
      <c r="D3989" s="2"/>
      <c r="E3989" s="2"/>
      <c r="F3989" s="2"/>
      <c r="G3989" s="2"/>
      <c r="H3989" s="2"/>
      <c r="I3989" s="2"/>
    </row>
    <row r="3990">
      <c r="A3990" s="2" t="s">
        <v>4045</v>
      </c>
      <c r="B3990" s="2" t="s">
        <v>4036</v>
      </c>
      <c r="C3990" s="1"/>
      <c r="D3990" s="2"/>
      <c r="E3990" s="2"/>
      <c r="F3990" s="2"/>
      <c r="G3990" s="2"/>
      <c r="H3990" s="2"/>
      <c r="I3990" s="2"/>
    </row>
    <row r="3991">
      <c r="A3991" s="2" t="s">
        <v>4046</v>
      </c>
      <c r="B3991" s="2" t="s">
        <v>4036</v>
      </c>
      <c r="C3991" s="1"/>
      <c r="D3991" s="2"/>
      <c r="E3991" s="2"/>
      <c r="F3991" s="2"/>
      <c r="G3991" s="2"/>
      <c r="H3991" s="2"/>
      <c r="I3991" s="2"/>
    </row>
    <row r="3992">
      <c r="A3992" s="2" t="s">
        <v>4047</v>
      </c>
      <c r="B3992" s="2" t="s">
        <v>4036</v>
      </c>
      <c r="C3992" s="2"/>
      <c r="D3992" s="2" t="s">
        <v>37</v>
      </c>
      <c r="E3992" s="2">
        <v>10.0</v>
      </c>
      <c r="F3992" s="2" t="s">
        <v>12</v>
      </c>
      <c r="G3992" s="2"/>
      <c r="H3992" s="2"/>
      <c r="I3992" s="2"/>
    </row>
    <row r="3993">
      <c r="A3993" s="2" t="s">
        <v>4048</v>
      </c>
      <c r="B3993" s="2" t="s">
        <v>4036</v>
      </c>
      <c r="C3993" s="1"/>
      <c r="D3993" s="2"/>
      <c r="E3993" s="2"/>
      <c r="F3993" s="2"/>
      <c r="G3993" s="2"/>
      <c r="H3993" s="2"/>
      <c r="I3993" s="2"/>
    </row>
    <row r="3994">
      <c r="A3994" s="2" t="s">
        <v>4049</v>
      </c>
      <c r="B3994" s="2" t="s">
        <v>4036</v>
      </c>
      <c r="C3994" s="1"/>
      <c r="D3994" s="2"/>
      <c r="E3994" s="2"/>
      <c r="F3994" s="2"/>
      <c r="G3994" s="2"/>
      <c r="H3994" s="2"/>
      <c r="I3994" s="2"/>
    </row>
    <row r="3995">
      <c r="A3995" s="2" t="s">
        <v>4050</v>
      </c>
      <c r="B3995" s="2" t="s">
        <v>4036</v>
      </c>
      <c r="C3995" s="1"/>
      <c r="D3995" s="2"/>
      <c r="E3995" s="2"/>
      <c r="F3995" s="2"/>
      <c r="G3995" s="2"/>
      <c r="H3995" s="2"/>
      <c r="I3995" s="2"/>
    </row>
    <row r="3996">
      <c r="A3996" s="2" t="s">
        <v>4051</v>
      </c>
      <c r="B3996" s="2" t="s">
        <v>4036</v>
      </c>
      <c r="C3996" s="1"/>
      <c r="D3996" s="2"/>
      <c r="E3996" s="2"/>
      <c r="F3996" s="2"/>
      <c r="G3996" s="2"/>
      <c r="H3996" s="2"/>
      <c r="I3996" s="2"/>
    </row>
    <row r="3997">
      <c r="A3997" s="2" t="s">
        <v>4052</v>
      </c>
      <c r="B3997" s="2" t="s">
        <v>4036</v>
      </c>
      <c r="C3997" s="1"/>
      <c r="D3997" s="2"/>
      <c r="E3997" s="2"/>
      <c r="F3997" s="2"/>
      <c r="G3997" s="2"/>
      <c r="H3997" s="2"/>
      <c r="I3997" s="2"/>
    </row>
    <row r="3998">
      <c r="A3998" s="2" t="s">
        <v>4053</v>
      </c>
      <c r="B3998" s="2" t="s">
        <v>4036</v>
      </c>
      <c r="C3998" s="1"/>
      <c r="D3998" s="2"/>
      <c r="E3998" s="2"/>
      <c r="F3998" s="2"/>
      <c r="G3998" s="2"/>
      <c r="H3998" s="2"/>
      <c r="I3998" s="2"/>
    </row>
    <row r="3999">
      <c r="A3999" s="2" t="s">
        <v>4054</v>
      </c>
      <c r="B3999" s="2" t="s">
        <v>4036</v>
      </c>
      <c r="C3999" s="2"/>
      <c r="D3999" s="2" t="s">
        <v>37</v>
      </c>
      <c r="E3999" s="2">
        <v>10.0</v>
      </c>
      <c r="F3999" s="2" t="s">
        <v>12</v>
      </c>
      <c r="G3999" s="2"/>
      <c r="H3999" s="2"/>
      <c r="I3999" s="2"/>
    </row>
    <row r="4000">
      <c r="A4000" s="2" t="s">
        <v>4055</v>
      </c>
      <c r="B4000" s="2" t="s">
        <v>4036</v>
      </c>
      <c r="C4000" s="1"/>
      <c r="D4000" s="2"/>
      <c r="E4000" s="2"/>
      <c r="F4000" s="2"/>
      <c r="G4000" s="2"/>
      <c r="H4000" s="2"/>
      <c r="I4000" s="2"/>
    </row>
    <row r="4001">
      <c r="A4001" s="2" t="s">
        <v>4056</v>
      </c>
      <c r="B4001" s="2" t="s">
        <v>4036</v>
      </c>
      <c r="C4001" s="1"/>
      <c r="D4001" s="2"/>
      <c r="E4001" s="2"/>
      <c r="F4001" s="2"/>
      <c r="G4001" s="2"/>
      <c r="H4001" s="2"/>
      <c r="I4001" s="2"/>
    </row>
    <row r="4002">
      <c r="A4002" s="2" t="s">
        <v>4057</v>
      </c>
      <c r="B4002" s="2" t="s">
        <v>4036</v>
      </c>
      <c r="C4002" s="1"/>
      <c r="D4002" s="2"/>
      <c r="E4002" s="2"/>
      <c r="F4002" s="2"/>
      <c r="G4002" s="2"/>
      <c r="H4002" s="2"/>
      <c r="I4002" s="2"/>
    </row>
    <row r="4003">
      <c r="A4003" s="2" t="s">
        <v>4058</v>
      </c>
      <c r="B4003" s="2" t="s">
        <v>4036</v>
      </c>
      <c r="C4003" s="1"/>
      <c r="D4003" s="2"/>
      <c r="E4003" s="2"/>
      <c r="F4003" s="2"/>
      <c r="G4003" s="2"/>
      <c r="H4003" s="2"/>
      <c r="I4003" s="2"/>
    </row>
    <row r="4004">
      <c r="A4004" s="2" t="s">
        <v>4059</v>
      </c>
      <c r="B4004" s="2" t="s">
        <v>4060</v>
      </c>
      <c r="C4004" s="1"/>
      <c r="D4004" s="2"/>
      <c r="E4004" s="2"/>
      <c r="F4004" s="2"/>
      <c r="G4004" s="2"/>
      <c r="H4004" s="2"/>
      <c r="I4004" s="2"/>
    </row>
    <row r="4005">
      <c r="A4005" s="1" t="s">
        <v>4061</v>
      </c>
      <c r="B4005" s="2" t="s">
        <v>4060</v>
      </c>
      <c r="C4005" s="2"/>
      <c r="D4005" s="2" t="s">
        <v>11</v>
      </c>
      <c r="E4005" s="2">
        <v>15.0</v>
      </c>
      <c r="F4005" s="2" t="s">
        <v>12</v>
      </c>
      <c r="G4005" s="2"/>
      <c r="H4005" s="2"/>
      <c r="I4005" s="2"/>
    </row>
    <row r="4006">
      <c r="A4006" s="2" t="s">
        <v>4062</v>
      </c>
      <c r="B4006" s="2" t="s">
        <v>4060</v>
      </c>
      <c r="C4006" s="1"/>
      <c r="D4006" s="2"/>
      <c r="E4006" s="2"/>
      <c r="F4006" s="2"/>
      <c r="G4006" s="2"/>
      <c r="H4006" s="2"/>
      <c r="I4006" s="2"/>
    </row>
    <row r="4007">
      <c r="A4007" s="2" t="s">
        <v>4063</v>
      </c>
      <c r="B4007" s="2" t="s">
        <v>4060</v>
      </c>
      <c r="C4007" s="2"/>
      <c r="D4007" s="2" t="s">
        <v>11</v>
      </c>
      <c r="E4007" s="2">
        <v>10.0</v>
      </c>
      <c r="F4007" s="2" t="s">
        <v>12</v>
      </c>
      <c r="G4007" s="2"/>
      <c r="H4007" s="2"/>
      <c r="I4007" s="2"/>
    </row>
    <row r="4008">
      <c r="A4008" s="2" t="s">
        <v>4064</v>
      </c>
      <c r="B4008" s="2" t="s">
        <v>4060</v>
      </c>
      <c r="C4008" s="1"/>
      <c r="D4008" s="2"/>
      <c r="E4008" s="2"/>
      <c r="F4008" s="2"/>
      <c r="G4008" s="2"/>
      <c r="H4008" s="2"/>
      <c r="I4008" s="2"/>
    </row>
    <row r="4009">
      <c r="A4009" s="2" t="s">
        <v>4065</v>
      </c>
      <c r="B4009" s="2" t="s">
        <v>4060</v>
      </c>
      <c r="C4009" s="1"/>
      <c r="D4009" s="2"/>
      <c r="E4009" s="2"/>
      <c r="F4009" s="2"/>
      <c r="G4009" s="2"/>
      <c r="H4009" s="2"/>
      <c r="I4009" s="2"/>
    </row>
    <row r="4010">
      <c r="A4010" s="2" t="s">
        <v>4066</v>
      </c>
      <c r="B4010" s="2" t="s">
        <v>4060</v>
      </c>
      <c r="C4010" s="1"/>
      <c r="D4010" s="2"/>
      <c r="E4010" s="2"/>
      <c r="F4010" s="2"/>
      <c r="G4010" s="2"/>
      <c r="H4010" s="2"/>
      <c r="I4010" s="2"/>
    </row>
    <row r="4011">
      <c r="A4011" s="2" t="s">
        <v>4067</v>
      </c>
      <c r="B4011" s="2" t="s">
        <v>4060</v>
      </c>
      <c r="C4011" s="1"/>
      <c r="D4011" s="2"/>
      <c r="E4011" s="2"/>
      <c r="F4011" s="2"/>
      <c r="G4011" s="2"/>
      <c r="H4011" s="2"/>
      <c r="I4011" s="2"/>
    </row>
    <row r="4012">
      <c r="A4012" s="2" t="s">
        <v>4068</v>
      </c>
      <c r="B4012" s="2" t="s">
        <v>4060</v>
      </c>
      <c r="C4012" s="1"/>
      <c r="D4012" s="2"/>
      <c r="E4012" s="2"/>
      <c r="F4012" s="2"/>
      <c r="G4012" s="2"/>
      <c r="H4012" s="2"/>
      <c r="I4012" s="2"/>
    </row>
    <row r="4013">
      <c r="A4013" s="2" t="s">
        <v>4069</v>
      </c>
      <c r="B4013" s="2" t="s">
        <v>4060</v>
      </c>
      <c r="C4013" s="1"/>
      <c r="D4013" s="2"/>
      <c r="E4013" s="2"/>
      <c r="F4013" s="2"/>
      <c r="G4013" s="2"/>
      <c r="H4013" s="2"/>
      <c r="I4013" s="2"/>
    </row>
    <row r="4014">
      <c r="A4014" s="2" t="s">
        <v>4070</v>
      </c>
      <c r="B4014" s="2" t="s">
        <v>4060</v>
      </c>
      <c r="C4014" s="1"/>
      <c r="D4014" s="2"/>
      <c r="E4014" s="2"/>
      <c r="F4014" s="2"/>
      <c r="G4014" s="2"/>
      <c r="H4014" s="2"/>
      <c r="I4014" s="2"/>
    </row>
    <row r="4015">
      <c r="A4015" s="2" t="s">
        <v>4071</v>
      </c>
      <c r="B4015" s="2" t="s">
        <v>4060</v>
      </c>
      <c r="C4015" s="1"/>
      <c r="D4015" s="2"/>
      <c r="E4015" s="2"/>
      <c r="F4015" s="2"/>
      <c r="G4015" s="2"/>
      <c r="H4015" s="2"/>
      <c r="I4015" s="2"/>
    </row>
    <row r="4016">
      <c r="A4016" s="2" t="s">
        <v>4072</v>
      </c>
      <c r="B4016" s="2" t="s">
        <v>4060</v>
      </c>
      <c r="C4016" s="1"/>
      <c r="D4016" s="2"/>
      <c r="E4016" s="2"/>
      <c r="F4016" s="2"/>
      <c r="G4016" s="2"/>
      <c r="H4016" s="2"/>
      <c r="I4016" s="2"/>
    </row>
    <row r="4017">
      <c r="A4017" s="2" t="s">
        <v>4073</v>
      </c>
      <c r="B4017" s="2" t="s">
        <v>4060</v>
      </c>
      <c r="C4017" s="1"/>
      <c r="D4017" s="2"/>
      <c r="E4017" s="2"/>
      <c r="F4017" s="2"/>
      <c r="G4017" s="2"/>
      <c r="H4017" s="2"/>
      <c r="I4017" s="2"/>
    </row>
    <row r="4018">
      <c r="A4018" s="2" t="s">
        <v>4074</v>
      </c>
      <c r="B4018" s="2" t="s">
        <v>4060</v>
      </c>
      <c r="C4018" s="1"/>
      <c r="D4018" s="2"/>
      <c r="E4018" s="2"/>
      <c r="F4018" s="2"/>
      <c r="G4018" s="2"/>
      <c r="H4018" s="2"/>
      <c r="I4018" s="2"/>
    </row>
    <row r="4019">
      <c r="A4019" s="2" t="s">
        <v>4075</v>
      </c>
      <c r="B4019" s="2" t="s">
        <v>4060</v>
      </c>
      <c r="C4019" s="1"/>
      <c r="D4019" s="2"/>
      <c r="E4019" s="2"/>
      <c r="F4019" s="2"/>
      <c r="G4019" s="2"/>
      <c r="H4019" s="2"/>
      <c r="I4019" s="2"/>
    </row>
    <row r="4020">
      <c r="A4020" s="2" t="s">
        <v>4076</v>
      </c>
      <c r="B4020" s="2" t="s">
        <v>4060</v>
      </c>
      <c r="C4020" s="1"/>
      <c r="D4020" s="2"/>
      <c r="E4020" s="2"/>
      <c r="F4020" s="2"/>
      <c r="G4020" s="2"/>
      <c r="H4020" s="2"/>
      <c r="I4020" s="2"/>
    </row>
    <row r="4021">
      <c r="A4021" s="2" t="s">
        <v>4077</v>
      </c>
      <c r="B4021" s="2" t="s">
        <v>4060</v>
      </c>
      <c r="C4021" s="1"/>
      <c r="D4021" s="2"/>
      <c r="E4021" s="2"/>
      <c r="F4021" s="2"/>
      <c r="G4021" s="2"/>
      <c r="H4021" s="2"/>
      <c r="I4021" s="2"/>
    </row>
    <row r="4022">
      <c r="A4022" s="2" t="s">
        <v>4078</v>
      </c>
      <c r="B4022" s="2" t="s">
        <v>4060</v>
      </c>
      <c r="C4022" s="1"/>
      <c r="D4022" s="2"/>
      <c r="E4022" s="2"/>
      <c r="F4022" s="2"/>
      <c r="G4022" s="2"/>
      <c r="H4022" s="2"/>
      <c r="I4022" s="2"/>
    </row>
    <row r="4023">
      <c r="A4023" s="2" t="s">
        <v>4079</v>
      </c>
      <c r="B4023" s="2" t="s">
        <v>4060</v>
      </c>
      <c r="C4023" s="1"/>
      <c r="D4023" s="2"/>
      <c r="E4023" s="2"/>
      <c r="F4023" s="2"/>
      <c r="G4023" s="2"/>
      <c r="H4023" s="2"/>
      <c r="I4023" s="2"/>
    </row>
    <row r="4024">
      <c r="A4024" s="2" t="s">
        <v>4080</v>
      </c>
      <c r="B4024" s="2" t="s">
        <v>4060</v>
      </c>
      <c r="C4024" s="1"/>
      <c r="D4024" s="2"/>
      <c r="E4024" s="2"/>
      <c r="F4024" s="2"/>
      <c r="G4024" s="2"/>
      <c r="H4024" s="2"/>
      <c r="I4024" s="2"/>
    </row>
    <row r="4025">
      <c r="A4025" s="2" t="s">
        <v>4081</v>
      </c>
      <c r="B4025" s="2" t="s">
        <v>4060</v>
      </c>
      <c r="C4025" s="1"/>
      <c r="D4025" s="2"/>
      <c r="E4025" s="2"/>
      <c r="F4025" s="2"/>
      <c r="G4025" s="2"/>
      <c r="H4025" s="2"/>
      <c r="I4025" s="2"/>
    </row>
    <row r="4026">
      <c r="A4026" s="2" t="s">
        <v>4082</v>
      </c>
      <c r="B4026" s="2" t="s">
        <v>4060</v>
      </c>
      <c r="C4026" s="1"/>
      <c r="D4026" s="2"/>
      <c r="E4026" s="2"/>
      <c r="F4026" s="2"/>
      <c r="G4026" s="2"/>
      <c r="H4026" s="2"/>
      <c r="I4026" s="2"/>
    </row>
    <row r="4027">
      <c r="A4027" s="2" t="s">
        <v>4083</v>
      </c>
      <c r="B4027" s="2" t="s">
        <v>4060</v>
      </c>
      <c r="C4027" s="1"/>
      <c r="D4027" s="2"/>
      <c r="E4027" s="2"/>
      <c r="F4027" s="2"/>
      <c r="G4027" s="2"/>
      <c r="H4027" s="2"/>
      <c r="I4027" s="2"/>
    </row>
    <row r="4028">
      <c r="A4028" s="2" t="s">
        <v>4084</v>
      </c>
      <c r="B4028" s="2" t="s">
        <v>4060</v>
      </c>
      <c r="C4028" s="1"/>
      <c r="D4028" s="2"/>
      <c r="E4028" s="2"/>
      <c r="F4028" s="2"/>
      <c r="G4028" s="2"/>
      <c r="H4028" s="2"/>
      <c r="I4028" s="2"/>
    </row>
    <row r="4029">
      <c r="A4029" s="1" t="s">
        <v>4085</v>
      </c>
      <c r="B4029" s="2" t="s">
        <v>4086</v>
      </c>
      <c r="C4029" s="2"/>
      <c r="D4029" s="2" t="s">
        <v>11</v>
      </c>
      <c r="E4029" s="2">
        <v>10.0</v>
      </c>
      <c r="F4029" s="2" t="s">
        <v>12</v>
      </c>
      <c r="G4029" s="2"/>
      <c r="H4029" s="2"/>
      <c r="I4029" s="2"/>
    </row>
    <row r="4030">
      <c r="A4030" s="1" t="s">
        <v>4087</v>
      </c>
      <c r="B4030" s="2" t="s">
        <v>4086</v>
      </c>
      <c r="C4030" s="2"/>
      <c r="D4030" s="2" t="s">
        <v>11</v>
      </c>
      <c r="E4030" s="2">
        <v>10.0</v>
      </c>
      <c r="F4030" s="2" t="s">
        <v>12</v>
      </c>
      <c r="G4030" s="2"/>
      <c r="H4030" s="2"/>
      <c r="I4030" s="2"/>
    </row>
    <row r="4031">
      <c r="A4031" s="1" t="s">
        <v>4088</v>
      </c>
      <c r="B4031" s="2" t="s">
        <v>4086</v>
      </c>
      <c r="C4031" s="2"/>
      <c r="D4031" s="2" t="s">
        <v>11</v>
      </c>
      <c r="E4031" s="2">
        <v>15.0</v>
      </c>
      <c r="F4031" s="2" t="s">
        <v>12</v>
      </c>
      <c r="G4031" s="2"/>
      <c r="H4031" s="2"/>
      <c r="I4031" s="2"/>
    </row>
    <row r="4032">
      <c r="A4032" s="1" t="s">
        <v>4089</v>
      </c>
      <c r="B4032" s="2" t="s">
        <v>4086</v>
      </c>
      <c r="C4032" s="2"/>
      <c r="D4032" s="2" t="s">
        <v>37</v>
      </c>
      <c r="E4032" s="2">
        <v>10.0</v>
      </c>
      <c r="F4032" s="2" t="s">
        <v>12</v>
      </c>
      <c r="G4032" s="2"/>
      <c r="H4032" s="2"/>
      <c r="I4032" s="2"/>
    </row>
    <row r="4033">
      <c r="A4033" s="1" t="s">
        <v>4090</v>
      </c>
      <c r="B4033" s="2" t="s">
        <v>4086</v>
      </c>
      <c r="C4033" s="2"/>
      <c r="D4033" s="2" t="s">
        <v>37</v>
      </c>
      <c r="E4033" s="2">
        <v>10.0</v>
      </c>
      <c r="F4033" s="2" t="s">
        <v>12</v>
      </c>
      <c r="G4033" s="2"/>
      <c r="H4033" s="2"/>
      <c r="I4033" s="2"/>
    </row>
    <row r="4034">
      <c r="A4034" s="1" t="s">
        <v>4091</v>
      </c>
      <c r="B4034" s="2" t="s">
        <v>4086</v>
      </c>
      <c r="C4034" s="2"/>
      <c r="D4034" s="2" t="s">
        <v>11</v>
      </c>
      <c r="E4034" s="2">
        <v>10.0</v>
      </c>
      <c r="F4034" s="2" t="s">
        <v>12</v>
      </c>
      <c r="G4034" s="2"/>
      <c r="H4034" s="2"/>
      <c r="I4034" s="2"/>
    </row>
    <row r="4035">
      <c r="A4035" s="1" t="s">
        <v>4092</v>
      </c>
      <c r="B4035" s="2" t="s">
        <v>4086</v>
      </c>
      <c r="C4035" s="2"/>
      <c r="D4035" s="2" t="s">
        <v>11</v>
      </c>
      <c r="E4035" s="2">
        <v>10.0</v>
      </c>
      <c r="F4035" s="2" t="s">
        <v>12</v>
      </c>
      <c r="G4035" s="2"/>
      <c r="H4035" s="2"/>
      <c r="I4035" s="2"/>
    </row>
    <row r="4036">
      <c r="A4036" s="1" t="s">
        <v>4093</v>
      </c>
      <c r="B4036" s="2" t="s">
        <v>4086</v>
      </c>
      <c r="C4036" s="2"/>
      <c r="D4036" s="2" t="s">
        <v>11</v>
      </c>
      <c r="E4036" s="2">
        <v>10.0</v>
      </c>
      <c r="F4036" s="2" t="s">
        <v>12</v>
      </c>
      <c r="G4036" s="2"/>
      <c r="H4036" s="2"/>
      <c r="I4036" s="2"/>
    </row>
    <row r="4037">
      <c r="A4037" s="1" t="s">
        <v>4094</v>
      </c>
      <c r="B4037" s="2" t="s">
        <v>4086</v>
      </c>
      <c r="C4037" s="2"/>
      <c r="D4037" s="2" t="s">
        <v>11</v>
      </c>
      <c r="E4037" s="2">
        <v>10.0</v>
      </c>
      <c r="F4037" s="2" t="s">
        <v>12</v>
      </c>
      <c r="G4037" s="2"/>
      <c r="H4037" s="2"/>
      <c r="I4037" s="2"/>
    </row>
    <row r="4038">
      <c r="A4038" s="1" t="s">
        <v>4095</v>
      </c>
      <c r="B4038" s="2" t="s">
        <v>4086</v>
      </c>
      <c r="C4038" s="2"/>
      <c r="D4038" s="2" t="s">
        <v>11</v>
      </c>
      <c r="E4038" s="2">
        <v>10.0</v>
      </c>
      <c r="F4038" s="2" t="s">
        <v>12</v>
      </c>
      <c r="G4038" s="2"/>
      <c r="H4038" s="2"/>
      <c r="I4038" s="2"/>
    </row>
    <row r="4039">
      <c r="A4039" s="1" t="s">
        <v>4096</v>
      </c>
      <c r="B4039" s="2" t="s">
        <v>4086</v>
      </c>
      <c r="C4039" s="2"/>
      <c r="D4039" s="2" t="s">
        <v>11</v>
      </c>
      <c r="E4039" s="2">
        <v>10.0</v>
      </c>
      <c r="F4039" s="2" t="s">
        <v>12</v>
      </c>
      <c r="G4039" s="2"/>
      <c r="H4039" s="2"/>
      <c r="I4039" s="2"/>
    </row>
    <row r="4040">
      <c r="A4040" s="1" t="s">
        <v>4097</v>
      </c>
      <c r="B4040" s="2" t="s">
        <v>4086</v>
      </c>
      <c r="C4040" s="2"/>
      <c r="D4040" s="2" t="s">
        <v>11</v>
      </c>
      <c r="E4040" s="2">
        <v>10.0</v>
      </c>
      <c r="F4040" s="2" t="s">
        <v>12</v>
      </c>
      <c r="G4040" s="2"/>
      <c r="H4040" s="2"/>
      <c r="I4040" s="2"/>
    </row>
    <row r="4041">
      <c r="A4041" s="1" t="s">
        <v>4098</v>
      </c>
      <c r="B4041" s="2" t="s">
        <v>4086</v>
      </c>
      <c r="C4041" s="2"/>
      <c r="D4041" s="2" t="s">
        <v>11</v>
      </c>
      <c r="E4041" s="2">
        <v>10.0</v>
      </c>
      <c r="F4041" s="2" t="s">
        <v>12</v>
      </c>
      <c r="G4041" s="2"/>
      <c r="H4041" s="2"/>
      <c r="I4041" s="2"/>
    </row>
    <row r="4042">
      <c r="A4042" s="1" t="s">
        <v>4099</v>
      </c>
      <c r="B4042" s="2" t="s">
        <v>4086</v>
      </c>
      <c r="C4042" s="2"/>
      <c r="D4042" s="2" t="s">
        <v>11</v>
      </c>
      <c r="E4042" s="2">
        <v>10.0</v>
      </c>
      <c r="F4042" s="2" t="s">
        <v>12</v>
      </c>
      <c r="G4042" s="2"/>
      <c r="H4042" s="2"/>
      <c r="I4042" s="2"/>
    </row>
    <row r="4043">
      <c r="A4043" s="1" t="s">
        <v>4100</v>
      </c>
      <c r="B4043" s="2" t="s">
        <v>4086</v>
      </c>
      <c r="C4043" s="2"/>
      <c r="D4043" s="2" t="s">
        <v>37</v>
      </c>
      <c r="E4043" s="2">
        <v>10.0</v>
      </c>
      <c r="F4043" s="2" t="s">
        <v>12</v>
      </c>
      <c r="G4043" s="2"/>
      <c r="H4043" s="2"/>
      <c r="I4043" s="2"/>
    </row>
    <row r="4044">
      <c r="A4044" s="1" t="s">
        <v>4101</v>
      </c>
      <c r="B4044" s="2" t="s">
        <v>4086</v>
      </c>
      <c r="C4044" s="2"/>
      <c r="D4044" s="2" t="s">
        <v>37</v>
      </c>
      <c r="E4044" s="2">
        <v>10.0</v>
      </c>
      <c r="F4044" s="2" t="s">
        <v>12</v>
      </c>
      <c r="G4044" s="2"/>
      <c r="H4044" s="2"/>
      <c r="I4044" s="2"/>
    </row>
    <row r="4045">
      <c r="A4045" s="1" t="s">
        <v>4102</v>
      </c>
      <c r="B4045" s="2" t="s">
        <v>4086</v>
      </c>
      <c r="C4045" s="2"/>
      <c r="D4045" s="2" t="s">
        <v>11</v>
      </c>
      <c r="E4045" s="2">
        <v>10.0</v>
      </c>
      <c r="F4045" s="2" t="s">
        <v>12</v>
      </c>
      <c r="G4045" s="2"/>
      <c r="H4045" s="2"/>
      <c r="I4045" s="2"/>
    </row>
    <row r="4046">
      <c r="A4046" s="1" t="s">
        <v>4103</v>
      </c>
      <c r="B4046" s="2" t="s">
        <v>4086</v>
      </c>
      <c r="C4046" s="2"/>
      <c r="D4046" s="2" t="s">
        <v>11</v>
      </c>
      <c r="E4046" s="2">
        <v>10.0</v>
      </c>
      <c r="F4046" s="2" t="s">
        <v>12</v>
      </c>
      <c r="G4046" s="2"/>
      <c r="H4046" s="2"/>
      <c r="I4046" s="2"/>
    </row>
    <row r="4047">
      <c r="A4047" s="1" t="s">
        <v>4104</v>
      </c>
      <c r="B4047" s="2" t="s">
        <v>4086</v>
      </c>
      <c r="C4047" s="2"/>
      <c r="D4047" s="2" t="s">
        <v>11</v>
      </c>
      <c r="E4047" s="2">
        <v>10.0</v>
      </c>
      <c r="F4047" s="2" t="s">
        <v>12</v>
      </c>
      <c r="G4047" s="2"/>
      <c r="H4047" s="2"/>
      <c r="I4047" s="2"/>
    </row>
    <row r="4048">
      <c r="A4048" s="1" t="s">
        <v>4105</v>
      </c>
      <c r="B4048" s="2" t="s">
        <v>4086</v>
      </c>
      <c r="C4048" s="2"/>
      <c r="D4048" s="2" t="s">
        <v>11</v>
      </c>
      <c r="E4048" s="2">
        <v>10.0</v>
      </c>
      <c r="F4048" s="2" t="s">
        <v>12</v>
      </c>
      <c r="G4048" s="2"/>
      <c r="H4048" s="2"/>
      <c r="I4048" s="2"/>
    </row>
    <row r="4049">
      <c r="A4049" s="1" t="s">
        <v>4106</v>
      </c>
      <c r="B4049" s="2" t="s">
        <v>4086</v>
      </c>
      <c r="C4049" s="2"/>
      <c r="D4049" s="2" t="s">
        <v>11</v>
      </c>
      <c r="E4049" s="2">
        <v>10.0</v>
      </c>
      <c r="F4049" s="2" t="s">
        <v>12</v>
      </c>
      <c r="G4049" s="2"/>
      <c r="H4049" s="2"/>
      <c r="I4049" s="2"/>
    </row>
    <row r="4050">
      <c r="A4050" s="1" t="s">
        <v>4107</v>
      </c>
      <c r="B4050" s="2" t="s">
        <v>4086</v>
      </c>
      <c r="C4050" s="2"/>
      <c r="D4050" s="2" t="s">
        <v>11</v>
      </c>
      <c r="E4050" s="2">
        <v>10.0</v>
      </c>
      <c r="F4050" s="2" t="s">
        <v>12</v>
      </c>
      <c r="G4050" s="2"/>
      <c r="H4050" s="2"/>
      <c r="I4050" s="2"/>
    </row>
    <row r="4051">
      <c r="A4051" s="1" t="s">
        <v>4108</v>
      </c>
      <c r="B4051" s="2" t="s">
        <v>4086</v>
      </c>
      <c r="C4051" s="2"/>
      <c r="D4051" s="2" t="s">
        <v>11</v>
      </c>
      <c r="E4051" s="2">
        <v>10.0</v>
      </c>
      <c r="F4051" s="2" t="s">
        <v>12</v>
      </c>
      <c r="G4051" s="2"/>
      <c r="H4051" s="2"/>
      <c r="I4051" s="2"/>
    </row>
    <row r="4052">
      <c r="A4052" s="1" t="s">
        <v>4109</v>
      </c>
      <c r="B4052" s="2" t="s">
        <v>4086</v>
      </c>
      <c r="C4052" s="2"/>
      <c r="D4052" s="2" t="s">
        <v>37</v>
      </c>
      <c r="E4052" s="2">
        <v>10.0</v>
      </c>
      <c r="F4052" s="2" t="s">
        <v>12</v>
      </c>
      <c r="G4052" s="2"/>
      <c r="H4052" s="2"/>
      <c r="I4052" s="2"/>
    </row>
    <row r="4053">
      <c r="A4053" s="1" t="s">
        <v>4110</v>
      </c>
      <c r="B4053" s="2" t="s">
        <v>4086</v>
      </c>
      <c r="C4053" s="2"/>
      <c r="D4053" s="2" t="s">
        <v>37</v>
      </c>
      <c r="E4053" s="2">
        <v>10.0</v>
      </c>
      <c r="F4053" s="2" t="s">
        <v>12</v>
      </c>
      <c r="G4053" s="2"/>
      <c r="H4053" s="2"/>
      <c r="I4053" s="2"/>
    </row>
    <row r="4054">
      <c r="A4054" s="1" t="s">
        <v>4111</v>
      </c>
      <c r="B4054" s="2" t="s">
        <v>4086</v>
      </c>
      <c r="C4054" s="2"/>
      <c r="D4054" s="2" t="s">
        <v>37</v>
      </c>
      <c r="E4054" s="2">
        <v>10.0</v>
      </c>
      <c r="F4054" s="2" t="s">
        <v>12</v>
      </c>
      <c r="G4054" s="2"/>
      <c r="H4054" s="2"/>
      <c r="I4054" s="2"/>
    </row>
    <row r="4055">
      <c r="A4055" s="1" t="s">
        <v>4112</v>
      </c>
      <c r="B4055" s="2" t="s">
        <v>4086</v>
      </c>
      <c r="C4055" s="2"/>
      <c r="D4055" s="2" t="s">
        <v>37</v>
      </c>
      <c r="E4055" s="2">
        <v>10.0</v>
      </c>
      <c r="F4055" s="2" t="s">
        <v>12</v>
      </c>
      <c r="G4055" s="2"/>
      <c r="H4055" s="2"/>
      <c r="I4055" s="2"/>
    </row>
    <row r="4056">
      <c r="A4056" s="1" t="s">
        <v>4113</v>
      </c>
      <c r="B4056" s="2" t="s">
        <v>4086</v>
      </c>
      <c r="C4056" s="2"/>
      <c r="D4056" s="2" t="s">
        <v>11</v>
      </c>
      <c r="E4056" s="2">
        <v>10.0</v>
      </c>
      <c r="F4056" s="2" t="s">
        <v>12</v>
      </c>
      <c r="G4056" s="2"/>
      <c r="H4056" s="2"/>
      <c r="I4056" s="2"/>
    </row>
    <row r="4057">
      <c r="A4057" s="1" t="s">
        <v>4114</v>
      </c>
      <c r="B4057" s="2" t="s">
        <v>4086</v>
      </c>
      <c r="C4057" s="2"/>
      <c r="D4057" s="2" t="s">
        <v>11</v>
      </c>
      <c r="E4057" s="2">
        <v>10.0</v>
      </c>
      <c r="F4057" s="2" t="s">
        <v>12</v>
      </c>
      <c r="G4057" s="2"/>
      <c r="H4057" s="2"/>
      <c r="I4057" s="2"/>
    </row>
    <row r="4058">
      <c r="A4058" s="1" t="s">
        <v>4115</v>
      </c>
      <c r="B4058" s="2" t="s">
        <v>4086</v>
      </c>
      <c r="C4058" s="2"/>
      <c r="D4058" s="2" t="s">
        <v>11</v>
      </c>
      <c r="E4058" s="2">
        <v>10.0</v>
      </c>
      <c r="F4058" s="2" t="s">
        <v>12</v>
      </c>
      <c r="G4058" s="2"/>
      <c r="H4058" s="2"/>
      <c r="I4058" s="2"/>
    </row>
    <row r="4059">
      <c r="A4059" s="1" t="s">
        <v>4116</v>
      </c>
      <c r="B4059" s="2" t="s">
        <v>4086</v>
      </c>
      <c r="C4059" s="2"/>
      <c r="D4059" s="2" t="s">
        <v>11</v>
      </c>
      <c r="E4059" s="2">
        <v>10.0</v>
      </c>
      <c r="F4059" s="2" t="s">
        <v>12</v>
      </c>
      <c r="G4059" s="2"/>
      <c r="H4059" s="2"/>
      <c r="I4059" s="2"/>
    </row>
    <row r="4060">
      <c r="A4060" s="1" t="s">
        <v>4117</v>
      </c>
      <c r="B4060" s="2" t="s">
        <v>4086</v>
      </c>
      <c r="C4060" s="2"/>
      <c r="D4060" s="2" t="s">
        <v>37</v>
      </c>
      <c r="E4060" s="2">
        <v>10.0</v>
      </c>
      <c r="F4060" s="2" t="s">
        <v>12</v>
      </c>
      <c r="G4060" s="2"/>
      <c r="H4060" s="2"/>
      <c r="I4060" s="2"/>
    </row>
    <row r="4061">
      <c r="A4061" s="2" t="s">
        <v>4118</v>
      </c>
      <c r="B4061" s="2" t="s">
        <v>4086</v>
      </c>
      <c r="C4061" s="2"/>
      <c r="D4061" s="2" t="s">
        <v>37</v>
      </c>
      <c r="E4061" s="2">
        <v>10.0</v>
      </c>
      <c r="F4061" s="2" t="s">
        <v>12</v>
      </c>
      <c r="G4061" s="2"/>
      <c r="H4061" s="2"/>
      <c r="I4061" s="2"/>
    </row>
    <row r="4062">
      <c r="A4062" s="2" t="s">
        <v>4119</v>
      </c>
      <c r="B4062" s="2" t="s">
        <v>4086</v>
      </c>
      <c r="C4062" s="2"/>
      <c r="D4062" s="2" t="s">
        <v>11</v>
      </c>
      <c r="E4062" s="2">
        <v>10.0</v>
      </c>
      <c r="F4062" s="2" t="s">
        <v>12</v>
      </c>
      <c r="G4062" s="2"/>
      <c r="H4062" s="2"/>
      <c r="I4062" s="2"/>
    </row>
    <row r="4063">
      <c r="A4063" s="1" t="s">
        <v>4120</v>
      </c>
      <c r="B4063" s="2" t="s">
        <v>4086</v>
      </c>
      <c r="C4063" s="2"/>
      <c r="D4063" s="2" t="s">
        <v>11</v>
      </c>
      <c r="E4063" s="2">
        <v>10.0</v>
      </c>
      <c r="F4063" s="2" t="s">
        <v>12</v>
      </c>
      <c r="G4063" s="2"/>
      <c r="H4063" s="2"/>
      <c r="I4063" s="2"/>
    </row>
    <row r="4064">
      <c r="A4064" s="1" t="s">
        <v>4121</v>
      </c>
      <c r="B4064" s="2" t="s">
        <v>4086</v>
      </c>
      <c r="C4064" s="2"/>
      <c r="D4064" s="2" t="s">
        <v>11</v>
      </c>
      <c r="E4064" s="2">
        <v>10.0</v>
      </c>
      <c r="F4064" s="2" t="s">
        <v>12</v>
      </c>
      <c r="G4064" s="2"/>
      <c r="H4064" s="2"/>
      <c r="I4064" s="2"/>
    </row>
    <row r="4065">
      <c r="A4065" s="2" t="s">
        <v>4122</v>
      </c>
      <c r="B4065" s="2" t="s">
        <v>4086</v>
      </c>
      <c r="C4065" s="2"/>
      <c r="D4065" s="2" t="s">
        <v>11</v>
      </c>
      <c r="E4065" s="2">
        <v>10.0</v>
      </c>
      <c r="F4065" s="2" t="s">
        <v>12</v>
      </c>
      <c r="G4065" s="2"/>
      <c r="H4065" s="2"/>
      <c r="I4065" s="2"/>
    </row>
    <row r="4066">
      <c r="A4066" s="2" t="s">
        <v>4123</v>
      </c>
      <c r="B4066" s="2" t="s">
        <v>4086</v>
      </c>
      <c r="C4066" s="2"/>
      <c r="D4066" s="2" t="s">
        <v>11</v>
      </c>
      <c r="E4066" s="2">
        <v>10.0</v>
      </c>
      <c r="F4066" s="2" t="s">
        <v>12</v>
      </c>
      <c r="G4066" s="2"/>
      <c r="H4066" s="2"/>
      <c r="I4066" s="2"/>
    </row>
    <row r="4067">
      <c r="A4067" s="1" t="s">
        <v>4124</v>
      </c>
      <c r="B4067" s="2" t="s">
        <v>4125</v>
      </c>
      <c r="C4067" s="2"/>
      <c r="D4067" s="2" t="s">
        <v>11</v>
      </c>
      <c r="E4067" s="2">
        <v>10.0</v>
      </c>
      <c r="F4067" s="2" t="s">
        <v>12</v>
      </c>
      <c r="G4067" s="2"/>
      <c r="H4067" s="2"/>
      <c r="I4067" s="2"/>
    </row>
    <row r="4068">
      <c r="A4068" s="2" t="s">
        <v>4126</v>
      </c>
      <c r="B4068" s="2" t="s">
        <v>4125</v>
      </c>
      <c r="C4068" s="2"/>
      <c r="D4068" s="2" t="s">
        <v>11</v>
      </c>
      <c r="E4068" s="2">
        <v>10.0</v>
      </c>
      <c r="F4068" s="2" t="s">
        <v>12</v>
      </c>
      <c r="G4068" s="2"/>
      <c r="H4068" s="2"/>
      <c r="I4068" s="2"/>
    </row>
    <row r="4069">
      <c r="A4069" s="2" t="s">
        <v>4127</v>
      </c>
      <c r="B4069" s="2" t="s">
        <v>4125</v>
      </c>
      <c r="C4069" s="2"/>
      <c r="D4069" s="2" t="s">
        <v>11</v>
      </c>
      <c r="E4069" s="2">
        <v>10.0</v>
      </c>
      <c r="F4069" s="2" t="s">
        <v>12</v>
      </c>
      <c r="G4069" s="2"/>
      <c r="H4069" s="2"/>
      <c r="I4069" s="2"/>
    </row>
    <row r="4070">
      <c r="A4070" s="1" t="s">
        <v>4128</v>
      </c>
      <c r="B4070" s="2" t="s">
        <v>4125</v>
      </c>
      <c r="C4070" s="2"/>
      <c r="D4070" s="2" t="s">
        <v>11</v>
      </c>
      <c r="E4070" s="2">
        <v>15.0</v>
      </c>
      <c r="F4070" s="2" t="s">
        <v>12</v>
      </c>
      <c r="G4070" s="2"/>
      <c r="H4070" s="2"/>
      <c r="I4070" s="2"/>
    </row>
    <row r="4071">
      <c r="A4071" s="1" t="s">
        <v>4129</v>
      </c>
      <c r="B4071" s="2" t="s">
        <v>4125</v>
      </c>
      <c r="C4071" s="2"/>
      <c r="D4071" s="2" t="s">
        <v>11</v>
      </c>
      <c r="E4071" s="2">
        <v>15.0</v>
      </c>
      <c r="F4071" s="2" t="s">
        <v>12</v>
      </c>
      <c r="G4071" s="2"/>
      <c r="H4071" s="2"/>
      <c r="I4071" s="2"/>
    </row>
    <row r="4072">
      <c r="A4072" s="2" t="s">
        <v>4130</v>
      </c>
      <c r="B4072" s="2" t="s">
        <v>4125</v>
      </c>
      <c r="C4072" s="2"/>
      <c r="D4072" s="2" t="s">
        <v>11</v>
      </c>
      <c r="E4072" s="2">
        <v>14.0</v>
      </c>
      <c r="F4072" s="2" t="s">
        <v>12</v>
      </c>
      <c r="G4072" s="2"/>
      <c r="H4072" s="2"/>
      <c r="I4072" s="2"/>
    </row>
    <row r="4073">
      <c r="A4073" s="1" t="s">
        <v>4131</v>
      </c>
      <c r="B4073" s="2" t="s">
        <v>4125</v>
      </c>
      <c r="C4073" s="2"/>
      <c r="D4073" s="2" t="s">
        <v>11</v>
      </c>
      <c r="E4073" s="2">
        <v>7.0</v>
      </c>
      <c r="F4073" s="2" t="s">
        <v>12</v>
      </c>
      <c r="G4073" s="2"/>
      <c r="H4073" s="2"/>
      <c r="I4073" s="2"/>
    </row>
    <row r="4074">
      <c r="A4074" s="1" t="s">
        <v>4132</v>
      </c>
      <c r="B4074" s="2" t="s">
        <v>4125</v>
      </c>
      <c r="C4074" s="2"/>
      <c r="D4074" s="2" t="s">
        <v>11</v>
      </c>
      <c r="E4074" s="2">
        <v>7.0</v>
      </c>
      <c r="F4074" s="2" t="s">
        <v>12</v>
      </c>
      <c r="G4074" s="2"/>
      <c r="H4074" s="2"/>
      <c r="I4074" s="2"/>
    </row>
    <row r="4075">
      <c r="A4075" s="2" t="s">
        <v>4133</v>
      </c>
      <c r="B4075" s="2" t="s">
        <v>4125</v>
      </c>
      <c r="C4075" s="2"/>
      <c r="D4075" s="2" t="s">
        <v>11</v>
      </c>
      <c r="E4075" s="2">
        <v>20.0</v>
      </c>
      <c r="F4075" s="2" t="s">
        <v>12</v>
      </c>
      <c r="G4075" s="2"/>
      <c r="H4075" s="2"/>
      <c r="I4075" s="2"/>
    </row>
    <row r="4076">
      <c r="A4076" s="1" t="s">
        <v>4134</v>
      </c>
      <c r="B4076" s="2" t="s">
        <v>4125</v>
      </c>
      <c r="C4076" s="2"/>
      <c r="D4076" s="2" t="s">
        <v>11</v>
      </c>
      <c r="E4076" s="2">
        <v>10.0</v>
      </c>
      <c r="F4076" s="2" t="s">
        <v>12</v>
      </c>
      <c r="G4076" s="2"/>
      <c r="H4076" s="2"/>
      <c r="I4076" s="2"/>
    </row>
    <row r="4077">
      <c r="A4077" s="1" t="s">
        <v>4135</v>
      </c>
      <c r="B4077" s="2" t="s">
        <v>4125</v>
      </c>
      <c r="C4077" s="2"/>
      <c r="D4077" s="2" t="s">
        <v>11</v>
      </c>
      <c r="E4077" s="2">
        <v>10.0</v>
      </c>
      <c r="F4077" s="2" t="s">
        <v>12</v>
      </c>
      <c r="G4077" s="2"/>
      <c r="H4077" s="2"/>
      <c r="I4077" s="2"/>
    </row>
    <row r="4078">
      <c r="A4078" s="2" t="s">
        <v>4136</v>
      </c>
      <c r="B4078" s="2" t="s">
        <v>4125</v>
      </c>
      <c r="C4078" s="2"/>
      <c r="D4078" s="2" t="s">
        <v>11</v>
      </c>
      <c r="E4078" s="2">
        <v>10.0</v>
      </c>
      <c r="F4078" s="2" t="s">
        <v>12</v>
      </c>
      <c r="G4078" s="2"/>
      <c r="H4078" s="2"/>
      <c r="I4078" s="2"/>
    </row>
    <row r="4079">
      <c r="A4079" s="1" t="s">
        <v>4137</v>
      </c>
      <c r="B4079" s="2" t="s">
        <v>4125</v>
      </c>
      <c r="C4079" s="2"/>
      <c r="D4079" s="2" t="s">
        <v>11</v>
      </c>
      <c r="E4079" s="2">
        <v>10.0</v>
      </c>
      <c r="F4079" s="2" t="s">
        <v>12</v>
      </c>
      <c r="G4079" s="2"/>
      <c r="H4079" s="2"/>
      <c r="I4079" s="2"/>
    </row>
    <row r="4080">
      <c r="A4080" s="1" t="s">
        <v>4137</v>
      </c>
      <c r="B4080" s="2" t="s">
        <v>4125</v>
      </c>
      <c r="C4080" s="2"/>
      <c r="D4080" s="2" t="s">
        <v>11</v>
      </c>
      <c r="E4080" s="2"/>
      <c r="F4080" s="2"/>
      <c r="G4080" s="2"/>
      <c r="H4080" s="2"/>
      <c r="I4080" s="2"/>
    </row>
    <row r="4081">
      <c r="A4081" s="1" t="s">
        <v>4138</v>
      </c>
      <c r="B4081" s="2" t="s">
        <v>4125</v>
      </c>
      <c r="C4081" s="2"/>
      <c r="D4081" s="2" t="s">
        <v>11</v>
      </c>
      <c r="E4081" s="2">
        <v>10.0</v>
      </c>
      <c r="F4081" s="2" t="s">
        <v>12</v>
      </c>
      <c r="G4081" s="2"/>
      <c r="H4081" s="2"/>
      <c r="I4081" s="2"/>
    </row>
    <row r="4082">
      <c r="A4082" s="1" t="s">
        <v>4138</v>
      </c>
      <c r="B4082" s="2" t="s">
        <v>4125</v>
      </c>
      <c r="C4082" s="2"/>
      <c r="D4082" s="2" t="s">
        <v>11</v>
      </c>
      <c r="E4082" s="2"/>
      <c r="F4082" s="2"/>
      <c r="G4082" s="2"/>
      <c r="H4082" s="2"/>
      <c r="I4082" s="2"/>
    </row>
    <row r="4083">
      <c r="A4083" s="2" t="s">
        <v>4139</v>
      </c>
      <c r="B4083" s="2" t="s">
        <v>4125</v>
      </c>
      <c r="C4083" s="2"/>
      <c r="D4083" s="2" t="s">
        <v>11</v>
      </c>
      <c r="E4083" s="2">
        <v>10.0</v>
      </c>
      <c r="F4083" s="2" t="s">
        <v>12</v>
      </c>
      <c r="G4083" s="2"/>
      <c r="H4083" s="2"/>
      <c r="I4083" s="2"/>
    </row>
    <row r="4084">
      <c r="A4084" s="2" t="s">
        <v>4140</v>
      </c>
      <c r="B4084" s="2" t="s">
        <v>4125</v>
      </c>
      <c r="C4084" s="2"/>
      <c r="D4084" s="2" t="s">
        <v>11</v>
      </c>
      <c r="E4084" s="2">
        <v>10.0</v>
      </c>
      <c r="F4084" s="2" t="s">
        <v>12</v>
      </c>
      <c r="G4084" s="2"/>
      <c r="H4084" s="2"/>
      <c r="I4084" s="2"/>
    </row>
    <row r="4085">
      <c r="A4085" s="1" t="s">
        <v>4141</v>
      </c>
      <c r="B4085" s="2" t="s">
        <v>4125</v>
      </c>
      <c r="C4085" s="2"/>
      <c r="D4085" s="2" t="s">
        <v>11</v>
      </c>
      <c r="E4085" s="2">
        <v>10.0</v>
      </c>
      <c r="F4085" s="2" t="s">
        <v>12</v>
      </c>
      <c r="G4085" s="2"/>
      <c r="H4085" s="2"/>
      <c r="I4085" s="2"/>
    </row>
    <row r="4086">
      <c r="A4086" s="1" t="s">
        <v>4142</v>
      </c>
      <c r="B4086" s="2" t="s">
        <v>4125</v>
      </c>
      <c r="C4086" s="2"/>
      <c r="D4086" s="2" t="s">
        <v>11</v>
      </c>
      <c r="E4086" s="2">
        <v>10.0</v>
      </c>
      <c r="F4086" s="2" t="s">
        <v>12</v>
      </c>
      <c r="G4086" s="2"/>
      <c r="H4086" s="2"/>
      <c r="I4086" s="2"/>
    </row>
    <row r="4087">
      <c r="A4087" s="1" t="s">
        <v>4143</v>
      </c>
      <c r="B4087" s="2" t="s">
        <v>4125</v>
      </c>
      <c r="C4087" s="2"/>
      <c r="D4087" s="2" t="s">
        <v>11</v>
      </c>
      <c r="E4087" s="2">
        <v>10.0</v>
      </c>
      <c r="F4087" s="2" t="s">
        <v>12</v>
      </c>
      <c r="G4087" s="2"/>
      <c r="H4087" s="2"/>
      <c r="I4087" s="2"/>
    </row>
    <row r="4088">
      <c r="A4088" s="1" t="s">
        <v>4144</v>
      </c>
      <c r="B4088" s="2" t="s">
        <v>4125</v>
      </c>
      <c r="C4088" s="2"/>
      <c r="D4088" s="2" t="s">
        <v>11</v>
      </c>
      <c r="E4088" s="2">
        <v>10.0</v>
      </c>
      <c r="F4088" s="2" t="s">
        <v>12</v>
      </c>
      <c r="G4088" s="2"/>
      <c r="H4088" s="2"/>
      <c r="I4088" s="2"/>
    </row>
    <row r="4089">
      <c r="A4089" s="1" t="s">
        <v>4145</v>
      </c>
      <c r="B4089" s="2" t="s">
        <v>4125</v>
      </c>
      <c r="C4089" s="2"/>
      <c r="D4089" s="2" t="s">
        <v>11</v>
      </c>
      <c r="E4089" s="2">
        <v>10.0</v>
      </c>
      <c r="F4089" s="2" t="s">
        <v>12</v>
      </c>
      <c r="G4089" s="2"/>
      <c r="H4089" s="2"/>
      <c r="I4089" s="2"/>
    </row>
    <row r="4090">
      <c r="A4090" s="1" t="s">
        <v>4146</v>
      </c>
      <c r="B4090" s="2" t="s">
        <v>4125</v>
      </c>
      <c r="C4090" s="2"/>
      <c r="D4090" s="2" t="s">
        <v>11</v>
      </c>
      <c r="E4090" s="2">
        <v>10.0</v>
      </c>
      <c r="F4090" s="2" t="s">
        <v>12</v>
      </c>
      <c r="G4090" s="2"/>
      <c r="H4090" s="2"/>
      <c r="I4090" s="2"/>
    </row>
    <row r="4091">
      <c r="A4091" s="1" t="s">
        <v>4147</v>
      </c>
      <c r="B4091" s="2" t="s">
        <v>4125</v>
      </c>
      <c r="C4091" s="2"/>
      <c r="D4091" s="2" t="s">
        <v>11</v>
      </c>
      <c r="E4091" s="2">
        <v>10.0</v>
      </c>
      <c r="F4091" s="2" t="s">
        <v>12</v>
      </c>
      <c r="G4091" s="2"/>
      <c r="H4091" s="2"/>
      <c r="I4091" s="2"/>
    </row>
    <row r="4092">
      <c r="A4092" s="1" t="s">
        <v>4148</v>
      </c>
      <c r="B4092" s="2" t="s">
        <v>4125</v>
      </c>
      <c r="C4092" s="2"/>
      <c r="D4092" s="2" t="s">
        <v>11</v>
      </c>
      <c r="E4092" s="2">
        <v>10.0</v>
      </c>
      <c r="F4092" s="2" t="s">
        <v>12</v>
      </c>
      <c r="G4092" s="2"/>
      <c r="H4092" s="2"/>
      <c r="I4092" s="2"/>
    </row>
    <row r="4093">
      <c r="A4093" s="1" t="s">
        <v>4149</v>
      </c>
      <c r="B4093" s="2" t="s">
        <v>4125</v>
      </c>
      <c r="C4093" s="2"/>
      <c r="D4093" s="2" t="s">
        <v>11</v>
      </c>
      <c r="E4093" s="2">
        <v>10.0</v>
      </c>
      <c r="F4093" s="2" t="s">
        <v>12</v>
      </c>
      <c r="G4093" s="2"/>
      <c r="H4093" s="2"/>
      <c r="I4093" s="2"/>
    </row>
    <row r="4094">
      <c r="A4094" s="1" t="s">
        <v>4150</v>
      </c>
      <c r="B4094" s="2" t="s">
        <v>4125</v>
      </c>
      <c r="C4094" s="2"/>
      <c r="D4094" s="2" t="s">
        <v>11</v>
      </c>
      <c r="E4094" s="2">
        <v>10.0</v>
      </c>
      <c r="F4094" s="2" t="s">
        <v>12</v>
      </c>
      <c r="G4094" s="2"/>
      <c r="H4094" s="2"/>
      <c r="I4094" s="2"/>
    </row>
    <row r="4095">
      <c r="A4095" s="2" t="s">
        <v>4151</v>
      </c>
      <c r="B4095" s="2" t="s">
        <v>4125</v>
      </c>
      <c r="C4095" s="2"/>
      <c r="D4095" s="2" t="s">
        <v>11</v>
      </c>
      <c r="E4095" s="2">
        <v>10.0</v>
      </c>
      <c r="F4095" s="2" t="s">
        <v>12</v>
      </c>
      <c r="G4095" s="2"/>
      <c r="H4095" s="2"/>
      <c r="I4095" s="2"/>
    </row>
    <row r="4096">
      <c r="A4096" s="2" t="s">
        <v>4152</v>
      </c>
      <c r="B4096" s="2" t="s">
        <v>4125</v>
      </c>
      <c r="C4096" s="2"/>
      <c r="D4096" s="2" t="s">
        <v>11</v>
      </c>
      <c r="E4096" s="2">
        <v>10.0</v>
      </c>
      <c r="F4096" s="2" t="s">
        <v>12</v>
      </c>
      <c r="G4096" s="2"/>
      <c r="H4096" s="2"/>
      <c r="I4096" s="2"/>
    </row>
    <row r="4097">
      <c r="A4097" s="2" t="s">
        <v>4153</v>
      </c>
      <c r="B4097" s="2" t="s">
        <v>4125</v>
      </c>
      <c r="C4097" s="2"/>
      <c r="D4097" s="2" t="s">
        <v>11</v>
      </c>
      <c r="E4097" s="2">
        <v>10.0</v>
      </c>
      <c r="F4097" s="2" t="s">
        <v>12</v>
      </c>
      <c r="G4097" s="2"/>
      <c r="H4097" s="2"/>
      <c r="I4097" s="2"/>
    </row>
    <row r="4098">
      <c r="A4098" s="2" t="s">
        <v>4154</v>
      </c>
      <c r="B4098" s="2" t="s">
        <v>4125</v>
      </c>
      <c r="C4098" s="2"/>
      <c r="D4098" s="2" t="s">
        <v>11</v>
      </c>
      <c r="E4098" s="2">
        <v>10.0</v>
      </c>
      <c r="F4098" s="2" t="s">
        <v>12</v>
      </c>
      <c r="G4098" s="2"/>
      <c r="H4098" s="2"/>
      <c r="I4098" s="2"/>
    </row>
    <row r="4099">
      <c r="A4099" s="2" t="s">
        <v>4155</v>
      </c>
      <c r="B4099" s="2" t="s">
        <v>4125</v>
      </c>
      <c r="C4099" s="2"/>
      <c r="D4099" s="2" t="s">
        <v>11</v>
      </c>
      <c r="E4099" s="2">
        <v>10.0</v>
      </c>
      <c r="F4099" s="2" t="s">
        <v>12</v>
      </c>
      <c r="G4099" s="2"/>
      <c r="H4099" s="2"/>
      <c r="I4099" s="2"/>
    </row>
    <row r="4100">
      <c r="A4100" s="1" t="s">
        <v>4156</v>
      </c>
      <c r="B4100" s="2" t="s">
        <v>4125</v>
      </c>
      <c r="C4100" s="2"/>
      <c r="D4100" s="2" t="s">
        <v>11</v>
      </c>
      <c r="E4100" s="2">
        <v>10.0</v>
      </c>
      <c r="F4100" s="2" t="s">
        <v>12</v>
      </c>
      <c r="G4100" s="2"/>
      <c r="H4100" s="2"/>
      <c r="I4100" s="2"/>
    </row>
    <row r="4101">
      <c r="A4101" s="1" t="s">
        <v>4157</v>
      </c>
      <c r="B4101" s="2" t="s">
        <v>4125</v>
      </c>
      <c r="C4101" s="2"/>
      <c r="D4101" s="2" t="s">
        <v>11</v>
      </c>
      <c r="E4101" s="2">
        <v>10.0</v>
      </c>
      <c r="F4101" s="2" t="s">
        <v>12</v>
      </c>
      <c r="G4101" s="2"/>
      <c r="H4101" s="2"/>
      <c r="I4101" s="2"/>
    </row>
    <row r="4102">
      <c r="A4102" s="2" t="s">
        <v>4158</v>
      </c>
      <c r="B4102" s="2" t="s">
        <v>4125</v>
      </c>
      <c r="C4102" s="2"/>
      <c r="D4102" s="2" t="s">
        <v>11</v>
      </c>
      <c r="E4102" s="2">
        <v>20.0</v>
      </c>
      <c r="F4102" s="2" t="s">
        <v>12</v>
      </c>
      <c r="G4102" s="2"/>
      <c r="H4102" s="2"/>
      <c r="I4102" s="2"/>
    </row>
    <row r="4103">
      <c r="A4103" s="1" t="s">
        <v>4159</v>
      </c>
      <c r="B4103" s="2" t="s">
        <v>4125</v>
      </c>
      <c r="C4103" s="2"/>
      <c r="D4103" s="2" t="s">
        <v>11</v>
      </c>
      <c r="E4103" s="2">
        <v>10.0</v>
      </c>
      <c r="F4103" s="2" t="s">
        <v>12</v>
      </c>
      <c r="G4103" s="2"/>
      <c r="H4103" s="2"/>
      <c r="I4103" s="2"/>
    </row>
    <row r="4104">
      <c r="A4104" s="1" t="s">
        <v>4160</v>
      </c>
      <c r="B4104" s="2" t="s">
        <v>4125</v>
      </c>
      <c r="C4104" s="2"/>
      <c r="D4104" s="2" t="s">
        <v>11</v>
      </c>
      <c r="E4104" s="2">
        <v>10.0</v>
      </c>
      <c r="F4104" s="2" t="s">
        <v>12</v>
      </c>
      <c r="G4104" s="2"/>
      <c r="H4104" s="2"/>
      <c r="I4104" s="2"/>
    </row>
    <row r="4105">
      <c r="A4105" s="1" t="s">
        <v>4161</v>
      </c>
      <c r="B4105" s="2" t="s">
        <v>4125</v>
      </c>
      <c r="C4105" s="2"/>
      <c r="D4105" s="2" t="s">
        <v>11</v>
      </c>
      <c r="E4105" s="2">
        <v>10.0</v>
      </c>
      <c r="F4105" s="2" t="s">
        <v>12</v>
      </c>
      <c r="G4105" s="2"/>
      <c r="H4105" s="2"/>
      <c r="I4105" s="2"/>
    </row>
    <row r="4106">
      <c r="A4106" s="1" t="s">
        <v>4162</v>
      </c>
      <c r="B4106" s="2" t="s">
        <v>4125</v>
      </c>
      <c r="C4106" s="2"/>
      <c r="D4106" s="2" t="s">
        <v>11</v>
      </c>
      <c r="E4106" s="2">
        <v>10.0</v>
      </c>
      <c r="F4106" s="2" t="s">
        <v>12</v>
      </c>
      <c r="G4106" s="2"/>
      <c r="H4106" s="2"/>
      <c r="I4106" s="2"/>
    </row>
    <row r="4107">
      <c r="A4107" s="2" t="s">
        <v>4163</v>
      </c>
      <c r="B4107" s="2" t="s">
        <v>4125</v>
      </c>
      <c r="C4107" s="2"/>
      <c r="D4107" s="2" t="s">
        <v>11</v>
      </c>
      <c r="E4107" s="2">
        <v>10.0</v>
      </c>
      <c r="F4107" s="2" t="s">
        <v>12</v>
      </c>
      <c r="G4107" s="2"/>
      <c r="H4107" s="2"/>
      <c r="I4107" s="2"/>
    </row>
    <row r="4108">
      <c r="A4108" s="2" t="s">
        <v>4164</v>
      </c>
      <c r="B4108" s="2" t="s">
        <v>4165</v>
      </c>
      <c r="C4108" s="2"/>
      <c r="D4108" s="2" t="s">
        <v>11</v>
      </c>
      <c r="E4108" s="2">
        <v>14.0</v>
      </c>
      <c r="F4108" s="2" t="s">
        <v>12</v>
      </c>
      <c r="G4108" s="2"/>
      <c r="H4108" s="2"/>
      <c r="I4108" s="2"/>
    </row>
    <row r="4109">
      <c r="A4109" s="1" t="s">
        <v>4166</v>
      </c>
      <c r="B4109" s="2" t="s">
        <v>4165</v>
      </c>
      <c r="C4109" s="2"/>
      <c r="D4109" s="2" t="s">
        <v>11</v>
      </c>
      <c r="E4109" s="2">
        <v>10.0</v>
      </c>
      <c r="F4109" s="2" t="s">
        <v>12</v>
      </c>
      <c r="G4109" s="2"/>
      <c r="H4109" s="2"/>
      <c r="I4109" s="2"/>
    </row>
    <row r="4110">
      <c r="A4110" s="1" t="s">
        <v>4167</v>
      </c>
      <c r="B4110" s="2" t="s">
        <v>4165</v>
      </c>
      <c r="C4110" s="2"/>
      <c r="D4110" s="2" t="s">
        <v>11</v>
      </c>
      <c r="E4110" s="2">
        <v>10.0</v>
      </c>
      <c r="F4110" s="2" t="s">
        <v>12</v>
      </c>
      <c r="G4110" s="2"/>
      <c r="H4110" s="2"/>
      <c r="I4110" s="2"/>
    </row>
    <row r="4111">
      <c r="A4111" s="1" t="s">
        <v>4168</v>
      </c>
      <c r="B4111" s="2" t="s">
        <v>4165</v>
      </c>
      <c r="C4111" s="2"/>
      <c r="D4111" s="2" t="s">
        <v>37</v>
      </c>
      <c r="E4111" s="2">
        <v>10.0</v>
      </c>
      <c r="F4111" s="2" t="s">
        <v>12</v>
      </c>
      <c r="G4111" s="2"/>
      <c r="H4111" s="2"/>
      <c r="I4111" s="2"/>
    </row>
    <row r="4112">
      <c r="A4112" s="1" t="s">
        <v>4169</v>
      </c>
      <c r="B4112" s="2" t="s">
        <v>4165</v>
      </c>
      <c r="C4112" s="2"/>
      <c r="D4112" s="2" t="s">
        <v>37</v>
      </c>
      <c r="E4112" s="2">
        <v>10.0</v>
      </c>
      <c r="F4112" s="2" t="s">
        <v>12</v>
      </c>
      <c r="G4112" s="2"/>
      <c r="H4112" s="2"/>
      <c r="I4112" s="2"/>
    </row>
    <row r="4113">
      <c r="A4113" s="1" t="s">
        <v>4170</v>
      </c>
      <c r="B4113" s="2" t="s">
        <v>4165</v>
      </c>
      <c r="C4113" s="2"/>
      <c r="D4113" s="2" t="s">
        <v>37</v>
      </c>
      <c r="E4113" s="2">
        <v>10.0</v>
      </c>
      <c r="F4113" s="2" t="s">
        <v>12</v>
      </c>
      <c r="G4113" s="2"/>
      <c r="H4113" s="2"/>
      <c r="I4113" s="2"/>
    </row>
    <row r="4114">
      <c r="A4114" s="1" t="s">
        <v>4171</v>
      </c>
      <c r="B4114" s="2" t="s">
        <v>4165</v>
      </c>
      <c r="C4114" s="2"/>
      <c r="D4114" s="2" t="s">
        <v>37</v>
      </c>
      <c r="E4114" s="2">
        <v>10.0</v>
      </c>
      <c r="F4114" s="2" t="s">
        <v>12</v>
      </c>
      <c r="G4114" s="2"/>
      <c r="H4114" s="2"/>
      <c r="I4114" s="2"/>
    </row>
    <row r="4115">
      <c r="A4115" s="1" t="s">
        <v>4172</v>
      </c>
      <c r="B4115" s="2" t="s">
        <v>4165</v>
      </c>
      <c r="C4115" s="2"/>
      <c r="D4115" s="2" t="s">
        <v>37</v>
      </c>
      <c r="E4115" s="2">
        <v>10.0</v>
      </c>
      <c r="F4115" s="2" t="s">
        <v>12</v>
      </c>
      <c r="G4115" s="2"/>
      <c r="H4115" s="2"/>
      <c r="I4115" s="2"/>
    </row>
    <row r="4116">
      <c r="A4116" s="2" t="s">
        <v>4173</v>
      </c>
      <c r="B4116" s="2" t="s">
        <v>4165</v>
      </c>
      <c r="C4116" s="2"/>
      <c r="D4116" s="2" t="s">
        <v>11</v>
      </c>
      <c r="E4116" s="2">
        <v>10.0</v>
      </c>
      <c r="F4116" s="2" t="s">
        <v>12</v>
      </c>
      <c r="G4116" s="2"/>
      <c r="H4116" s="2"/>
      <c r="I4116" s="2"/>
    </row>
    <row r="4117">
      <c r="A4117" s="1" t="s">
        <v>4174</v>
      </c>
      <c r="B4117" s="2" t="s">
        <v>4165</v>
      </c>
      <c r="C4117" s="2"/>
      <c r="D4117" s="2" t="s">
        <v>11</v>
      </c>
      <c r="E4117" s="2">
        <v>10.0</v>
      </c>
      <c r="F4117" s="2" t="s">
        <v>12</v>
      </c>
      <c r="G4117" s="2"/>
      <c r="H4117" s="2"/>
      <c r="I4117" s="2"/>
    </row>
    <row r="4118">
      <c r="A4118" s="1" t="s">
        <v>4175</v>
      </c>
      <c r="B4118" s="2" t="s">
        <v>4165</v>
      </c>
      <c r="C4118" s="2"/>
      <c r="D4118" s="2" t="s">
        <v>11</v>
      </c>
      <c r="E4118" s="2">
        <v>10.0</v>
      </c>
      <c r="F4118" s="2" t="s">
        <v>12</v>
      </c>
      <c r="G4118" s="2"/>
      <c r="H4118" s="2"/>
      <c r="I4118" s="2"/>
    </row>
    <row r="4119">
      <c r="A4119" s="1" t="s">
        <v>4176</v>
      </c>
      <c r="B4119" s="2" t="s">
        <v>4165</v>
      </c>
      <c r="C4119" s="2"/>
      <c r="D4119" s="2" t="s">
        <v>11</v>
      </c>
      <c r="E4119" s="2">
        <v>10.0</v>
      </c>
      <c r="F4119" s="2" t="s">
        <v>12</v>
      </c>
      <c r="G4119" s="2"/>
      <c r="H4119" s="2"/>
      <c r="I4119" s="2"/>
    </row>
    <row r="4120">
      <c r="A4120" s="2" t="s">
        <v>4177</v>
      </c>
      <c r="B4120" s="2" t="s">
        <v>4165</v>
      </c>
      <c r="C4120" s="2"/>
      <c r="D4120" s="2" t="s">
        <v>11</v>
      </c>
      <c r="E4120" s="2">
        <v>10.0</v>
      </c>
      <c r="F4120" s="2" t="s">
        <v>12</v>
      </c>
      <c r="G4120" s="2"/>
      <c r="H4120" s="2"/>
      <c r="I4120" s="2"/>
    </row>
    <row r="4121">
      <c r="A4121" s="1" t="s">
        <v>4178</v>
      </c>
      <c r="B4121" s="2" t="s">
        <v>4165</v>
      </c>
      <c r="C4121" s="2"/>
      <c r="D4121" s="2" t="s">
        <v>11</v>
      </c>
      <c r="E4121" s="2">
        <v>10.0</v>
      </c>
      <c r="F4121" s="2" t="s">
        <v>12</v>
      </c>
      <c r="G4121" s="2"/>
      <c r="H4121" s="2"/>
      <c r="I4121" s="2"/>
    </row>
    <row r="4122">
      <c r="A4122" s="1" t="s">
        <v>4179</v>
      </c>
      <c r="B4122" s="2" t="s">
        <v>4165</v>
      </c>
      <c r="C4122" s="2"/>
      <c r="D4122" s="2" t="s">
        <v>11</v>
      </c>
      <c r="E4122" s="2">
        <v>10.0</v>
      </c>
      <c r="F4122" s="2" t="s">
        <v>12</v>
      </c>
      <c r="G4122" s="2"/>
      <c r="H4122" s="2"/>
      <c r="I4122" s="2"/>
    </row>
    <row r="4123">
      <c r="A4123" s="2" t="s">
        <v>4180</v>
      </c>
      <c r="B4123" s="2" t="s">
        <v>4165</v>
      </c>
      <c r="C4123" s="2"/>
      <c r="D4123" s="1" t="s">
        <v>11</v>
      </c>
      <c r="E4123" s="2">
        <v>4.0</v>
      </c>
      <c r="F4123" s="2" t="s">
        <v>12</v>
      </c>
      <c r="G4123" s="2"/>
      <c r="H4123" s="2"/>
      <c r="I4123" s="2"/>
    </row>
    <row r="4124">
      <c r="A4124" s="1" t="s">
        <v>4181</v>
      </c>
      <c r="B4124" s="2" t="s">
        <v>4165</v>
      </c>
      <c r="C4124" s="2"/>
      <c r="D4124" s="2" t="s">
        <v>11</v>
      </c>
      <c r="E4124" s="2">
        <v>10.0</v>
      </c>
      <c r="F4124" s="2" t="s">
        <v>12</v>
      </c>
      <c r="G4124" s="2"/>
      <c r="H4124" s="2"/>
      <c r="I4124" s="2"/>
    </row>
    <row r="4125">
      <c r="A4125" s="1" t="s">
        <v>4182</v>
      </c>
      <c r="B4125" s="2" t="s">
        <v>4165</v>
      </c>
      <c r="C4125" s="2"/>
      <c r="D4125" s="2" t="s">
        <v>11</v>
      </c>
      <c r="E4125" s="2">
        <v>10.0</v>
      </c>
      <c r="F4125" s="2" t="s">
        <v>12</v>
      </c>
      <c r="G4125" s="2"/>
      <c r="H4125" s="2"/>
      <c r="I4125" s="2"/>
    </row>
    <row r="4126">
      <c r="A4126" s="1" t="s">
        <v>4183</v>
      </c>
      <c r="B4126" s="2" t="s">
        <v>4165</v>
      </c>
      <c r="C4126" s="2"/>
      <c r="D4126" s="2" t="s">
        <v>11</v>
      </c>
      <c r="E4126" s="2">
        <v>14.0</v>
      </c>
      <c r="F4126" s="2" t="s">
        <v>12</v>
      </c>
      <c r="G4126" s="2"/>
      <c r="H4126" s="2"/>
      <c r="I4126" s="2"/>
    </row>
    <row r="4127">
      <c r="A4127" s="1" t="s">
        <v>4184</v>
      </c>
      <c r="B4127" s="2" t="s">
        <v>4165</v>
      </c>
      <c r="C4127" s="2"/>
      <c r="D4127" s="2" t="s">
        <v>11</v>
      </c>
      <c r="E4127" s="2">
        <v>10.0</v>
      </c>
      <c r="F4127" s="2" t="s">
        <v>12</v>
      </c>
      <c r="G4127" s="2"/>
      <c r="H4127" s="2"/>
      <c r="I4127" s="2"/>
    </row>
    <row r="4128">
      <c r="A4128" s="1" t="s">
        <v>4185</v>
      </c>
      <c r="B4128" s="2" t="s">
        <v>4165</v>
      </c>
      <c r="C4128" s="2"/>
      <c r="D4128" s="2" t="s">
        <v>11</v>
      </c>
      <c r="E4128" s="2">
        <v>14.0</v>
      </c>
      <c r="F4128" s="2" t="s">
        <v>12</v>
      </c>
      <c r="G4128" s="2"/>
      <c r="H4128" s="2"/>
      <c r="I4128" s="2"/>
    </row>
    <row r="4129">
      <c r="A4129" s="1" t="s">
        <v>4186</v>
      </c>
      <c r="B4129" s="2" t="s">
        <v>4165</v>
      </c>
      <c r="C4129" s="2"/>
      <c r="D4129" s="2" t="s">
        <v>11</v>
      </c>
      <c r="E4129" s="2">
        <v>7.0</v>
      </c>
      <c r="F4129" s="2" t="s">
        <v>12</v>
      </c>
      <c r="G4129" s="2"/>
      <c r="H4129" s="2"/>
      <c r="I4129" s="2"/>
    </row>
    <row r="4130">
      <c r="A4130" s="1" t="s">
        <v>4187</v>
      </c>
      <c r="B4130" s="2" t="s">
        <v>4165</v>
      </c>
      <c r="C4130" s="2"/>
      <c r="D4130" s="2" t="s">
        <v>11</v>
      </c>
      <c r="E4130" s="2">
        <v>7.0</v>
      </c>
      <c r="F4130" s="2" t="s">
        <v>12</v>
      </c>
      <c r="G4130" s="2"/>
      <c r="H4130" s="2"/>
      <c r="I4130" s="2"/>
    </row>
    <row r="4131">
      <c r="A4131" s="1" t="s">
        <v>4188</v>
      </c>
      <c r="B4131" s="2" t="s">
        <v>4165</v>
      </c>
      <c r="C4131" s="2"/>
      <c r="D4131" s="2" t="s">
        <v>11</v>
      </c>
      <c r="E4131" s="2">
        <v>10.0</v>
      </c>
      <c r="F4131" s="2" t="s">
        <v>12</v>
      </c>
      <c r="G4131" s="2"/>
      <c r="H4131" s="2"/>
      <c r="I4131" s="2"/>
    </row>
    <row r="4132">
      <c r="A4132" s="1" t="s">
        <v>4189</v>
      </c>
      <c r="B4132" s="2" t="s">
        <v>4165</v>
      </c>
      <c r="C4132" s="2"/>
      <c r="D4132" s="2" t="s">
        <v>11</v>
      </c>
      <c r="E4132" s="2">
        <v>10.0</v>
      </c>
      <c r="F4132" s="2" t="s">
        <v>12</v>
      </c>
      <c r="G4132" s="2"/>
      <c r="H4132" s="2"/>
      <c r="I4132" s="2"/>
    </row>
    <row r="4133">
      <c r="A4133" s="1" t="s">
        <v>4190</v>
      </c>
      <c r="B4133" s="2" t="s">
        <v>4165</v>
      </c>
      <c r="C4133" s="2"/>
      <c r="D4133" s="2" t="s">
        <v>11</v>
      </c>
      <c r="E4133" s="2">
        <v>10.0</v>
      </c>
      <c r="F4133" s="2" t="s">
        <v>12</v>
      </c>
      <c r="G4133" s="2"/>
      <c r="H4133" s="2"/>
      <c r="I4133" s="2"/>
    </row>
    <row r="4134">
      <c r="A4134" s="1" t="s">
        <v>4191</v>
      </c>
      <c r="B4134" s="2" t="s">
        <v>4165</v>
      </c>
      <c r="C4134" s="2"/>
      <c r="D4134" s="2" t="s">
        <v>11</v>
      </c>
      <c r="E4134" s="2">
        <v>10.0</v>
      </c>
      <c r="F4134" s="2" t="s">
        <v>12</v>
      </c>
      <c r="G4134" s="2"/>
      <c r="H4134" s="2"/>
      <c r="I4134" s="2"/>
    </row>
    <row r="4135">
      <c r="A4135" s="1" t="s">
        <v>4192</v>
      </c>
      <c r="B4135" s="2" t="s">
        <v>4165</v>
      </c>
      <c r="C4135" s="2"/>
      <c r="D4135" s="2" t="s">
        <v>11</v>
      </c>
      <c r="E4135" s="2">
        <v>10.0</v>
      </c>
      <c r="F4135" s="2" t="s">
        <v>12</v>
      </c>
      <c r="G4135" s="2"/>
      <c r="H4135" s="2"/>
      <c r="I4135" s="2"/>
    </row>
    <row r="4136">
      <c r="A4136" s="1" t="s">
        <v>4193</v>
      </c>
      <c r="B4136" s="2" t="s">
        <v>4165</v>
      </c>
      <c r="C4136" s="2"/>
      <c r="D4136" s="2" t="s">
        <v>11</v>
      </c>
      <c r="E4136" s="2">
        <v>14.0</v>
      </c>
      <c r="F4136" s="2" t="s">
        <v>12</v>
      </c>
      <c r="G4136" s="2"/>
      <c r="H4136" s="2"/>
      <c r="I4136" s="2"/>
    </row>
    <row r="4137">
      <c r="A4137" s="1" t="s">
        <v>4193</v>
      </c>
      <c r="B4137" s="2" t="s">
        <v>4165</v>
      </c>
      <c r="C4137" s="2"/>
      <c r="D4137" s="2" t="s">
        <v>11</v>
      </c>
      <c r="E4137" s="2"/>
      <c r="F4137" s="2"/>
      <c r="G4137" s="2"/>
      <c r="H4137" s="2"/>
      <c r="I4137" s="2"/>
    </row>
    <row r="4138">
      <c r="A4138" s="1" t="s">
        <v>4194</v>
      </c>
      <c r="B4138" s="2" t="s">
        <v>4165</v>
      </c>
      <c r="C4138" s="2"/>
      <c r="D4138" s="2" t="s">
        <v>11</v>
      </c>
      <c r="E4138" s="2">
        <v>14.0</v>
      </c>
      <c r="F4138" s="2" t="s">
        <v>12</v>
      </c>
      <c r="G4138" s="2"/>
      <c r="H4138" s="2"/>
      <c r="I4138" s="2"/>
    </row>
    <row r="4139">
      <c r="A4139" s="1" t="s">
        <v>4194</v>
      </c>
      <c r="B4139" s="2" t="s">
        <v>4165</v>
      </c>
      <c r="C4139" s="2"/>
      <c r="D4139" s="2" t="s">
        <v>11</v>
      </c>
      <c r="E4139" s="2"/>
      <c r="F4139" s="2"/>
      <c r="G4139" s="2"/>
      <c r="H4139" s="2"/>
      <c r="I4139" s="2"/>
    </row>
    <row r="4140">
      <c r="A4140" s="1" t="s">
        <v>4195</v>
      </c>
      <c r="B4140" s="2" t="s">
        <v>4165</v>
      </c>
      <c r="C4140" s="2"/>
      <c r="D4140" s="2" t="s">
        <v>11</v>
      </c>
      <c r="E4140" s="2">
        <v>10.0</v>
      </c>
      <c r="F4140" s="2" t="s">
        <v>12</v>
      </c>
      <c r="G4140" s="2"/>
      <c r="H4140" s="2"/>
      <c r="I4140" s="2"/>
    </row>
    <row r="4141">
      <c r="A4141" s="1" t="s">
        <v>4196</v>
      </c>
      <c r="B4141" s="2" t="s">
        <v>4165</v>
      </c>
      <c r="C4141" s="2"/>
      <c r="D4141" s="2" t="s">
        <v>11</v>
      </c>
      <c r="E4141" s="2">
        <v>10.0</v>
      </c>
      <c r="F4141" s="2" t="s">
        <v>12</v>
      </c>
      <c r="G4141" s="2"/>
      <c r="H4141" s="2"/>
      <c r="I4141" s="2"/>
    </row>
    <row r="4142">
      <c r="A4142" s="1" t="s">
        <v>4197</v>
      </c>
      <c r="B4142" s="2" t="s">
        <v>4165</v>
      </c>
      <c r="C4142" s="2"/>
      <c r="D4142" s="2" t="s">
        <v>11</v>
      </c>
      <c r="E4142" s="2">
        <v>10.0</v>
      </c>
      <c r="F4142" s="2" t="s">
        <v>12</v>
      </c>
      <c r="G4142" s="2"/>
      <c r="H4142" s="2"/>
      <c r="I4142" s="2"/>
    </row>
    <row r="4143">
      <c r="A4143" s="1" t="s">
        <v>4198</v>
      </c>
      <c r="B4143" s="2" t="s">
        <v>4165</v>
      </c>
      <c r="C4143" s="2"/>
      <c r="D4143" s="2" t="s">
        <v>11</v>
      </c>
      <c r="E4143" s="2">
        <v>10.0</v>
      </c>
      <c r="F4143" s="2" t="s">
        <v>12</v>
      </c>
      <c r="G4143" s="2"/>
      <c r="H4143" s="2"/>
      <c r="I4143" s="2"/>
    </row>
    <row r="4144">
      <c r="A4144" s="1" t="s">
        <v>4199</v>
      </c>
      <c r="B4144" s="2" t="s">
        <v>4165</v>
      </c>
      <c r="C4144" s="2"/>
      <c r="D4144" s="2" t="s">
        <v>11</v>
      </c>
      <c r="E4144" s="2">
        <v>10.0</v>
      </c>
      <c r="F4144" s="2" t="s">
        <v>12</v>
      </c>
      <c r="G4144" s="2"/>
      <c r="H4144" s="2"/>
      <c r="I4144" s="2"/>
    </row>
    <row r="4145">
      <c r="A4145" s="1" t="s">
        <v>4200</v>
      </c>
      <c r="B4145" s="2" t="s">
        <v>4165</v>
      </c>
      <c r="C4145" s="2"/>
      <c r="D4145" s="2" t="s">
        <v>11</v>
      </c>
      <c r="E4145" s="2">
        <v>10.0</v>
      </c>
      <c r="F4145" s="2" t="s">
        <v>12</v>
      </c>
      <c r="G4145" s="2"/>
      <c r="H4145" s="2"/>
      <c r="I4145" s="2"/>
    </row>
    <row r="4146">
      <c r="A4146" s="1" t="s">
        <v>4201</v>
      </c>
      <c r="B4146" s="2" t="s">
        <v>4202</v>
      </c>
      <c r="C4146" s="2"/>
      <c r="D4146" s="2" t="s">
        <v>11</v>
      </c>
      <c r="E4146" s="2">
        <v>14.0</v>
      </c>
      <c r="F4146" s="2" t="s">
        <v>12</v>
      </c>
      <c r="G4146" s="2"/>
      <c r="H4146" s="2"/>
      <c r="I4146" s="2"/>
    </row>
    <row r="4147">
      <c r="A4147" s="1" t="s">
        <v>4203</v>
      </c>
      <c r="B4147" s="2" t="s">
        <v>4202</v>
      </c>
      <c r="C4147" s="2"/>
      <c r="D4147" s="2" t="s">
        <v>4204</v>
      </c>
      <c r="E4147" s="2">
        <v>1.0</v>
      </c>
      <c r="F4147" s="2"/>
      <c r="G4147" s="2"/>
      <c r="H4147" s="2"/>
      <c r="I4147" s="2"/>
    </row>
    <row r="4148">
      <c r="A4148" s="2" t="s">
        <v>4205</v>
      </c>
      <c r="B4148" s="2" t="s">
        <v>4202</v>
      </c>
      <c r="C4148" s="2"/>
      <c r="D4148" s="2" t="s">
        <v>11</v>
      </c>
      <c r="E4148" s="2">
        <v>14.0</v>
      </c>
      <c r="F4148" s="2" t="s">
        <v>12</v>
      </c>
      <c r="G4148" s="2"/>
      <c r="H4148" s="2"/>
      <c r="I4148" s="2"/>
    </row>
    <row r="4149">
      <c r="A4149" s="2" t="s">
        <v>4206</v>
      </c>
      <c r="B4149" s="2" t="s">
        <v>4202</v>
      </c>
      <c r="C4149" s="2"/>
      <c r="D4149" s="2" t="s">
        <v>11</v>
      </c>
      <c r="E4149" s="2">
        <v>10.0</v>
      </c>
      <c r="F4149" s="2" t="s">
        <v>12</v>
      </c>
      <c r="G4149" s="2"/>
      <c r="H4149" s="2"/>
      <c r="I4149" s="2"/>
    </row>
    <row r="4150">
      <c r="A4150" s="1" t="s">
        <v>4207</v>
      </c>
      <c r="B4150" s="2" t="s">
        <v>4202</v>
      </c>
      <c r="C4150" s="2"/>
      <c r="D4150" s="2" t="s">
        <v>11</v>
      </c>
      <c r="E4150" s="2">
        <v>10.0</v>
      </c>
      <c r="F4150" s="2" t="s">
        <v>12</v>
      </c>
      <c r="G4150" s="2"/>
      <c r="H4150" s="2"/>
      <c r="I4150" s="2"/>
    </row>
    <row r="4151">
      <c r="A4151" s="2" t="s">
        <v>4208</v>
      </c>
      <c r="B4151" s="2" t="s">
        <v>4202</v>
      </c>
      <c r="C4151" s="2"/>
      <c r="D4151" s="2" t="s">
        <v>11</v>
      </c>
      <c r="E4151" s="2">
        <v>10.0</v>
      </c>
      <c r="F4151" s="2" t="s">
        <v>12</v>
      </c>
      <c r="G4151" s="2"/>
      <c r="H4151" s="2"/>
      <c r="I4151" s="2"/>
    </row>
    <row r="4152">
      <c r="A4152" s="2" t="s">
        <v>4209</v>
      </c>
      <c r="B4152" s="2" t="s">
        <v>4202</v>
      </c>
      <c r="C4152" s="2"/>
      <c r="D4152" s="2" t="s">
        <v>11</v>
      </c>
      <c r="E4152" s="2">
        <v>10.0</v>
      </c>
      <c r="F4152" s="2" t="s">
        <v>12</v>
      </c>
      <c r="G4152" s="2"/>
      <c r="H4152" s="2"/>
      <c r="I4152" s="2"/>
    </row>
    <row r="4153">
      <c r="A4153" s="2" t="s">
        <v>4210</v>
      </c>
      <c r="B4153" s="2" t="s">
        <v>4202</v>
      </c>
      <c r="C4153" s="2"/>
      <c r="D4153" s="2" t="s">
        <v>11</v>
      </c>
      <c r="E4153" s="2">
        <v>10.0</v>
      </c>
      <c r="F4153" s="2" t="s">
        <v>12</v>
      </c>
      <c r="G4153" s="2"/>
      <c r="H4153" s="2"/>
      <c r="I4153" s="2"/>
    </row>
    <row r="4154">
      <c r="A4154" s="1" t="s">
        <v>4211</v>
      </c>
      <c r="B4154" s="2" t="s">
        <v>4202</v>
      </c>
      <c r="C4154" s="2"/>
      <c r="D4154" s="2" t="s">
        <v>11</v>
      </c>
      <c r="E4154" s="2">
        <v>10.0</v>
      </c>
      <c r="F4154" s="2" t="s">
        <v>12</v>
      </c>
      <c r="G4154" s="2"/>
      <c r="H4154" s="2"/>
      <c r="I4154" s="2"/>
    </row>
    <row r="4155">
      <c r="A4155" s="1" t="s">
        <v>4212</v>
      </c>
      <c r="B4155" s="2" t="s">
        <v>4202</v>
      </c>
      <c r="C4155" s="2"/>
      <c r="D4155" s="2" t="s">
        <v>11</v>
      </c>
      <c r="E4155" s="2">
        <v>10.0</v>
      </c>
      <c r="F4155" s="2" t="s">
        <v>12</v>
      </c>
      <c r="G4155" s="2"/>
      <c r="H4155" s="2"/>
      <c r="I4155" s="2"/>
    </row>
    <row r="4156">
      <c r="A4156" s="1" t="s">
        <v>4213</v>
      </c>
      <c r="B4156" s="2" t="s">
        <v>4202</v>
      </c>
      <c r="C4156" s="2"/>
      <c r="D4156" s="2" t="s">
        <v>11</v>
      </c>
      <c r="E4156" s="2">
        <v>10.0</v>
      </c>
      <c r="F4156" s="2" t="s">
        <v>12</v>
      </c>
      <c r="G4156" s="2"/>
      <c r="H4156" s="2"/>
      <c r="I4156" s="2"/>
    </row>
    <row r="4157">
      <c r="A4157" s="1" t="s">
        <v>4214</v>
      </c>
      <c r="B4157" s="2" t="s">
        <v>4202</v>
      </c>
      <c r="C4157" s="2"/>
      <c r="D4157" s="2" t="s">
        <v>11</v>
      </c>
      <c r="E4157" s="2">
        <v>10.0</v>
      </c>
      <c r="F4157" s="2" t="s">
        <v>12</v>
      </c>
      <c r="G4157" s="2"/>
      <c r="H4157" s="2"/>
      <c r="I4157" s="2"/>
    </row>
    <row r="4158">
      <c r="A4158" s="1" t="s">
        <v>4215</v>
      </c>
      <c r="B4158" s="2" t="s">
        <v>4202</v>
      </c>
      <c r="C4158" s="2"/>
      <c r="D4158" s="2" t="s">
        <v>11</v>
      </c>
      <c r="E4158" s="2">
        <v>10.0</v>
      </c>
      <c r="F4158" s="2" t="s">
        <v>12</v>
      </c>
      <c r="G4158" s="2"/>
      <c r="H4158" s="2"/>
      <c r="I4158" s="2"/>
    </row>
    <row r="4159">
      <c r="A4159" s="1" t="s">
        <v>4216</v>
      </c>
      <c r="B4159" s="2" t="s">
        <v>4202</v>
      </c>
      <c r="C4159" s="2"/>
      <c r="D4159" s="2" t="s">
        <v>11</v>
      </c>
      <c r="E4159" s="2">
        <v>10.0</v>
      </c>
      <c r="F4159" s="2" t="s">
        <v>12</v>
      </c>
      <c r="G4159" s="2"/>
      <c r="H4159" s="2"/>
      <c r="I4159" s="2"/>
    </row>
    <row r="4160">
      <c r="A4160" s="1" t="s">
        <v>4217</v>
      </c>
      <c r="B4160" s="2" t="s">
        <v>4202</v>
      </c>
      <c r="C4160" s="2"/>
      <c r="D4160" s="2" t="s">
        <v>11</v>
      </c>
      <c r="E4160" s="2">
        <v>10.0</v>
      </c>
      <c r="F4160" s="2" t="s">
        <v>12</v>
      </c>
      <c r="G4160" s="2"/>
      <c r="H4160" s="2"/>
      <c r="I4160" s="2"/>
    </row>
    <row r="4161">
      <c r="A4161" s="1" t="s">
        <v>4218</v>
      </c>
      <c r="B4161" s="2" t="s">
        <v>4202</v>
      </c>
      <c r="C4161" s="2"/>
      <c r="D4161" s="2" t="s">
        <v>11</v>
      </c>
      <c r="E4161" s="2">
        <v>10.0</v>
      </c>
      <c r="F4161" s="2" t="s">
        <v>12</v>
      </c>
      <c r="G4161" s="2"/>
      <c r="H4161" s="2"/>
      <c r="I4161" s="2"/>
    </row>
    <row r="4162">
      <c r="A4162" s="1" t="s">
        <v>4219</v>
      </c>
      <c r="B4162" s="2" t="s">
        <v>4202</v>
      </c>
      <c r="C4162" s="2"/>
      <c r="D4162" s="2" t="s">
        <v>11</v>
      </c>
      <c r="E4162" s="2">
        <v>10.0</v>
      </c>
      <c r="F4162" s="2" t="s">
        <v>12</v>
      </c>
      <c r="G4162" s="2"/>
      <c r="H4162" s="2"/>
      <c r="I4162" s="2"/>
    </row>
    <row r="4163">
      <c r="A4163" s="1" t="s">
        <v>4220</v>
      </c>
      <c r="B4163" s="2" t="s">
        <v>4202</v>
      </c>
      <c r="C4163" s="2"/>
      <c r="D4163" s="2" t="s">
        <v>11</v>
      </c>
      <c r="E4163" s="2">
        <v>10.0</v>
      </c>
      <c r="F4163" s="2" t="s">
        <v>12</v>
      </c>
      <c r="G4163" s="2"/>
      <c r="H4163" s="2"/>
      <c r="I4163" s="2"/>
    </row>
    <row r="4164">
      <c r="A4164" s="1" t="s">
        <v>4221</v>
      </c>
      <c r="B4164" s="2" t="s">
        <v>4202</v>
      </c>
      <c r="C4164" s="2"/>
      <c r="D4164" s="2" t="s">
        <v>11</v>
      </c>
      <c r="E4164" s="2">
        <v>10.0</v>
      </c>
      <c r="F4164" s="2" t="s">
        <v>12</v>
      </c>
      <c r="G4164" s="2"/>
      <c r="H4164" s="2"/>
      <c r="I4164" s="2"/>
    </row>
    <row r="4165">
      <c r="A4165" s="2" t="s">
        <v>4222</v>
      </c>
      <c r="B4165" s="2" t="s">
        <v>4202</v>
      </c>
      <c r="C4165" s="2"/>
      <c r="D4165" s="2" t="s">
        <v>11</v>
      </c>
      <c r="E4165" s="2">
        <v>10.0</v>
      </c>
      <c r="F4165" s="2" t="s">
        <v>12</v>
      </c>
      <c r="G4165" s="2"/>
      <c r="H4165" s="2"/>
      <c r="I4165" s="2"/>
    </row>
    <row r="4166">
      <c r="A4166" s="2" t="s">
        <v>4223</v>
      </c>
      <c r="B4166" s="2" t="s">
        <v>4202</v>
      </c>
      <c r="C4166" s="2"/>
      <c r="D4166" s="2" t="s">
        <v>11</v>
      </c>
      <c r="E4166" s="2">
        <v>10.0</v>
      </c>
      <c r="F4166" s="2" t="s">
        <v>12</v>
      </c>
      <c r="G4166" s="2"/>
      <c r="H4166" s="2"/>
      <c r="I4166" s="2"/>
    </row>
    <row r="4167">
      <c r="A4167" s="1" t="s">
        <v>4224</v>
      </c>
      <c r="B4167" s="2" t="s">
        <v>4202</v>
      </c>
      <c r="C4167" s="2"/>
      <c r="D4167" s="2" t="s">
        <v>11</v>
      </c>
      <c r="E4167" s="2">
        <v>10.0</v>
      </c>
      <c r="F4167" s="2" t="s">
        <v>12</v>
      </c>
      <c r="G4167" s="2"/>
      <c r="H4167" s="2"/>
      <c r="I4167" s="2"/>
    </row>
    <row r="4168">
      <c r="A4168" s="1" t="s">
        <v>4225</v>
      </c>
      <c r="B4168" s="2" t="s">
        <v>4202</v>
      </c>
      <c r="C4168" s="2"/>
      <c r="D4168" s="2" t="s">
        <v>11</v>
      </c>
      <c r="E4168" s="2">
        <v>10.0</v>
      </c>
      <c r="F4168" s="2" t="s">
        <v>12</v>
      </c>
      <c r="G4168" s="2"/>
      <c r="H4168" s="2"/>
      <c r="I4168" s="2"/>
    </row>
    <row r="4169">
      <c r="A4169" s="1" t="s">
        <v>4226</v>
      </c>
      <c r="B4169" s="2" t="s">
        <v>4202</v>
      </c>
      <c r="C4169" s="2"/>
      <c r="D4169" s="2" t="s">
        <v>11</v>
      </c>
      <c r="E4169" s="2">
        <v>10.0</v>
      </c>
      <c r="F4169" s="2" t="s">
        <v>12</v>
      </c>
      <c r="G4169" s="2"/>
      <c r="H4169" s="2"/>
      <c r="I4169" s="2"/>
    </row>
    <row r="4170">
      <c r="A4170" s="2" t="s">
        <v>4227</v>
      </c>
      <c r="B4170" s="2" t="s">
        <v>4202</v>
      </c>
      <c r="C4170" s="2"/>
      <c r="D4170" s="2" t="s">
        <v>11</v>
      </c>
      <c r="E4170" s="2">
        <v>10.0</v>
      </c>
      <c r="F4170" s="2" t="s">
        <v>12</v>
      </c>
      <c r="G4170" s="2"/>
      <c r="H4170" s="2"/>
      <c r="I4170" s="2"/>
    </row>
    <row r="4171">
      <c r="A4171" s="1" t="s">
        <v>4228</v>
      </c>
      <c r="B4171" s="2" t="s">
        <v>4202</v>
      </c>
      <c r="C4171" s="2"/>
      <c r="D4171" s="2" t="s">
        <v>11</v>
      </c>
      <c r="E4171" s="2">
        <v>10.0</v>
      </c>
      <c r="F4171" s="2" t="s">
        <v>12</v>
      </c>
      <c r="G4171" s="2"/>
      <c r="H4171" s="2"/>
      <c r="I4171" s="2"/>
    </row>
    <row r="4172">
      <c r="A4172" s="1" t="s">
        <v>4229</v>
      </c>
      <c r="B4172" s="2" t="s">
        <v>4202</v>
      </c>
      <c r="C4172" s="2"/>
      <c r="D4172" s="2" t="s">
        <v>11</v>
      </c>
      <c r="E4172" s="2">
        <v>10.0</v>
      </c>
      <c r="F4172" s="2" t="s">
        <v>12</v>
      </c>
      <c r="G4172" s="2"/>
      <c r="H4172" s="2"/>
      <c r="I4172" s="2"/>
    </row>
    <row r="4173">
      <c r="A4173" s="1" t="s">
        <v>4230</v>
      </c>
      <c r="B4173" s="2" t="s">
        <v>4202</v>
      </c>
      <c r="C4173" s="2"/>
      <c r="D4173" s="2" t="s">
        <v>11</v>
      </c>
      <c r="E4173" s="2">
        <v>10.0</v>
      </c>
      <c r="F4173" s="2" t="s">
        <v>12</v>
      </c>
      <c r="G4173" s="2"/>
      <c r="H4173" s="2"/>
      <c r="I4173" s="2"/>
    </row>
    <row r="4174">
      <c r="A4174" s="1" t="s">
        <v>4231</v>
      </c>
      <c r="B4174" s="2" t="s">
        <v>4202</v>
      </c>
      <c r="C4174" s="2"/>
      <c r="D4174" s="2" t="s">
        <v>11</v>
      </c>
      <c r="E4174" s="2">
        <v>10.0</v>
      </c>
      <c r="F4174" s="2" t="s">
        <v>12</v>
      </c>
      <c r="G4174" s="2"/>
      <c r="H4174" s="2"/>
      <c r="I4174" s="2"/>
    </row>
    <row r="4175">
      <c r="A4175" s="1" t="s">
        <v>4232</v>
      </c>
      <c r="B4175" s="2" t="s">
        <v>4202</v>
      </c>
      <c r="C4175" s="2"/>
      <c r="D4175" s="2" t="s">
        <v>11</v>
      </c>
      <c r="E4175" s="2">
        <v>10.0</v>
      </c>
      <c r="F4175" s="2" t="s">
        <v>12</v>
      </c>
      <c r="G4175" s="2"/>
      <c r="H4175" s="2"/>
      <c r="I4175" s="2"/>
    </row>
    <row r="4176">
      <c r="A4176" s="1" t="s">
        <v>4233</v>
      </c>
      <c r="B4176" s="2" t="s">
        <v>4202</v>
      </c>
      <c r="C4176" s="2"/>
      <c r="D4176" s="2" t="s">
        <v>11</v>
      </c>
      <c r="E4176" s="2">
        <v>10.0</v>
      </c>
      <c r="F4176" s="2" t="s">
        <v>12</v>
      </c>
      <c r="G4176" s="2"/>
      <c r="H4176" s="2"/>
      <c r="I4176" s="2"/>
    </row>
    <row r="4177">
      <c r="A4177" s="1" t="s">
        <v>4234</v>
      </c>
      <c r="B4177" s="2" t="s">
        <v>4235</v>
      </c>
      <c r="C4177" s="2"/>
      <c r="D4177" s="2" t="s">
        <v>11</v>
      </c>
      <c r="E4177" s="2">
        <v>10.0</v>
      </c>
      <c r="F4177" s="2" t="s">
        <v>12</v>
      </c>
      <c r="G4177" s="2"/>
      <c r="H4177" s="2"/>
      <c r="I4177" s="2"/>
    </row>
    <row r="4178">
      <c r="A4178" s="1" t="s">
        <v>4236</v>
      </c>
      <c r="B4178" s="2" t="s">
        <v>4235</v>
      </c>
      <c r="C4178" s="2"/>
      <c r="D4178" s="2" t="s">
        <v>11</v>
      </c>
      <c r="E4178" s="2">
        <v>10.0</v>
      </c>
      <c r="F4178" s="2" t="s">
        <v>12</v>
      </c>
      <c r="G4178" s="2"/>
      <c r="H4178" s="2"/>
      <c r="I4178" s="2"/>
    </row>
    <row r="4179">
      <c r="A4179" s="1" t="s">
        <v>4237</v>
      </c>
      <c r="B4179" s="2" t="s">
        <v>4235</v>
      </c>
      <c r="C4179" s="2"/>
      <c r="D4179" s="2" t="s">
        <v>11</v>
      </c>
      <c r="E4179" s="2">
        <v>10.0</v>
      </c>
      <c r="F4179" s="2" t="s">
        <v>12</v>
      </c>
      <c r="G4179" s="2"/>
      <c r="H4179" s="2"/>
      <c r="I4179" s="2"/>
    </row>
    <row r="4180">
      <c r="A4180" s="1" t="s">
        <v>4238</v>
      </c>
      <c r="B4180" s="2" t="s">
        <v>4235</v>
      </c>
      <c r="C4180" s="2"/>
      <c r="D4180" s="2" t="s">
        <v>11</v>
      </c>
      <c r="E4180" s="2">
        <v>10.0</v>
      </c>
      <c r="F4180" s="2" t="s">
        <v>12</v>
      </c>
      <c r="G4180" s="2"/>
      <c r="H4180" s="2"/>
      <c r="I4180" s="2"/>
    </row>
    <row r="4181">
      <c r="A4181" s="1" t="s">
        <v>4239</v>
      </c>
      <c r="B4181" s="2" t="s">
        <v>4235</v>
      </c>
      <c r="C4181" s="2"/>
      <c r="D4181" s="2" t="s">
        <v>37</v>
      </c>
      <c r="E4181" s="2">
        <v>10.0</v>
      </c>
      <c r="F4181" s="2" t="s">
        <v>12</v>
      </c>
      <c r="G4181" s="2"/>
      <c r="H4181" s="2"/>
      <c r="I4181" s="2"/>
    </row>
    <row r="4182">
      <c r="A4182" s="1" t="s">
        <v>4240</v>
      </c>
      <c r="B4182" s="2" t="s">
        <v>4235</v>
      </c>
      <c r="C4182" s="2"/>
      <c r="D4182" s="2" t="s">
        <v>37</v>
      </c>
      <c r="E4182" s="2">
        <v>10.0</v>
      </c>
      <c r="F4182" s="2" t="s">
        <v>12</v>
      </c>
      <c r="G4182" s="2"/>
      <c r="H4182" s="2"/>
      <c r="I4182" s="2"/>
    </row>
    <row r="4183">
      <c r="A4183" s="1" t="s">
        <v>4241</v>
      </c>
      <c r="B4183" s="2" t="s">
        <v>4235</v>
      </c>
      <c r="C4183" s="2"/>
      <c r="D4183" s="2" t="s">
        <v>11</v>
      </c>
      <c r="E4183" s="2">
        <v>10.0</v>
      </c>
      <c r="F4183" s="2" t="s">
        <v>12</v>
      </c>
      <c r="G4183" s="2"/>
      <c r="H4183" s="2"/>
      <c r="I4183" s="2"/>
    </row>
    <row r="4184">
      <c r="A4184" s="1" t="s">
        <v>4242</v>
      </c>
      <c r="B4184" s="2" t="s">
        <v>4243</v>
      </c>
      <c r="C4184" s="2"/>
      <c r="D4184" s="2" t="s">
        <v>11</v>
      </c>
      <c r="E4184" s="2">
        <v>10.0</v>
      </c>
      <c r="F4184" s="2" t="s">
        <v>12</v>
      </c>
      <c r="G4184" s="2"/>
      <c r="H4184" s="2"/>
      <c r="I4184" s="2"/>
    </row>
    <row r="4185">
      <c r="A4185" s="2" t="s">
        <v>4244</v>
      </c>
      <c r="B4185" s="2" t="s">
        <v>4243</v>
      </c>
      <c r="C4185" s="2"/>
      <c r="D4185" s="2" t="s">
        <v>11</v>
      </c>
      <c r="E4185" s="2">
        <v>10.0</v>
      </c>
      <c r="F4185" s="2" t="s">
        <v>12</v>
      </c>
      <c r="G4185" s="2"/>
      <c r="H4185" s="2"/>
      <c r="I4185" s="2"/>
    </row>
    <row r="4186">
      <c r="A4186" s="1" t="s">
        <v>4245</v>
      </c>
      <c r="B4186" s="2" t="s">
        <v>4243</v>
      </c>
      <c r="C4186" s="2"/>
      <c r="D4186" s="2" t="s">
        <v>11</v>
      </c>
      <c r="E4186" s="2">
        <v>10.0</v>
      </c>
      <c r="F4186" s="2" t="s">
        <v>12</v>
      </c>
      <c r="G4186" s="2"/>
      <c r="H4186" s="2"/>
      <c r="I4186" s="2"/>
    </row>
    <row r="4187">
      <c r="A4187" s="1" t="s">
        <v>4246</v>
      </c>
      <c r="B4187" s="2" t="s">
        <v>4243</v>
      </c>
      <c r="C4187" s="2"/>
      <c r="D4187" s="2" t="s">
        <v>11</v>
      </c>
      <c r="E4187" s="2">
        <v>10.0</v>
      </c>
      <c r="F4187" s="2" t="s">
        <v>12</v>
      </c>
      <c r="G4187" s="2"/>
      <c r="H4187" s="2"/>
      <c r="I4187" s="2"/>
    </row>
    <row r="4188">
      <c r="A4188" s="1" t="s">
        <v>4247</v>
      </c>
      <c r="B4188" s="2" t="s">
        <v>4243</v>
      </c>
      <c r="C4188" s="2"/>
      <c r="D4188" s="2" t="s">
        <v>11</v>
      </c>
      <c r="E4188" s="2">
        <v>20.0</v>
      </c>
      <c r="F4188" s="2" t="s">
        <v>12</v>
      </c>
      <c r="G4188" s="2"/>
      <c r="H4188" s="2"/>
      <c r="I4188" s="2"/>
    </row>
    <row r="4189">
      <c r="A4189" s="1" t="s">
        <v>4248</v>
      </c>
      <c r="B4189" s="2" t="s">
        <v>4243</v>
      </c>
      <c r="C4189" s="2"/>
      <c r="D4189" s="2" t="s">
        <v>37</v>
      </c>
      <c r="E4189" s="2">
        <v>20.0</v>
      </c>
      <c r="F4189" s="2" t="s">
        <v>12</v>
      </c>
      <c r="G4189" s="2"/>
      <c r="H4189" s="2"/>
      <c r="I4189" s="2"/>
    </row>
    <row r="4190">
      <c r="A4190" s="1" t="s">
        <v>4249</v>
      </c>
      <c r="B4190" s="2" t="s">
        <v>4243</v>
      </c>
      <c r="C4190" s="2"/>
      <c r="D4190" s="2" t="s">
        <v>37</v>
      </c>
      <c r="E4190" s="2">
        <v>10.0</v>
      </c>
      <c r="F4190" s="2" t="s">
        <v>12</v>
      </c>
      <c r="G4190" s="2"/>
      <c r="H4190" s="2"/>
      <c r="I4190" s="2"/>
    </row>
    <row r="4191">
      <c r="A4191" s="1" t="s">
        <v>4250</v>
      </c>
      <c r="B4191" s="2" t="s">
        <v>4243</v>
      </c>
      <c r="C4191" s="2"/>
      <c r="D4191" s="2" t="s">
        <v>37</v>
      </c>
      <c r="E4191" s="2">
        <v>10.0</v>
      </c>
      <c r="F4191" s="2" t="s">
        <v>12</v>
      </c>
      <c r="G4191" s="2"/>
      <c r="H4191" s="2"/>
      <c r="I4191" s="2"/>
    </row>
    <row r="4192">
      <c r="A4192" s="1" t="s">
        <v>4251</v>
      </c>
      <c r="B4192" s="2" t="s">
        <v>4243</v>
      </c>
      <c r="C4192" s="2"/>
      <c r="D4192" s="2" t="s">
        <v>37</v>
      </c>
      <c r="E4192" s="2">
        <v>10.0</v>
      </c>
      <c r="F4192" s="2" t="s">
        <v>12</v>
      </c>
      <c r="G4192" s="2"/>
      <c r="H4192" s="2"/>
      <c r="I4192" s="2"/>
    </row>
    <row r="4193">
      <c r="A4193" s="1" t="s">
        <v>4252</v>
      </c>
      <c r="B4193" s="2" t="s">
        <v>4243</v>
      </c>
      <c r="C4193" s="2"/>
      <c r="D4193" s="2" t="s">
        <v>37</v>
      </c>
      <c r="E4193" s="2">
        <v>10.0</v>
      </c>
      <c r="F4193" s="2" t="s">
        <v>12</v>
      </c>
      <c r="G4193" s="2"/>
      <c r="H4193" s="2"/>
      <c r="I4193" s="2"/>
    </row>
    <row r="4194">
      <c r="A4194" s="1" t="s">
        <v>4253</v>
      </c>
      <c r="B4194" s="2" t="s">
        <v>4243</v>
      </c>
      <c r="C4194" s="2"/>
      <c r="D4194" s="2" t="s">
        <v>11</v>
      </c>
      <c r="E4194" s="2">
        <v>10.0</v>
      </c>
      <c r="F4194" s="2" t="s">
        <v>12</v>
      </c>
      <c r="G4194" s="2"/>
      <c r="H4194" s="2"/>
      <c r="I4194" s="2"/>
    </row>
    <row r="4195">
      <c r="A4195" s="1" t="s">
        <v>4254</v>
      </c>
      <c r="B4195" s="2" t="s">
        <v>4243</v>
      </c>
      <c r="C4195" s="2"/>
      <c r="D4195" s="2" t="s">
        <v>37</v>
      </c>
      <c r="E4195" s="2">
        <v>10.0</v>
      </c>
      <c r="F4195" s="2" t="s">
        <v>12</v>
      </c>
      <c r="G4195" s="2"/>
      <c r="H4195" s="2"/>
      <c r="I4195" s="2"/>
    </row>
    <row r="4196">
      <c r="A4196" s="2" t="s">
        <v>4255</v>
      </c>
      <c r="B4196" s="2" t="s">
        <v>4243</v>
      </c>
      <c r="C4196" s="2"/>
      <c r="D4196" s="2" t="s">
        <v>37</v>
      </c>
      <c r="E4196" s="2">
        <v>10.0</v>
      </c>
      <c r="F4196" s="2" t="s">
        <v>12</v>
      </c>
      <c r="G4196" s="2"/>
      <c r="H4196" s="2"/>
      <c r="I4196" s="2"/>
    </row>
    <row r="4197">
      <c r="A4197" s="2" t="s">
        <v>4256</v>
      </c>
      <c r="B4197" s="2" t="s">
        <v>4243</v>
      </c>
      <c r="C4197" s="2"/>
      <c r="D4197" s="2" t="s">
        <v>37</v>
      </c>
      <c r="E4197" s="2">
        <v>10.0</v>
      </c>
      <c r="F4197" s="2" t="s">
        <v>12</v>
      </c>
      <c r="G4197" s="2"/>
      <c r="H4197" s="2"/>
      <c r="I4197" s="2"/>
    </row>
    <row r="4198">
      <c r="A4198" s="1" t="s">
        <v>4257</v>
      </c>
      <c r="B4198" s="2" t="s">
        <v>4243</v>
      </c>
      <c r="C4198" s="2"/>
      <c r="D4198" s="2" t="s">
        <v>11</v>
      </c>
      <c r="E4198" s="2">
        <v>10.0</v>
      </c>
      <c r="F4198" s="2" t="s">
        <v>12</v>
      </c>
      <c r="G4198" s="2"/>
      <c r="H4198" s="2"/>
      <c r="I4198" s="2"/>
    </row>
    <row r="4199">
      <c r="A4199" s="1" t="s">
        <v>4258</v>
      </c>
      <c r="B4199" s="2" t="s">
        <v>4243</v>
      </c>
      <c r="C4199" s="2"/>
      <c r="D4199" s="2" t="s">
        <v>11</v>
      </c>
      <c r="E4199" s="2">
        <v>10.0</v>
      </c>
      <c r="F4199" s="2" t="s">
        <v>12</v>
      </c>
      <c r="G4199" s="2"/>
      <c r="H4199" s="2"/>
      <c r="I4199" s="2"/>
    </row>
    <row r="4200">
      <c r="A4200" s="1" t="s">
        <v>4259</v>
      </c>
      <c r="B4200" s="2" t="s">
        <v>4243</v>
      </c>
      <c r="C4200" s="2"/>
      <c r="D4200" s="2" t="s">
        <v>37</v>
      </c>
      <c r="E4200" s="2">
        <v>10.0</v>
      </c>
      <c r="F4200" s="2" t="s">
        <v>12</v>
      </c>
      <c r="G4200" s="2"/>
      <c r="H4200" s="2"/>
      <c r="I4200" s="2"/>
    </row>
    <row r="4201">
      <c r="A4201" s="1" t="s">
        <v>4260</v>
      </c>
      <c r="B4201" s="2" t="s">
        <v>4243</v>
      </c>
      <c r="C4201" s="2"/>
      <c r="D4201" s="2" t="s">
        <v>37</v>
      </c>
      <c r="E4201" s="2">
        <v>10.0</v>
      </c>
      <c r="F4201" s="2" t="s">
        <v>12</v>
      </c>
      <c r="G4201" s="2"/>
      <c r="H4201" s="2"/>
      <c r="I4201" s="2"/>
    </row>
    <row r="4202">
      <c r="A4202" s="1" t="s">
        <v>4261</v>
      </c>
      <c r="B4202" s="2" t="s">
        <v>4262</v>
      </c>
      <c r="C4202" s="2"/>
      <c r="D4202" s="1" t="s">
        <v>11</v>
      </c>
      <c r="E4202" s="2">
        <v>4.0</v>
      </c>
      <c r="F4202" s="2" t="s">
        <v>12</v>
      </c>
      <c r="G4202" s="2"/>
      <c r="H4202" s="2"/>
      <c r="I4202" s="2"/>
    </row>
    <row r="4203">
      <c r="A4203" s="1" t="s">
        <v>4263</v>
      </c>
      <c r="B4203" s="2" t="s">
        <v>4262</v>
      </c>
      <c r="C4203" s="2"/>
      <c r="D4203" s="1" t="s">
        <v>11</v>
      </c>
      <c r="E4203" s="2">
        <v>4.0</v>
      </c>
      <c r="F4203" s="2" t="s">
        <v>12</v>
      </c>
      <c r="G4203" s="2"/>
      <c r="H4203" s="2"/>
      <c r="I4203" s="2"/>
    </row>
    <row r="4204">
      <c r="A4204" s="2" t="s">
        <v>4264</v>
      </c>
      <c r="B4204" s="2" t="s">
        <v>4262</v>
      </c>
      <c r="C4204" s="2"/>
      <c r="D4204" s="2" t="s">
        <v>37</v>
      </c>
      <c r="E4204" s="2">
        <v>10.0</v>
      </c>
      <c r="F4204" s="2" t="s">
        <v>12</v>
      </c>
      <c r="G4204" s="2"/>
      <c r="H4204" s="2"/>
      <c r="I4204" s="2"/>
    </row>
    <row r="4205">
      <c r="A4205" s="1" t="s">
        <v>4265</v>
      </c>
      <c r="B4205" s="2" t="s">
        <v>4262</v>
      </c>
      <c r="C4205" s="2"/>
      <c r="D4205" s="2" t="s">
        <v>11</v>
      </c>
      <c r="E4205" s="2">
        <v>21.0</v>
      </c>
      <c r="F4205" s="2" t="s">
        <v>12</v>
      </c>
      <c r="G4205" s="2"/>
      <c r="H4205" s="2"/>
      <c r="I4205" s="2"/>
    </row>
    <row r="4206">
      <c r="A4206" s="1" t="s">
        <v>4266</v>
      </c>
      <c r="B4206" s="2" t="s">
        <v>4262</v>
      </c>
      <c r="C4206" s="2"/>
      <c r="D4206" s="2" t="s">
        <v>11</v>
      </c>
      <c r="E4206" s="2">
        <v>5.0</v>
      </c>
      <c r="F4206" s="2" t="s">
        <v>12</v>
      </c>
      <c r="G4206" s="2"/>
      <c r="H4206" s="2"/>
      <c r="I4206" s="2"/>
    </row>
    <row r="4207">
      <c r="A4207" s="2" t="s">
        <v>4267</v>
      </c>
      <c r="B4207" s="2" t="s">
        <v>4262</v>
      </c>
      <c r="C4207" s="1"/>
      <c r="D4207" s="2"/>
      <c r="E4207" s="2"/>
      <c r="F4207" s="2"/>
      <c r="G4207" s="2"/>
      <c r="H4207" s="2"/>
      <c r="I4207" s="2"/>
    </row>
    <row r="4208">
      <c r="A4208" s="2" t="s">
        <v>4268</v>
      </c>
      <c r="B4208" s="2" t="s">
        <v>4262</v>
      </c>
      <c r="C4208" s="1"/>
      <c r="D4208" s="2"/>
      <c r="E4208" s="2"/>
      <c r="F4208" s="2"/>
      <c r="G4208" s="2"/>
      <c r="H4208" s="2"/>
      <c r="I4208" s="2"/>
    </row>
    <row r="4209">
      <c r="A4209" s="2" t="s">
        <v>4269</v>
      </c>
      <c r="B4209" s="2" t="s">
        <v>4262</v>
      </c>
      <c r="C4209" s="2"/>
      <c r="D4209" s="2" t="s">
        <v>11</v>
      </c>
      <c r="E4209" s="2">
        <v>10.0</v>
      </c>
      <c r="F4209" s="2" t="s">
        <v>12</v>
      </c>
      <c r="G4209" s="2"/>
      <c r="H4209" s="2"/>
      <c r="I4209" s="2"/>
    </row>
    <row r="4210">
      <c r="A4210" s="2" t="s">
        <v>4270</v>
      </c>
      <c r="B4210" s="2" t="s">
        <v>4262</v>
      </c>
      <c r="C4210" s="2"/>
      <c r="D4210" s="2" t="s">
        <v>11</v>
      </c>
      <c r="E4210" s="2">
        <v>10.0</v>
      </c>
      <c r="F4210" s="2" t="s">
        <v>12</v>
      </c>
      <c r="G4210" s="2"/>
      <c r="H4210" s="2"/>
      <c r="I4210" s="2"/>
    </row>
    <row r="4211">
      <c r="A4211" s="2" t="s">
        <v>4271</v>
      </c>
      <c r="B4211" s="2" t="s">
        <v>4262</v>
      </c>
      <c r="C4211" s="2"/>
      <c r="D4211" s="2" t="s">
        <v>37</v>
      </c>
      <c r="E4211" s="2">
        <v>10.0</v>
      </c>
      <c r="F4211" s="2" t="s">
        <v>12</v>
      </c>
      <c r="G4211" s="2"/>
      <c r="H4211" s="2"/>
      <c r="I4211" s="2"/>
    </row>
    <row r="4212">
      <c r="A4212" s="2" t="s">
        <v>4272</v>
      </c>
      <c r="B4212" s="2" t="s">
        <v>4262</v>
      </c>
      <c r="C4212" s="2"/>
      <c r="D4212" s="2" t="s">
        <v>11</v>
      </c>
      <c r="E4212" s="2">
        <v>10.0</v>
      </c>
      <c r="F4212" s="2" t="s">
        <v>12</v>
      </c>
      <c r="G4212" s="2"/>
      <c r="H4212" s="2"/>
      <c r="I4212" s="2"/>
    </row>
    <row r="4213">
      <c r="A4213" s="2" t="s">
        <v>4273</v>
      </c>
      <c r="B4213" s="2" t="s">
        <v>4262</v>
      </c>
      <c r="C4213" s="2"/>
      <c r="D4213" s="2" t="s">
        <v>11</v>
      </c>
      <c r="E4213" s="2">
        <v>10.0</v>
      </c>
      <c r="F4213" s="2" t="s">
        <v>12</v>
      </c>
      <c r="G4213" s="2"/>
      <c r="H4213" s="2"/>
      <c r="I4213" s="2"/>
    </row>
    <row r="4214">
      <c r="A4214" s="1" t="s">
        <v>4274</v>
      </c>
      <c r="B4214" s="2" t="s">
        <v>4262</v>
      </c>
      <c r="C4214" s="2"/>
      <c r="D4214" s="2" t="s">
        <v>11</v>
      </c>
      <c r="E4214" s="2">
        <v>10.0</v>
      </c>
      <c r="F4214" s="2" t="s">
        <v>12</v>
      </c>
      <c r="G4214" s="2"/>
      <c r="H4214" s="2"/>
      <c r="I4214" s="2"/>
    </row>
    <row r="4215">
      <c r="A4215" s="2" t="s">
        <v>4275</v>
      </c>
      <c r="B4215" s="2" t="s">
        <v>4262</v>
      </c>
      <c r="C4215" s="1"/>
      <c r="D4215" s="2"/>
      <c r="E4215" s="2"/>
      <c r="F4215" s="2"/>
      <c r="G4215" s="2"/>
      <c r="H4215" s="2"/>
      <c r="I4215" s="2"/>
    </row>
    <row r="4216">
      <c r="A4216" s="2" t="s">
        <v>4276</v>
      </c>
      <c r="B4216" s="2" t="s">
        <v>4262</v>
      </c>
      <c r="C4216" s="1"/>
      <c r="D4216" s="2"/>
      <c r="E4216" s="2"/>
      <c r="F4216" s="2"/>
      <c r="G4216" s="2"/>
      <c r="H4216" s="2"/>
      <c r="I4216" s="2"/>
    </row>
    <row r="4217">
      <c r="A4217" s="2" t="s">
        <v>4277</v>
      </c>
      <c r="B4217" s="2" t="s">
        <v>4262</v>
      </c>
      <c r="C4217" s="2"/>
      <c r="D4217" s="2" t="s">
        <v>37</v>
      </c>
      <c r="E4217" s="2">
        <v>10.0</v>
      </c>
      <c r="F4217" s="2" t="s">
        <v>12</v>
      </c>
      <c r="G4217" s="2"/>
      <c r="H4217" s="2"/>
      <c r="I4217" s="2"/>
    </row>
    <row r="4218">
      <c r="A4218" s="2" t="s">
        <v>4278</v>
      </c>
      <c r="B4218" s="2" t="s">
        <v>4279</v>
      </c>
      <c r="C4218" s="1"/>
      <c r="D4218" s="2"/>
      <c r="E4218" s="2"/>
      <c r="F4218" s="2"/>
      <c r="G4218" s="2"/>
      <c r="H4218" s="2"/>
      <c r="I4218" s="2"/>
    </row>
    <row r="4219">
      <c r="A4219" s="2" t="s">
        <v>4280</v>
      </c>
      <c r="B4219" s="2" t="s">
        <v>4279</v>
      </c>
      <c r="C4219" s="1"/>
      <c r="D4219" s="2"/>
      <c r="E4219" s="2"/>
      <c r="F4219" s="2"/>
      <c r="G4219" s="2"/>
      <c r="H4219" s="2"/>
      <c r="I4219" s="2"/>
    </row>
    <row r="4220">
      <c r="A4220" s="2" t="s">
        <v>4281</v>
      </c>
      <c r="B4220" s="2" t="s">
        <v>4279</v>
      </c>
      <c r="C4220" s="2"/>
      <c r="D4220" s="1" t="s">
        <v>22</v>
      </c>
      <c r="E4220" s="2">
        <v>1.0</v>
      </c>
      <c r="F4220" s="2" t="s">
        <v>22</v>
      </c>
      <c r="G4220" s="2"/>
      <c r="H4220" s="2"/>
      <c r="I4220" s="2"/>
    </row>
    <row r="4221">
      <c r="A4221" s="2" t="s">
        <v>4282</v>
      </c>
      <c r="B4221" s="2" t="s">
        <v>4279</v>
      </c>
      <c r="C4221" s="1"/>
      <c r="D4221" s="2"/>
      <c r="E4221" s="2"/>
      <c r="F4221" s="2"/>
      <c r="G4221" s="2"/>
      <c r="H4221" s="2"/>
      <c r="I4221" s="2"/>
    </row>
    <row r="4222">
      <c r="A4222" s="2" t="s">
        <v>4283</v>
      </c>
      <c r="B4222" s="2" t="s">
        <v>4279</v>
      </c>
      <c r="C4222" s="1"/>
      <c r="D4222" s="2"/>
      <c r="E4222" s="2"/>
      <c r="F4222" s="2"/>
      <c r="G4222" s="2"/>
      <c r="H4222" s="2"/>
      <c r="I4222" s="2"/>
    </row>
    <row r="4223">
      <c r="A4223" s="2" t="s">
        <v>4284</v>
      </c>
      <c r="B4223" s="2" t="s">
        <v>4279</v>
      </c>
      <c r="C4223" s="1"/>
      <c r="D4223" s="2"/>
      <c r="E4223" s="2"/>
      <c r="F4223" s="2"/>
      <c r="G4223" s="2"/>
      <c r="H4223" s="2"/>
      <c r="I4223" s="2"/>
    </row>
    <row r="4224">
      <c r="A4224" s="2" t="s">
        <v>4285</v>
      </c>
      <c r="B4224" s="2" t="s">
        <v>4279</v>
      </c>
      <c r="C4224" s="1"/>
      <c r="D4224" s="2"/>
      <c r="E4224" s="2"/>
      <c r="F4224" s="2"/>
      <c r="G4224" s="2"/>
      <c r="H4224" s="2"/>
      <c r="I4224" s="2"/>
    </row>
    <row r="4225">
      <c r="A4225" s="1" t="s">
        <v>4286</v>
      </c>
      <c r="B4225" s="2" t="s">
        <v>4279</v>
      </c>
      <c r="C4225" s="2"/>
      <c r="D4225" s="2" t="s">
        <v>11</v>
      </c>
      <c r="E4225" s="2">
        <v>10.0</v>
      </c>
      <c r="F4225" s="2" t="s">
        <v>12</v>
      </c>
      <c r="G4225" s="2"/>
      <c r="H4225" s="2"/>
      <c r="I4225" s="2"/>
    </row>
    <row r="4226">
      <c r="A4226" s="1" t="s">
        <v>4287</v>
      </c>
      <c r="B4226" s="2" t="s">
        <v>4279</v>
      </c>
      <c r="C4226" s="2"/>
      <c r="D4226" s="2" t="s">
        <v>11</v>
      </c>
      <c r="E4226" s="2">
        <v>10.0</v>
      </c>
      <c r="F4226" s="2" t="s">
        <v>12</v>
      </c>
      <c r="G4226" s="2"/>
      <c r="H4226" s="2"/>
      <c r="I4226" s="2"/>
    </row>
    <row r="4227">
      <c r="A4227" s="2" t="s">
        <v>4288</v>
      </c>
      <c r="B4227" s="2" t="s">
        <v>4279</v>
      </c>
      <c r="C4227" s="2"/>
      <c r="D4227" s="2" t="s">
        <v>11</v>
      </c>
      <c r="E4227" s="2">
        <v>10.0</v>
      </c>
      <c r="F4227" s="2" t="s">
        <v>12</v>
      </c>
      <c r="G4227" s="2"/>
      <c r="H4227" s="2"/>
      <c r="I4227" s="2"/>
    </row>
    <row r="4228">
      <c r="A4228" s="2" t="s">
        <v>4289</v>
      </c>
      <c r="B4228" s="2" t="s">
        <v>4279</v>
      </c>
      <c r="C4228" s="1"/>
      <c r="D4228" s="2"/>
      <c r="E4228" s="2"/>
      <c r="F4228" s="2"/>
      <c r="G4228" s="2"/>
      <c r="H4228" s="2"/>
      <c r="I4228" s="2"/>
    </row>
    <row r="4229">
      <c r="A4229" s="2" t="s">
        <v>4290</v>
      </c>
      <c r="B4229" s="2" t="s">
        <v>4279</v>
      </c>
      <c r="C4229" s="1"/>
      <c r="D4229" s="2"/>
      <c r="E4229" s="2"/>
      <c r="F4229" s="2"/>
      <c r="G4229" s="2"/>
      <c r="H4229" s="2"/>
      <c r="I4229" s="2"/>
    </row>
    <row r="4230">
      <c r="A4230" s="2" t="s">
        <v>4291</v>
      </c>
      <c r="B4230" s="2" t="s">
        <v>4279</v>
      </c>
      <c r="C4230" s="1"/>
      <c r="D4230" s="2"/>
      <c r="E4230" s="2"/>
      <c r="F4230" s="2"/>
      <c r="G4230" s="2"/>
      <c r="H4230" s="2"/>
      <c r="I4230" s="2"/>
    </row>
    <row r="4231">
      <c r="A4231" s="2" t="s">
        <v>4292</v>
      </c>
      <c r="B4231" s="2" t="s">
        <v>4279</v>
      </c>
      <c r="C4231" s="1"/>
      <c r="D4231" s="2"/>
      <c r="E4231" s="2"/>
      <c r="F4231" s="2"/>
      <c r="G4231" s="2"/>
      <c r="H4231" s="2"/>
      <c r="I4231" s="2"/>
    </row>
    <row r="4232">
      <c r="A4232" s="2" t="s">
        <v>4293</v>
      </c>
      <c r="B4232" s="2" t="s">
        <v>4279</v>
      </c>
      <c r="C4232" s="1"/>
      <c r="D4232" s="2"/>
      <c r="E4232" s="2"/>
      <c r="F4232" s="2"/>
      <c r="G4232" s="2"/>
      <c r="H4232" s="2"/>
      <c r="I4232" s="2"/>
    </row>
    <row r="4233">
      <c r="A4233" s="1" t="s">
        <v>4294</v>
      </c>
      <c r="B4233" s="2" t="s">
        <v>4279</v>
      </c>
      <c r="C4233" s="2"/>
      <c r="D4233" s="2" t="s">
        <v>37</v>
      </c>
      <c r="E4233" s="2">
        <v>10.0</v>
      </c>
      <c r="F4233" s="2" t="s">
        <v>12</v>
      </c>
      <c r="G4233" s="2"/>
      <c r="H4233" s="2"/>
      <c r="I4233" s="2"/>
    </row>
    <row r="4234">
      <c r="A4234" s="1" t="s">
        <v>4294</v>
      </c>
      <c r="B4234" s="2" t="s">
        <v>4279</v>
      </c>
      <c r="C4234" s="2"/>
      <c r="D4234" s="2" t="s">
        <v>37</v>
      </c>
      <c r="E4234" s="2">
        <v>7.0</v>
      </c>
      <c r="F4234" s="2" t="s">
        <v>12</v>
      </c>
      <c r="G4234" s="2"/>
      <c r="H4234" s="2"/>
      <c r="I4234" s="2"/>
    </row>
    <row r="4235">
      <c r="A4235" s="1" t="s">
        <v>4295</v>
      </c>
      <c r="B4235" s="2" t="s">
        <v>4279</v>
      </c>
      <c r="C4235" s="2"/>
      <c r="D4235" s="2" t="s">
        <v>37</v>
      </c>
      <c r="E4235" s="2">
        <v>10.0</v>
      </c>
      <c r="F4235" s="2" t="s">
        <v>12</v>
      </c>
      <c r="G4235" s="2"/>
      <c r="H4235" s="2"/>
      <c r="I4235" s="2"/>
    </row>
    <row r="4236">
      <c r="A4236" s="1" t="s">
        <v>4296</v>
      </c>
      <c r="B4236" s="2" t="s">
        <v>4279</v>
      </c>
      <c r="C4236" s="2"/>
      <c r="D4236" s="2" t="s">
        <v>37</v>
      </c>
      <c r="E4236" s="2">
        <v>7.0</v>
      </c>
      <c r="F4236" s="2" t="s">
        <v>12</v>
      </c>
      <c r="G4236" s="2"/>
      <c r="H4236" s="2"/>
      <c r="I4236" s="2"/>
    </row>
    <row r="4237">
      <c r="A4237" s="2" t="s">
        <v>4297</v>
      </c>
      <c r="B4237" s="2" t="s">
        <v>4279</v>
      </c>
      <c r="C4237" s="1"/>
      <c r="D4237" s="2"/>
      <c r="E4237" s="2"/>
      <c r="F4237" s="2"/>
      <c r="G4237" s="2"/>
      <c r="H4237" s="2"/>
      <c r="I4237" s="2"/>
    </row>
    <row r="4238">
      <c r="A4238" s="2" t="s">
        <v>4298</v>
      </c>
      <c r="B4238" s="2" t="s">
        <v>4279</v>
      </c>
      <c r="C4238" s="1"/>
      <c r="D4238" s="1" t="s">
        <v>300</v>
      </c>
      <c r="E4238" s="1" t="s">
        <v>2274</v>
      </c>
      <c r="F4238" s="1" t="s">
        <v>302</v>
      </c>
      <c r="G4238" s="2"/>
      <c r="H4238" s="2"/>
      <c r="I4238" s="2"/>
    </row>
    <row r="4239">
      <c r="A4239" s="2" t="s">
        <v>4299</v>
      </c>
      <c r="B4239" s="2" t="s">
        <v>4279</v>
      </c>
      <c r="C4239" s="1"/>
      <c r="D4239" s="1" t="s">
        <v>300</v>
      </c>
      <c r="E4239" s="1" t="s">
        <v>2274</v>
      </c>
      <c r="F4239" s="1" t="s">
        <v>302</v>
      </c>
      <c r="G4239" s="2"/>
      <c r="H4239" s="2"/>
      <c r="I4239" s="2"/>
    </row>
    <row r="4240">
      <c r="A4240" s="2" t="s">
        <v>4300</v>
      </c>
      <c r="B4240" s="2" t="s">
        <v>4279</v>
      </c>
      <c r="C4240" s="1"/>
      <c r="D4240" s="2"/>
      <c r="E4240" s="2"/>
      <c r="F4240" s="2"/>
      <c r="G4240" s="2"/>
      <c r="H4240" s="2"/>
      <c r="I4240" s="2"/>
    </row>
    <row r="4241">
      <c r="A4241" s="2" t="s">
        <v>4301</v>
      </c>
      <c r="B4241" s="2" t="s">
        <v>4279</v>
      </c>
      <c r="C4241" s="1"/>
      <c r="D4241" s="2"/>
      <c r="E4241" s="2"/>
      <c r="F4241" s="2"/>
      <c r="G4241" s="2"/>
      <c r="H4241" s="2"/>
      <c r="I4241" s="2"/>
    </row>
    <row r="4242">
      <c r="A4242" s="2" t="s">
        <v>4302</v>
      </c>
      <c r="B4242" s="2" t="s">
        <v>4279</v>
      </c>
      <c r="C4242" s="1"/>
      <c r="D4242" s="2"/>
      <c r="E4242" s="2"/>
      <c r="F4242" s="2"/>
      <c r="G4242" s="2"/>
      <c r="H4242" s="2"/>
      <c r="I4242" s="2"/>
    </row>
    <row r="4243">
      <c r="A4243" s="1" t="s">
        <v>4303</v>
      </c>
      <c r="B4243" s="2" t="s">
        <v>4279</v>
      </c>
      <c r="C4243" s="2"/>
      <c r="D4243" s="1" t="s">
        <v>11</v>
      </c>
      <c r="E4243" s="2">
        <v>4.0</v>
      </c>
      <c r="F4243" s="2" t="s">
        <v>12</v>
      </c>
      <c r="G4243" s="2"/>
      <c r="H4243" s="2"/>
      <c r="I4243" s="2"/>
    </row>
    <row r="4244">
      <c r="A4244" s="1" t="s">
        <v>4304</v>
      </c>
      <c r="B4244" s="2" t="s">
        <v>4279</v>
      </c>
      <c r="C4244" s="2"/>
      <c r="D4244" s="2" t="s">
        <v>11</v>
      </c>
      <c r="E4244" s="2">
        <v>15.0</v>
      </c>
      <c r="F4244" s="2" t="s">
        <v>12</v>
      </c>
      <c r="G4244" s="2"/>
      <c r="H4244" s="2"/>
      <c r="I4244" s="2"/>
    </row>
    <row r="4245">
      <c r="A4245" s="2" t="s">
        <v>4305</v>
      </c>
      <c r="B4245" s="2" t="s">
        <v>4279</v>
      </c>
      <c r="C4245" s="1"/>
      <c r="D4245" s="2"/>
      <c r="E4245" s="2"/>
      <c r="F4245" s="2"/>
      <c r="G4245" s="2"/>
      <c r="H4245" s="2"/>
      <c r="I4245" s="2"/>
    </row>
    <row r="4246">
      <c r="A4246" s="1" t="s">
        <v>4306</v>
      </c>
      <c r="B4246" s="2" t="s">
        <v>4279</v>
      </c>
      <c r="C4246" s="2"/>
      <c r="D4246" s="2" t="s">
        <v>37</v>
      </c>
      <c r="E4246" s="2">
        <v>10.0</v>
      </c>
      <c r="F4246" s="2" t="s">
        <v>12</v>
      </c>
      <c r="G4246" s="2"/>
      <c r="H4246" s="2"/>
      <c r="I4246" s="2"/>
    </row>
    <row r="4247">
      <c r="A4247" s="1" t="s">
        <v>4307</v>
      </c>
      <c r="B4247" s="2" t="s">
        <v>4279</v>
      </c>
      <c r="C4247" s="2"/>
      <c r="D4247" s="2" t="s">
        <v>37</v>
      </c>
      <c r="E4247" s="2">
        <v>10.0</v>
      </c>
      <c r="F4247" s="2" t="s">
        <v>12</v>
      </c>
      <c r="G4247" s="2"/>
      <c r="H4247" s="2"/>
      <c r="I4247" s="2"/>
    </row>
    <row r="4248">
      <c r="A4248" s="1" t="s">
        <v>4308</v>
      </c>
      <c r="B4248" s="2" t="s">
        <v>4279</v>
      </c>
      <c r="C4248" s="2"/>
      <c r="D4248" s="2" t="s">
        <v>37</v>
      </c>
      <c r="E4248" s="2">
        <v>10.0</v>
      </c>
      <c r="F4248" s="2" t="s">
        <v>12</v>
      </c>
      <c r="G4248" s="2"/>
      <c r="H4248" s="2"/>
      <c r="I4248" s="2"/>
    </row>
    <row r="4249">
      <c r="A4249" s="1" t="s">
        <v>4309</v>
      </c>
      <c r="B4249" s="2" t="s">
        <v>4279</v>
      </c>
      <c r="C4249" s="2"/>
      <c r="D4249" s="2" t="s">
        <v>11</v>
      </c>
      <c r="E4249" s="2">
        <v>3.0</v>
      </c>
      <c r="F4249" s="2" t="s">
        <v>12</v>
      </c>
      <c r="G4249" s="2"/>
      <c r="H4249" s="2"/>
      <c r="I4249" s="2"/>
    </row>
    <row r="4250">
      <c r="A4250" s="1" t="s">
        <v>4310</v>
      </c>
      <c r="B4250" s="2" t="s">
        <v>4279</v>
      </c>
      <c r="C4250" s="2"/>
      <c r="D4250" s="2" t="s">
        <v>11</v>
      </c>
      <c r="E4250" s="2">
        <v>3.0</v>
      </c>
      <c r="F4250" s="2" t="s">
        <v>12</v>
      </c>
      <c r="G4250" s="2"/>
      <c r="H4250" s="2"/>
      <c r="I4250" s="2"/>
    </row>
    <row r="4251">
      <c r="A4251" s="1" t="s">
        <v>4311</v>
      </c>
      <c r="B4251" s="2" t="s">
        <v>4279</v>
      </c>
      <c r="C4251" s="2"/>
      <c r="D4251" s="2" t="s">
        <v>11</v>
      </c>
      <c r="E4251" s="2">
        <v>10.0</v>
      </c>
      <c r="F4251" s="2" t="s">
        <v>12</v>
      </c>
      <c r="G4251" s="2"/>
      <c r="H4251" s="2"/>
      <c r="I4251" s="2"/>
    </row>
    <row r="4252">
      <c r="A4252" s="1" t="s">
        <v>4312</v>
      </c>
      <c r="B4252" s="2" t="s">
        <v>4279</v>
      </c>
      <c r="C4252" s="2"/>
      <c r="D4252" s="2" t="s">
        <v>11</v>
      </c>
      <c r="E4252" s="2">
        <v>10.0</v>
      </c>
      <c r="F4252" s="2" t="s">
        <v>12</v>
      </c>
      <c r="G4252" s="2"/>
      <c r="H4252" s="2"/>
      <c r="I4252" s="2"/>
    </row>
    <row r="4253">
      <c r="A4253" s="1" t="s">
        <v>4313</v>
      </c>
      <c r="B4253" s="2" t="s">
        <v>4279</v>
      </c>
      <c r="C4253" s="2"/>
      <c r="D4253" s="2" t="s">
        <v>11</v>
      </c>
      <c r="E4253" s="2">
        <v>10.0</v>
      </c>
      <c r="F4253" s="2" t="s">
        <v>12</v>
      </c>
      <c r="G4253" s="2"/>
      <c r="H4253" s="2"/>
      <c r="I4253" s="2"/>
    </row>
    <row r="4254">
      <c r="A4254" s="2" t="s">
        <v>4314</v>
      </c>
      <c r="B4254" s="2" t="s">
        <v>4315</v>
      </c>
      <c r="C4254" s="2"/>
      <c r="D4254" s="2" t="s">
        <v>37</v>
      </c>
      <c r="E4254" s="2">
        <v>10.0</v>
      </c>
      <c r="F4254" s="2" t="s">
        <v>12</v>
      </c>
      <c r="G4254" s="2"/>
      <c r="H4254" s="2"/>
      <c r="I4254" s="2"/>
    </row>
    <row r="4255">
      <c r="A4255" s="2" t="s">
        <v>4316</v>
      </c>
      <c r="B4255" s="2" t="s">
        <v>4315</v>
      </c>
      <c r="C4255" s="2"/>
      <c r="D4255" s="2" t="s">
        <v>11</v>
      </c>
      <c r="E4255" s="2">
        <v>10.0</v>
      </c>
      <c r="F4255" s="2" t="s">
        <v>12</v>
      </c>
      <c r="G4255" s="2"/>
      <c r="H4255" s="2"/>
      <c r="I4255" s="2"/>
    </row>
    <row r="4256">
      <c r="A4256" s="1" t="s">
        <v>4317</v>
      </c>
      <c r="B4256" s="2" t="s">
        <v>4315</v>
      </c>
      <c r="C4256" s="2"/>
      <c r="D4256" s="2" t="s">
        <v>11</v>
      </c>
      <c r="E4256" s="2">
        <v>10.0</v>
      </c>
      <c r="F4256" s="2" t="s">
        <v>12</v>
      </c>
      <c r="G4256" s="2"/>
      <c r="H4256" s="2"/>
      <c r="I4256" s="2"/>
    </row>
    <row r="4257">
      <c r="A4257" s="1" t="s">
        <v>4318</v>
      </c>
      <c r="B4257" s="2" t="s">
        <v>4315</v>
      </c>
      <c r="C4257" s="2"/>
      <c r="D4257" s="1" t="s">
        <v>22</v>
      </c>
      <c r="E4257" s="2">
        <v>1.0</v>
      </c>
      <c r="F4257" s="2" t="s">
        <v>22</v>
      </c>
      <c r="G4257" s="2"/>
      <c r="H4257" s="2"/>
      <c r="I4257" s="2"/>
    </row>
    <row r="4258">
      <c r="A4258" s="2" t="s">
        <v>4319</v>
      </c>
      <c r="B4258" s="2" t="s">
        <v>4315</v>
      </c>
      <c r="C4258" s="2"/>
      <c r="D4258" s="2" t="s">
        <v>37</v>
      </c>
      <c r="E4258" s="2">
        <v>30.0</v>
      </c>
      <c r="F4258" s="2" t="s">
        <v>22</v>
      </c>
      <c r="G4258" s="2"/>
      <c r="H4258" s="2"/>
      <c r="I4258" s="2"/>
    </row>
    <row r="4259">
      <c r="A4259" s="1" t="s">
        <v>4320</v>
      </c>
      <c r="B4259" s="2" t="s">
        <v>4315</v>
      </c>
      <c r="C4259" s="1"/>
      <c r="D4259" s="2"/>
      <c r="E4259" s="2"/>
      <c r="F4259" s="2"/>
      <c r="G4259" s="2"/>
      <c r="H4259" s="2"/>
      <c r="I4259" s="2"/>
    </row>
    <row r="4260">
      <c r="A4260" s="1" t="s">
        <v>4321</v>
      </c>
      <c r="B4260" s="2" t="s">
        <v>4315</v>
      </c>
      <c r="C4260" s="1"/>
      <c r="D4260" s="2"/>
      <c r="E4260" s="2"/>
      <c r="F4260" s="2"/>
      <c r="G4260" s="2"/>
      <c r="H4260" s="2"/>
      <c r="I4260" s="2"/>
    </row>
    <row r="4261">
      <c r="A4261" s="1" t="s">
        <v>4322</v>
      </c>
      <c r="B4261" s="2" t="s">
        <v>4315</v>
      </c>
      <c r="C4261" s="2"/>
      <c r="D4261" s="2" t="s">
        <v>37</v>
      </c>
      <c r="E4261" s="2">
        <v>30.0</v>
      </c>
      <c r="F4261" s="2" t="s">
        <v>22</v>
      </c>
      <c r="G4261" s="2"/>
      <c r="H4261" s="2"/>
      <c r="I4261" s="2"/>
    </row>
    <row r="4262">
      <c r="A4262" s="1" t="s">
        <v>4323</v>
      </c>
      <c r="B4262" s="2" t="s">
        <v>4315</v>
      </c>
      <c r="C4262" s="1"/>
      <c r="D4262" s="2"/>
      <c r="E4262" s="2"/>
      <c r="F4262" s="2"/>
      <c r="G4262" s="2"/>
      <c r="H4262" s="2"/>
      <c r="I4262" s="2"/>
    </row>
    <row r="4263">
      <c r="A4263" s="1" t="s">
        <v>4324</v>
      </c>
      <c r="B4263" s="2" t="s">
        <v>4315</v>
      </c>
      <c r="C4263" s="1"/>
      <c r="D4263" s="2"/>
      <c r="E4263" s="2"/>
      <c r="F4263" s="2"/>
      <c r="G4263" s="2"/>
      <c r="H4263" s="2"/>
      <c r="I4263" s="2"/>
    </row>
    <row r="4264">
      <c r="A4264" s="1" t="s">
        <v>4325</v>
      </c>
      <c r="B4264" s="2" t="s">
        <v>4315</v>
      </c>
      <c r="C4264" s="2"/>
      <c r="D4264" s="2" t="s">
        <v>37</v>
      </c>
      <c r="E4264" s="2">
        <v>30.0</v>
      </c>
      <c r="F4264" s="2" t="s">
        <v>22</v>
      </c>
      <c r="G4264" s="2"/>
      <c r="H4264" s="2"/>
      <c r="I4264" s="2"/>
    </row>
    <row r="4265">
      <c r="A4265" s="1" t="s">
        <v>4326</v>
      </c>
      <c r="B4265" s="2" t="s">
        <v>4315</v>
      </c>
      <c r="C4265" s="2"/>
      <c r="D4265" s="1" t="s">
        <v>22</v>
      </c>
      <c r="E4265" s="2">
        <v>1.0</v>
      </c>
      <c r="F4265" s="2" t="s">
        <v>22</v>
      </c>
      <c r="G4265" s="2"/>
      <c r="H4265" s="2"/>
      <c r="I4265" s="2"/>
    </row>
    <row r="4266">
      <c r="A4266" s="1" t="s">
        <v>4327</v>
      </c>
      <c r="B4266" s="2" t="s">
        <v>4315</v>
      </c>
      <c r="C4266" s="2"/>
      <c r="D4266" s="2" t="s">
        <v>37</v>
      </c>
      <c r="E4266" s="2">
        <v>30.0</v>
      </c>
      <c r="F4266" s="2" t="s">
        <v>22</v>
      </c>
      <c r="G4266" s="2"/>
      <c r="H4266" s="2"/>
      <c r="I4266" s="2"/>
    </row>
    <row r="4267">
      <c r="A4267" s="1" t="s">
        <v>4328</v>
      </c>
      <c r="B4267" s="2" t="s">
        <v>4315</v>
      </c>
      <c r="C4267" s="2"/>
      <c r="D4267" s="2" t="s">
        <v>11</v>
      </c>
      <c r="E4267" s="2">
        <v>10.0</v>
      </c>
      <c r="F4267" s="2" t="s">
        <v>12</v>
      </c>
      <c r="G4267" s="2"/>
      <c r="H4267" s="2"/>
      <c r="I4267" s="2"/>
    </row>
    <row r="4268">
      <c r="A4268" s="1" t="s">
        <v>4329</v>
      </c>
      <c r="B4268" s="2" t="s">
        <v>4315</v>
      </c>
      <c r="C4268" s="2"/>
      <c r="D4268" s="2" t="s">
        <v>11</v>
      </c>
      <c r="E4268" s="2">
        <v>10.0</v>
      </c>
      <c r="F4268" s="2" t="s">
        <v>12</v>
      </c>
      <c r="G4268" s="2"/>
      <c r="H4268" s="2"/>
      <c r="I4268" s="2"/>
    </row>
    <row r="4269">
      <c r="A4269" s="2" t="s">
        <v>4330</v>
      </c>
      <c r="B4269" s="2" t="s">
        <v>4315</v>
      </c>
      <c r="C4269" s="2"/>
      <c r="D4269" s="2" t="s">
        <v>11</v>
      </c>
      <c r="E4269" s="2">
        <v>10.0</v>
      </c>
      <c r="F4269" s="2" t="s">
        <v>12</v>
      </c>
      <c r="G4269" s="2"/>
      <c r="H4269" s="2"/>
      <c r="I4269" s="2"/>
    </row>
    <row r="4270">
      <c r="A4270" s="2" t="s">
        <v>4331</v>
      </c>
      <c r="B4270" s="2" t="s">
        <v>4315</v>
      </c>
      <c r="C4270" s="2"/>
      <c r="D4270" s="2" t="s">
        <v>11</v>
      </c>
      <c r="E4270" s="2">
        <v>10.0</v>
      </c>
      <c r="F4270" s="2" t="s">
        <v>12</v>
      </c>
      <c r="G4270" s="2"/>
      <c r="H4270" s="2"/>
      <c r="I4270" s="2"/>
    </row>
    <row r="4271">
      <c r="A4271" s="2" t="s">
        <v>4332</v>
      </c>
      <c r="B4271" s="2" t="s">
        <v>4315</v>
      </c>
      <c r="C4271" s="1"/>
      <c r="D4271" s="2"/>
      <c r="E4271" s="2"/>
      <c r="F4271" s="2"/>
      <c r="G4271" s="2"/>
      <c r="H4271" s="2"/>
      <c r="I4271" s="2"/>
    </row>
    <row r="4272">
      <c r="A4272" s="2" t="s">
        <v>4333</v>
      </c>
      <c r="B4272" s="2" t="s">
        <v>4315</v>
      </c>
      <c r="C4272" s="2"/>
      <c r="D4272" s="2" t="s">
        <v>11</v>
      </c>
      <c r="E4272" s="2">
        <v>10.0</v>
      </c>
      <c r="F4272" s="2" t="s">
        <v>12</v>
      </c>
      <c r="G4272" s="2"/>
      <c r="H4272" s="2"/>
      <c r="I4272" s="2"/>
    </row>
    <row r="4273">
      <c r="A4273" s="2" t="s">
        <v>4334</v>
      </c>
      <c r="B4273" s="2" t="s">
        <v>4315</v>
      </c>
      <c r="C4273" s="2"/>
      <c r="D4273" s="2" t="s">
        <v>11</v>
      </c>
      <c r="E4273" s="2">
        <v>10.0</v>
      </c>
      <c r="F4273" s="2" t="s">
        <v>12</v>
      </c>
      <c r="G4273" s="2"/>
      <c r="H4273" s="2"/>
      <c r="I4273" s="2"/>
    </row>
    <row r="4274">
      <c r="A4274" s="2" t="s">
        <v>4335</v>
      </c>
      <c r="B4274" s="2" t="s">
        <v>4315</v>
      </c>
      <c r="C4274" s="1"/>
      <c r="D4274" s="2"/>
      <c r="E4274" s="2"/>
      <c r="F4274" s="2"/>
      <c r="G4274" s="2"/>
      <c r="H4274" s="2"/>
      <c r="I4274" s="2"/>
    </row>
    <row r="4275">
      <c r="A4275" s="2" t="s">
        <v>4336</v>
      </c>
      <c r="B4275" s="2" t="s">
        <v>4315</v>
      </c>
      <c r="C4275" s="2"/>
      <c r="D4275" s="1" t="s">
        <v>22</v>
      </c>
      <c r="E4275" s="2">
        <v>1.0</v>
      </c>
      <c r="F4275" s="2" t="s">
        <v>22</v>
      </c>
      <c r="G4275" s="2"/>
      <c r="H4275" s="2"/>
      <c r="I4275" s="2"/>
    </row>
    <row r="4276">
      <c r="A4276" s="2" t="s">
        <v>4337</v>
      </c>
      <c r="B4276" s="2" t="s">
        <v>4315</v>
      </c>
      <c r="C4276" s="2"/>
      <c r="D4276" s="1" t="s">
        <v>22</v>
      </c>
      <c r="E4276" s="2">
        <v>1.0</v>
      </c>
      <c r="F4276" s="2" t="s">
        <v>22</v>
      </c>
      <c r="G4276" s="2"/>
      <c r="H4276" s="2"/>
      <c r="I4276" s="2"/>
    </row>
    <row r="4277">
      <c r="A4277" s="2" t="s">
        <v>4338</v>
      </c>
      <c r="B4277" s="2" t="s">
        <v>4315</v>
      </c>
      <c r="C4277" s="2"/>
      <c r="D4277" s="2"/>
      <c r="E4277" s="2"/>
      <c r="F4277" s="2"/>
      <c r="G4277" s="2"/>
      <c r="H4277" s="2"/>
      <c r="I4277" s="2"/>
    </row>
    <row r="4278">
      <c r="A4278" s="2" t="s">
        <v>4339</v>
      </c>
      <c r="B4278" s="2" t="s">
        <v>4315</v>
      </c>
      <c r="C4278" s="2"/>
      <c r="D4278" s="2" t="s">
        <v>11</v>
      </c>
      <c r="E4278" s="2">
        <v>10.0</v>
      </c>
      <c r="F4278" s="2" t="s">
        <v>12</v>
      </c>
      <c r="G4278" s="2"/>
      <c r="H4278" s="2"/>
      <c r="I4278" s="2"/>
    </row>
    <row r="4279">
      <c r="A4279" s="2" t="s">
        <v>4340</v>
      </c>
      <c r="B4279" s="2" t="s">
        <v>4315</v>
      </c>
      <c r="C4279" s="2"/>
      <c r="D4279" s="2" t="s">
        <v>11</v>
      </c>
      <c r="E4279" s="2">
        <v>10.0</v>
      </c>
      <c r="F4279" s="2" t="s">
        <v>12</v>
      </c>
      <c r="G4279" s="2"/>
      <c r="H4279" s="2"/>
      <c r="I4279" s="2"/>
    </row>
    <row r="4280">
      <c r="A4280" s="1" t="s">
        <v>4341</v>
      </c>
      <c r="B4280" s="2" t="s">
        <v>4315</v>
      </c>
      <c r="C4280" s="2"/>
      <c r="D4280" s="2"/>
      <c r="E4280" s="2"/>
      <c r="F4280" s="2"/>
      <c r="G4280" s="2"/>
      <c r="H4280" s="2"/>
      <c r="I4280" s="2"/>
    </row>
    <row r="4281">
      <c r="A4281" s="1" t="s">
        <v>4342</v>
      </c>
      <c r="B4281" s="2" t="s">
        <v>4315</v>
      </c>
      <c r="C4281" s="2"/>
      <c r="D4281" s="2" t="s">
        <v>11</v>
      </c>
      <c r="E4281" s="2">
        <v>10.0</v>
      </c>
      <c r="F4281" s="2" t="s">
        <v>12</v>
      </c>
      <c r="G4281" s="2"/>
      <c r="H4281" s="2"/>
      <c r="I4281" s="2"/>
    </row>
    <row r="4282">
      <c r="A4282" s="2" t="s">
        <v>4343</v>
      </c>
      <c r="B4282" s="2" t="s">
        <v>4315</v>
      </c>
      <c r="C4282" s="1"/>
      <c r="D4282" s="2"/>
      <c r="E4282" s="2"/>
      <c r="F4282" s="2"/>
      <c r="G4282" s="2"/>
      <c r="H4282" s="2"/>
      <c r="I4282" s="2"/>
    </row>
    <row r="4283">
      <c r="A4283" s="1" t="s">
        <v>4344</v>
      </c>
      <c r="B4283" s="2" t="s">
        <v>4315</v>
      </c>
      <c r="C4283" s="2"/>
      <c r="D4283" s="2" t="s">
        <v>37</v>
      </c>
      <c r="E4283" s="2">
        <v>30.0</v>
      </c>
      <c r="F4283" s="2" t="s">
        <v>22</v>
      </c>
      <c r="G4283" s="2"/>
      <c r="H4283" s="2"/>
      <c r="I4283" s="2"/>
    </row>
    <row r="4284">
      <c r="A4284" s="2" t="s">
        <v>4345</v>
      </c>
      <c r="B4284" s="2" t="s">
        <v>4346</v>
      </c>
      <c r="C4284" s="2"/>
      <c r="D4284" s="2" t="s">
        <v>11</v>
      </c>
      <c r="E4284" s="2">
        <v>10.0</v>
      </c>
      <c r="F4284" s="2" t="s">
        <v>12</v>
      </c>
      <c r="G4284" s="2"/>
      <c r="H4284" s="2"/>
      <c r="I4284" s="2"/>
    </row>
    <row r="4285">
      <c r="A4285" s="1" t="s">
        <v>4347</v>
      </c>
      <c r="B4285" s="2" t="s">
        <v>4346</v>
      </c>
      <c r="C4285" s="2"/>
      <c r="D4285" s="2" t="s">
        <v>11</v>
      </c>
      <c r="E4285" s="2">
        <v>10.0</v>
      </c>
      <c r="F4285" s="2" t="s">
        <v>12</v>
      </c>
      <c r="G4285" s="2"/>
      <c r="H4285" s="2"/>
      <c r="I4285" s="2"/>
    </row>
    <row r="4286">
      <c r="A4286" s="2" t="s">
        <v>4348</v>
      </c>
      <c r="B4286" s="2" t="s">
        <v>4346</v>
      </c>
      <c r="C4286" s="2"/>
      <c r="D4286" s="2" t="s">
        <v>11</v>
      </c>
      <c r="E4286" s="2">
        <v>10.0</v>
      </c>
      <c r="F4286" s="2" t="s">
        <v>12</v>
      </c>
      <c r="G4286" s="2"/>
      <c r="H4286" s="2"/>
      <c r="I4286" s="2"/>
    </row>
    <row r="4287">
      <c r="A4287" s="2" t="s">
        <v>4349</v>
      </c>
      <c r="B4287" s="2" t="s">
        <v>4346</v>
      </c>
      <c r="C4287" s="2"/>
      <c r="D4287" s="2" t="s">
        <v>11</v>
      </c>
      <c r="E4287" s="2">
        <v>10.0</v>
      </c>
      <c r="F4287" s="2" t="s">
        <v>12</v>
      </c>
      <c r="G4287" s="2"/>
      <c r="H4287" s="2"/>
      <c r="I4287" s="2"/>
    </row>
    <row r="4288">
      <c r="A4288" s="1" t="s">
        <v>4350</v>
      </c>
      <c r="B4288" s="2" t="s">
        <v>4346</v>
      </c>
      <c r="C4288" s="2"/>
      <c r="D4288" s="2" t="s">
        <v>11</v>
      </c>
      <c r="E4288" s="2">
        <v>10.0</v>
      </c>
      <c r="F4288" s="2" t="s">
        <v>12</v>
      </c>
      <c r="G4288" s="2"/>
      <c r="H4288" s="2"/>
      <c r="I4288" s="2"/>
    </row>
    <row r="4289">
      <c r="A4289" s="1" t="s">
        <v>4351</v>
      </c>
      <c r="B4289" s="2" t="s">
        <v>4346</v>
      </c>
      <c r="C4289" s="2"/>
      <c r="D4289" s="2" t="s">
        <v>11</v>
      </c>
      <c r="E4289" s="2">
        <v>10.0</v>
      </c>
      <c r="F4289" s="2" t="s">
        <v>12</v>
      </c>
      <c r="G4289" s="2"/>
      <c r="H4289" s="2"/>
      <c r="I4289" s="2"/>
    </row>
    <row r="4290">
      <c r="A4290" s="1" t="s">
        <v>4352</v>
      </c>
      <c r="B4290" s="2" t="s">
        <v>4346</v>
      </c>
      <c r="C4290" s="2"/>
      <c r="D4290" s="2" t="s">
        <v>37</v>
      </c>
      <c r="E4290" s="2">
        <v>10.0</v>
      </c>
      <c r="F4290" s="2" t="s">
        <v>12</v>
      </c>
      <c r="G4290" s="2"/>
      <c r="H4290" s="2"/>
      <c r="I4290" s="2"/>
    </row>
    <row r="4291">
      <c r="A4291" s="1" t="s">
        <v>4353</v>
      </c>
      <c r="B4291" s="2" t="s">
        <v>4346</v>
      </c>
      <c r="C4291" s="2"/>
      <c r="D4291" s="2" t="s">
        <v>37</v>
      </c>
      <c r="E4291" s="2">
        <v>10.0</v>
      </c>
      <c r="F4291" s="2" t="s">
        <v>12</v>
      </c>
      <c r="G4291" s="2"/>
      <c r="H4291" s="2"/>
      <c r="I4291" s="2"/>
    </row>
    <row r="4292">
      <c r="A4292" s="1" t="s">
        <v>4354</v>
      </c>
      <c r="B4292" s="2" t="s">
        <v>4346</v>
      </c>
      <c r="C4292" s="2"/>
      <c r="D4292" s="2" t="s">
        <v>37</v>
      </c>
      <c r="E4292" s="2">
        <v>10.0</v>
      </c>
      <c r="F4292" s="2" t="s">
        <v>12</v>
      </c>
      <c r="G4292" s="2"/>
      <c r="H4292" s="2"/>
      <c r="I4292" s="2"/>
    </row>
    <row r="4293">
      <c r="A4293" s="1" t="s">
        <v>4355</v>
      </c>
      <c r="B4293" s="2" t="s">
        <v>4346</v>
      </c>
      <c r="C4293" s="2"/>
      <c r="D4293" s="2" t="s">
        <v>11</v>
      </c>
      <c r="E4293" s="2">
        <v>10.0</v>
      </c>
      <c r="F4293" s="2" t="s">
        <v>12</v>
      </c>
      <c r="G4293" s="2"/>
      <c r="H4293" s="2"/>
      <c r="I4293" s="2"/>
    </row>
    <row r="4294">
      <c r="A4294" s="1" t="s">
        <v>4356</v>
      </c>
      <c r="B4294" s="2" t="s">
        <v>4346</v>
      </c>
      <c r="C4294" s="2"/>
      <c r="D4294" s="2" t="s">
        <v>11</v>
      </c>
      <c r="E4294" s="2">
        <v>10.0</v>
      </c>
      <c r="F4294" s="2" t="s">
        <v>12</v>
      </c>
      <c r="G4294" s="2"/>
      <c r="H4294" s="2"/>
      <c r="I4294" s="2"/>
    </row>
    <row r="4295">
      <c r="A4295" s="1" t="s">
        <v>4357</v>
      </c>
      <c r="B4295" s="2" t="s">
        <v>4346</v>
      </c>
      <c r="C4295" s="2"/>
      <c r="D4295" s="2" t="s">
        <v>37</v>
      </c>
      <c r="E4295" s="2">
        <v>10.0</v>
      </c>
      <c r="F4295" s="2" t="s">
        <v>12</v>
      </c>
      <c r="G4295" s="2"/>
      <c r="H4295" s="2"/>
      <c r="I4295" s="2"/>
    </row>
    <row r="4296">
      <c r="A4296" s="1" t="s">
        <v>4358</v>
      </c>
      <c r="B4296" s="2" t="s">
        <v>4346</v>
      </c>
      <c r="C4296" s="2"/>
      <c r="D4296" s="2" t="s">
        <v>37</v>
      </c>
      <c r="E4296" s="2">
        <v>10.0</v>
      </c>
      <c r="F4296" s="2" t="s">
        <v>12</v>
      </c>
      <c r="G4296" s="2"/>
      <c r="H4296" s="2"/>
      <c r="I4296" s="2"/>
    </row>
    <row r="4297">
      <c r="A4297" s="1" t="s">
        <v>4359</v>
      </c>
      <c r="B4297" s="2" t="s">
        <v>4346</v>
      </c>
      <c r="C4297" s="2"/>
      <c r="D4297" s="2" t="s">
        <v>37</v>
      </c>
      <c r="E4297" s="2">
        <v>10.0</v>
      </c>
      <c r="F4297" s="2" t="s">
        <v>12</v>
      </c>
      <c r="G4297" s="2"/>
      <c r="H4297" s="2"/>
      <c r="I4297" s="2"/>
    </row>
    <row r="4298">
      <c r="A4298" s="1" t="s">
        <v>4360</v>
      </c>
      <c r="B4298" s="2" t="s">
        <v>4346</v>
      </c>
      <c r="C4298" s="2"/>
      <c r="D4298" s="2" t="s">
        <v>11</v>
      </c>
      <c r="E4298" s="2">
        <v>10.0</v>
      </c>
      <c r="F4298" s="2" t="s">
        <v>12</v>
      </c>
      <c r="G4298" s="2"/>
      <c r="H4298" s="2"/>
      <c r="I4298" s="2"/>
    </row>
    <row r="4299">
      <c r="A4299" s="1" t="s">
        <v>4361</v>
      </c>
      <c r="B4299" s="2" t="s">
        <v>4346</v>
      </c>
      <c r="C4299" s="2"/>
      <c r="D4299" s="2" t="s">
        <v>11</v>
      </c>
      <c r="E4299" s="2">
        <v>10.0</v>
      </c>
      <c r="F4299" s="2" t="s">
        <v>12</v>
      </c>
      <c r="G4299" s="2"/>
      <c r="H4299" s="2"/>
      <c r="I4299" s="2"/>
    </row>
    <row r="4300">
      <c r="A4300" s="2" t="s">
        <v>4362</v>
      </c>
      <c r="B4300" s="2" t="s">
        <v>4346</v>
      </c>
      <c r="C4300" s="2"/>
      <c r="D4300" s="2" t="s">
        <v>11</v>
      </c>
      <c r="E4300" s="2">
        <v>10.0</v>
      </c>
      <c r="F4300" s="2" t="s">
        <v>12</v>
      </c>
      <c r="G4300" s="2"/>
      <c r="H4300" s="2"/>
      <c r="I4300" s="2"/>
    </row>
    <row r="4301">
      <c r="A4301" s="1" t="s">
        <v>4363</v>
      </c>
      <c r="B4301" s="2" t="s">
        <v>4346</v>
      </c>
      <c r="C4301" s="2"/>
      <c r="D4301" s="2" t="s">
        <v>11</v>
      </c>
      <c r="E4301" s="2">
        <v>10.0</v>
      </c>
      <c r="F4301" s="2" t="s">
        <v>12</v>
      </c>
      <c r="G4301" s="2"/>
      <c r="H4301" s="2"/>
      <c r="I4301" s="2"/>
    </row>
    <row r="4302">
      <c r="A4302" s="1" t="s">
        <v>4364</v>
      </c>
      <c r="B4302" s="2" t="s">
        <v>4346</v>
      </c>
      <c r="C4302" s="2"/>
      <c r="D4302" s="2" t="s">
        <v>11</v>
      </c>
      <c r="E4302" s="2">
        <v>10.0</v>
      </c>
      <c r="F4302" s="2" t="s">
        <v>12</v>
      </c>
      <c r="G4302" s="2"/>
      <c r="H4302" s="2"/>
      <c r="I4302" s="2"/>
    </row>
    <row r="4303">
      <c r="A4303" s="1" t="s">
        <v>4365</v>
      </c>
      <c r="B4303" s="2" t="s">
        <v>4346</v>
      </c>
      <c r="C4303" s="2"/>
      <c r="D4303" s="2" t="s">
        <v>11</v>
      </c>
      <c r="E4303" s="2">
        <v>10.0</v>
      </c>
      <c r="F4303" s="2" t="s">
        <v>12</v>
      </c>
      <c r="G4303" s="2"/>
      <c r="H4303" s="2"/>
      <c r="I4303" s="2"/>
    </row>
    <row r="4304">
      <c r="A4304" s="1" t="s">
        <v>4366</v>
      </c>
      <c r="B4304" s="2" t="s">
        <v>4346</v>
      </c>
      <c r="C4304" s="2"/>
      <c r="D4304" s="2" t="s">
        <v>11</v>
      </c>
      <c r="E4304" s="2">
        <v>10.0</v>
      </c>
      <c r="F4304" s="2" t="s">
        <v>12</v>
      </c>
      <c r="G4304" s="2"/>
      <c r="H4304" s="2"/>
      <c r="I4304" s="2"/>
    </row>
    <row r="4305">
      <c r="A4305" s="2" t="s">
        <v>4367</v>
      </c>
      <c r="B4305" s="2" t="s">
        <v>4346</v>
      </c>
      <c r="C4305" s="2"/>
      <c r="D4305" s="2" t="s">
        <v>11</v>
      </c>
      <c r="E4305" s="2">
        <v>10.0</v>
      </c>
      <c r="F4305" s="2" t="s">
        <v>12</v>
      </c>
      <c r="G4305" s="2"/>
      <c r="H4305" s="2"/>
      <c r="I4305" s="2"/>
    </row>
    <row r="4306">
      <c r="A4306" s="2" t="s">
        <v>4368</v>
      </c>
      <c r="B4306" s="2" t="s">
        <v>4346</v>
      </c>
      <c r="C4306" s="1"/>
      <c r="D4306" s="2"/>
      <c r="E4306" s="2"/>
      <c r="F4306" s="2"/>
      <c r="G4306" s="2"/>
      <c r="H4306" s="2"/>
      <c r="I4306" s="2"/>
    </row>
    <row r="4307">
      <c r="A4307" s="2" t="s">
        <v>4369</v>
      </c>
      <c r="B4307" s="2" t="s">
        <v>4346</v>
      </c>
      <c r="C4307" s="2"/>
      <c r="D4307" s="2" t="s">
        <v>11</v>
      </c>
      <c r="E4307" s="2">
        <v>10.0</v>
      </c>
      <c r="F4307" s="2" t="s">
        <v>12</v>
      </c>
      <c r="G4307" s="2"/>
      <c r="H4307" s="2"/>
      <c r="I4307" s="2"/>
    </row>
    <row r="4308">
      <c r="A4308" s="1" t="s">
        <v>4370</v>
      </c>
      <c r="B4308" s="2" t="s">
        <v>4346</v>
      </c>
      <c r="C4308" s="2"/>
      <c r="D4308" s="2" t="s">
        <v>11</v>
      </c>
      <c r="E4308" s="2">
        <v>10.0</v>
      </c>
      <c r="F4308" s="2" t="s">
        <v>12</v>
      </c>
      <c r="G4308" s="2"/>
      <c r="H4308" s="2"/>
      <c r="I4308" s="2"/>
    </row>
    <row r="4309">
      <c r="A4309" s="1" t="s">
        <v>4371</v>
      </c>
      <c r="B4309" s="2" t="s">
        <v>4346</v>
      </c>
      <c r="C4309" s="2"/>
      <c r="D4309" s="2" t="s">
        <v>11</v>
      </c>
      <c r="E4309" s="2">
        <v>10.0</v>
      </c>
      <c r="F4309" s="2" t="s">
        <v>12</v>
      </c>
      <c r="G4309" s="2"/>
      <c r="H4309" s="2"/>
      <c r="I4309" s="2"/>
    </row>
    <row r="4310">
      <c r="A4310" s="1" t="s">
        <v>4372</v>
      </c>
      <c r="B4310" s="2" t="s">
        <v>4346</v>
      </c>
      <c r="C4310" s="2"/>
      <c r="D4310" s="2" t="s">
        <v>11</v>
      </c>
      <c r="E4310" s="2">
        <v>10.0</v>
      </c>
      <c r="F4310" s="2" t="s">
        <v>12</v>
      </c>
      <c r="G4310" s="2"/>
      <c r="H4310" s="2"/>
      <c r="I4310" s="2"/>
    </row>
    <row r="4311">
      <c r="A4311" s="1" t="s">
        <v>4373</v>
      </c>
      <c r="B4311" s="2" t="s">
        <v>4346</v>
      </c>
      <c r="C4311" s="2"/>
      <c r="D4311" s="2" t="s">
        <v>11</v>
      </c>
      <c r="E4311" s="2">
        <v>10.0</v>
      </c>
      <c r="F4311" s="2" t="s">
        <v>12</v>
      </c>
      <c r="G4311" s="2"/>
      <c r="H4311" s="2"/>
      <c r="I4311" s="2"/>
    </row>
    <row r="4312">
      <c r="A4312" s="1" t="s">
        <v>4374</v>
      </c>
      <c r="B4312" s="2" t="s">
        <v>4346</v>
      </c>
      <c r="C4312" s="2"/>
      <c r="D4312" s="2" t="s">
        <v>11</v>
      </c>
      <c r="E4312" s="2">
        <v>10.0</v>
      </c>
      <c r="F4312" s="2" t="s">
        <v>12</v>
      </c>
      <c r="G4312" s="2"/>
      <c r="H4312" s="2"/>
      <c r="I4312" s="2"/>
    </row>
    <row r="4313">
      <c r="A4313" s="1" t="s">
        <v>4375</v>
      </c>
      <c r="B4313" s="2" t="s">
        <v>4346</v>
      </c>
      <c r="C4313" s="2"/>
      <c r="D4313" s="2" t="s">
        <v>11</v>
      </c>
      <c r="E4313" s="2">
        <v>10.0</v>
      </c>
      <c r="F4313" s="2" t="s">
        <v>12</v>
      </c>
      <c r="G4313" s="2"/>
      <c r="H4313" s="2"/>
      <c r="I4313" s="2"/>
    </row>
    <row r="4314">
      <c r="A4314" s="1" t="s">
        <v>4376</v>
      </c>
      <c r="B4314" s="2" t="s">
        <v>4346</v>
      </c>
      <c r="C4314" s="2"/>
      <c r="D4314" s="2" t="s">
        <v>11</v>
      </c>
      <c r="E4314" s="2">
        <v>10.0</v>
      </c>
      <c r="F4314" s="2" t="s">
        <v>12</v>
      </c>
      <c r="G4314" s="2"/>
      <c r="H4314" s="2"/>
      <c r="I4314" s="2"/>
    </row>
    <row r="4315">
      <c r="A4315" s="1" t="s">
        <v>4377</v>
      </c>
      <c r="B4315" s="2" t="s">
        <v>4346</v>
      </c>
      <c r="C4315" s="2"/>
      <c r="D4315" s="2" t="s">
        <v>11</v>
      </c>
      <c r="E4315" s="2">
        <v>10.0</v>
      </c>
      <c r="F4315" s="2" t="s">
        <v>12</v>
      </c>
      <c r="G4315" s="2"/>
      <c r="H4315" s="2"/>
      <c r="I4315" s="2"/>
    </row>
    <row r="4316">
      <c r="A4316" s="1" t="s">
        <v>4378</v>
      </c>
      <c r="B4316" s="2" t="s">
        <v>4346</v>
      </c>
      <c r="C4316" s="2"/>
      <c r="D4316" s="2" t="s">
        <v>11</v>
      </c>
      <c r="E4316" s="2">
        <v>10.0</v>
      </c>
      <c r="F4316" s="2" t="s">
        <v>12</v>
      </c>
      <c r="G4316" s="2"/>
      <c r="H4316" s="2"/>
      <c r="I4316" s="2"/>
    </row>
    <row r="4317">
      <c r="A4317" s="1" t="s">
        <v>4379</v>
      </c>
      <c r="B4317" s="2" t="s">
        <v>4346</v>
      </c>
      <c r="C4317" s="2"/>
      <c r="D4317" s="2" t="s">
        <v>11</v>
      </c>
      <c r="E4317" s="2">
        <v>10.0</v>
      </c>
      <c r="F4317" s="2" t="s">
        <v>12</v>
      </c>
      <c r="G4317" s="2"/>
      <c r="H4317" s="2"/>
      <c r="I4317" s="2"/>
    </row>
    <row r="4318">
      <c r="A4318" s="1" t="s">
        <v>4380</v>
      </c>
      <c r="B4318" s="2" t="s">
        <v>4346</v>
      </c>
      <c r="C4318" s="2"/>
      <c r="D4318" s="2" t="s">
        <v>73</v>
      </c>
      <c r="E4318" s="2">
        <v>1.0</v>
      </c>
      <c r="F4318" s="2" t="s">
        <v>74</v>
      </c>
      <c r="G4318" s="2"/>
      <c r="H4318" s="2"/>
      <c r="I4318" s="2"/>
    </row>
    <row r="4319">
      <c r="A4319" s="1" t="s">
        <v>4381</v>
      </c>
      <c r="B4319" s="2" t="s">
        <v>4346</v>
      </c>
      <c r="C4319" s="2"/>
      <c r="D4319" s="2" t="s">
        <v>11</v>
      </c>
      <c r="E4319" s="2">
        <v>10.0</v>
      </c>
      <c r="F4319" s="2" t="s">
        <v>12</v>
      </c>
      <c r="G4319" s="2"/>
      <c r="H4319" s="2"/>
      <c r="I4319" s="2"/>
    </row>
    <row r="4320">
      <c r="A4320" s="2" t="s">
        <v>4382</v>
      </c>
      <c r="B4320" s="2" t="s">
        <v>4346</v>
      </c>
      <c r="C4320" s="1"/>
      <c r="D4320" s="2"/>
      <c r="E4320" s="2"/>
      <c r="F4320" s="2"/>
      <c r="G4320" s="2"/>
      <c r="H4320" s="2"/>
      <c r="I4320" s="2"/>
    </row>
    <row r="4321">
      <c r="A4321" s="2" t="s">
        <v>4383</v>
      </c>
      <c r="B4321" s="2" t="s">
        <v>4346</v>
      </c>
      <c r="C4321" s="2"/>
      <c r="D4321" s="2" t="s">
        <v>11</v>
      </c>
      <c r="E4321" s="2">
        <v>10.0</v>
      </c>
      <c r="F4321" s="2" t="s">
        <v>12</v>
      </c>
      <c r="G4321" s="2"/>
      <c r="H4321" s="2"/>
      <c r="I4321" s="2"/>
    </row>
    <row r="4322">
      <c r="A4322" s="1" t="s">
        <v>4384</v>
      </c>
      <c r="B4322" s="2" t="s">
        <v>4346</v>
      </c>
      <c r="C4322" s="2"/>
      <c r="D4322" s="2" t="s">
        <v>11</v>
      </c>
      <c r="E4322" s="2">
        <v>1.0</v>
      </c>
      <c r="F4322" s="2" t="s">
        <v>12</v>
      </c>
      <c r="G4322" s="2"/>
      <c r="H4322" s="2"/>
      <c r="I4322" s="2"/>
    </row>
    <row r="4323">
      <c r="A4323" s="1" t="s">
        <v>4385</v>
      </c>
      <c r="B4323" s="2" t="s">
        <v>4346</v>
      </c>
      <c r="C4323" s="2"/>
      <c r="D4323" s="2" t="s">
        <v>11</v>
      </c>
      <c r="E4323" s="2">
        <v>1.0</v>
      </c>
      <c r="F4323" s="2" t="s">
        <v>12</v>
      </c>
      <c r="G4323" s="2"/>
      <c r="H4323" s="2"/>
      <c r="I4323" s="2"/>
    </row>
    <row r="4324">
      <c r="A4324" s="1" t="s">
        <v>4386</v>
      </c>
      <c r="B4324" s="2" t="s">
        <v>4346</v>
      </c>
      <c r="C4324" s="2"/>
      <c r="D4324" s="2" t="s">
        <v>11</v>
      </c>
      <c r="E4324" s="2">
        <v>10.0</v>
      </c>
      <c r="F4324" s="2" t="s">
        <v>12</v>
      </c>
      <c r="G4324" s="2"/>
      <c r="H4324" s="2"/>
      <c r="I4324" s="2"/>
    </row>
    <row r="4325">
      <c r="A4325" s="1" t="s">
        <v>4387</v>
      </c>
      <c r="B4325" s="2" t="s">
        <v>4346</v>
      </c>
      <c r="C4325" s="2"/>
      <c r="D4325" s="2" t="s">
        <v>11</v>
      </c>
      <c r="E4325" s="2">
        <v>10.0</v>
      </c>
      <c r="F4325" s="2" t="s">
        <v>12</v>
      </c>
      <c r="G4325" s="2"/>
      <c r="H4325" s="2"/>
      <c r="I4325" s="2"/>
    </row>
    <row r="4326">
      <c r="A4326" s="2" t="s">
        <v>4388</v>
      </c>
      <c r="B4326" s="2" t="s">
        <v>4346</v>
      </c>
      <c r="C4326" s="2"/>
      <c r="D4326" s="2" t="s">
        <v>11</v>
      </c>
      <c r="E4326" s="2">
        <v>10.0</v>
      </c>
      <c r="F4326" s="2" t="s">
        <v>12</v>
      </c>
      <c r="G4326" s="2"/>
      <c r="H4326" s="2"/>
      <c r="I4326" s="2"/>
    </row>
    <row r="4327">
      <c r="A4327" s="2" t="s">
        <v>4389</v>
      </c>
      <c r="B4327" s="2" t="s">
        <v>4346</v>
      </c>
      <c r="C4327" s="2"/>
      <c r="D4327" s="2" t="s">
        <v>11</v>
      </c>
      <c r="E4327" s="2">
        <v>10.0</v>
      </c>
      <c r="F4327" s="2" t="s">
        <v>12</v>
      </c>
      <c r="G4327" s="2"/>
      <c r="H4327" s="2"/>
      <c r="I4327" s="2"/>
    </row>
    <row r="4328">
      <c r="A4328" s="2" t="s">
        <v>4390</v>
      </c>
      <c r="B4328" s="2" t="s">
        <v>4346</v>
      </c>
      <c r="C4328" s="2"/>
      <c r="D4328" s="2" t="s">
        <v>11</v>
      </c>
      <c r="E4328" s="2">
        <v>10.0</v>
      </c>
      <c r="F4328" s="2" t="s">
        <v>12</v>
      </c>
      <c r="G4328" s="2"/>
      <c r="H4328" s="2"/>
      <c r="I4328" s="2"/>
    </row>
    <row r="4329">
      <c r="A4329" s="1" t="s">
        <v>4391</v>
      </c>
      <c r="B4329" s="2" t="s">
        <v>4346</v>
      </c>
      <c r="C4329" s="2"/>
      <c r="D4329" s="2" t="s">
        <v>11</v>
      </c>
      <c r="E4329" s="2">
        <v>10.0</v>
      </c>
      <c r="F4329" s="2" t="s">
        <v>12</v>
      </c>
      <c r="G4329" s="2"/>
      <c r="H4329" s="2"/>
      <c r="I4329" s="2"/>
    </row>
    <row r="4330">
      <c r="A4330" s="1" t="s">
        <v>4392</v>
      </c>
      <c r="B4330" s="2" t="s">
        <v>4346</v>
      </c>
      <c r="C4330" s="2"/>
      <c r="D4330" s="2" t="s">
        <v>11</v>
      </c>
      <c r="E4330" s="2">
        <v>10.0</v>
      </c>
      <c r="F4330" s="2" t="s">
        <v>12</v>
      </c>
      <c r="G4330" s="2"/>
      <c r="H4330" s="2"/>
      <c r="I4330" s="2"/>
    </row>
    <row r="4331">
      <c r="A4331" s="1" t="s">
        <v>4393</v>
      </c>
      <c r="B4331" s="2" t="s">
        <v>4346</v>
      </c>
      <c r="C4331" s="2"/>
      <c r="D4331" s="2" t="s">
        <v>11</v>
      </c>
      <c r="E4331" s="2">
        <v>10.0</v>
      </c>
      <c r="F4331" s="2" t="s">
        <v>12</v>
      </c>
      <c r="G4331" s="2"/>
      <c r="H4331" s="2"/>
      <c r="I4331" s="2"/>
    </row>
    <row r="4332">
      <c r="A4332" s="1" t="s">
        <v>4394</v>
      </c>
      <c r="B4332" s="2" t="s">
        <v>4346</v>
      </c>
      <c r="C4332" s="2"/>
      <c r="D4332" s="2" t="s">
        <v>11</v>
      </c>
      <c r="E4332" s="2">
        <v>10.0</v>
      </c>
      <c r="F4332" s="2" t="s">
        <v>12</v>
      </c>
      <c r="G4332" s="2"/>
      <c r="H4332" s="2"/>
      <c r="I4332" s="2"/>
    </row>
    <row r="4333">
      <c r="A4333" s="1" t="s">
        <v>4395</v>
      </c>
      <c r="B4333" s="2" t="s">
        <v>4346</v>
      </c>
      <c r="C4333" s="2"/>
      <c r="D4333" s="2" t="s">
        <v>11</v>
      </c>
      <c r="E4333" s="2">
        <v>10.0</v>
      </c>
      <c r="F4333" s="2" t="s">
        <v>12</v>
      </c>
      <c r="G4333" s="2"/>
      <c r="H4333" s="2"/>
      <c r="I4333" s="2"/>
    </row>
    <row r="4334">
      <c r="A4334" s="1" t="s">
        <v>4396</v>
      </c>
      <c r="B4334" s="2" t="s">
        <v>4346</v>
      </c>
      <c r="C4334" s="2"/>
      <c r="D4334" s="2" t="s">
        <v>37</v>
      </c>
      <c r="E4334" s="2">
        <v>10.0</v>
      </c>
      <c r="F4334" s="2" t="s">
        <v>12</v>
      </c>
      <c r="G4334" s="2"/>
      <c r="H4334" s="2"/>
      <c r="I4334" s="2"/>
    </row>
    <row r="4335">
      <c r="A4335" s="1" t="s">
        <v>4397</v>
      </c>
      <c r="B4335" s="2" t="s">
        <v>4346</v>
      </c>
      <c r="C4335" s="2"/>
      <c r="D4335" s="2" t="s">
        <v>37</v>
      </c>
      <c r="E4335" s="2">
        <v>10.0</v>
      </c>
      <c r="F4335" s="2" t="s">
        <v>12</v>
      </c>
      <c r="G4335" s="2"/>
      <c r="H4335" s="2"/>
      <c r="I4335" s="2"/>
    </row>
    <row r="4336">
      <c r="A4336" s="1" t="s">
        <v>4398</v>
      </c>
      <c r="B4336" s="2" t="s">
        <v>4346</v>
      </c>
      <c r="C4336" s="2"/>
      <c r="D4336" s="2" t="s">
        <v>11</v>
      </c>
      <c r="E4336" s="2">
        <v>10.0</v>
      </c>
      <c r="F4336" s="2" t="s">
        <v>12</v>
      </c>
      <c r="G4336" s="2"/>
      <c r="H4336" s="2"/>
      <c r="I4336" s="2"/>
    </row>
    <row r="4337">
      <c r="A4337" s="1" t="s">
        <v>4399</v>
      </c>
      <c r="B4337" s="2" t="s">
        <v>4346</v>
      </c>
      <c r="C4337" s="2"/>
      <c r="D4337" s="2" t="s">
        <v>11</v>
      </c>
      <c r="E4337" s="2">
        <v>10.0</v>
      </c>
      <c r="F4337" s="2" t="s">
        <v>12</v>
      </c>
      <c r="G4337" s="2"/>
      <c r="H4337" s="2"/>
      <c r="I4337" s="2"/>
    </row>
    <row r="4338">
      <c r="A4338" s="1" t="s">
        <v>4400</v>
      </c>
      <c r="B4338" s="2" t="s">
        <v>4346</v>
      </c>
      <c r="C4338" s="2"/>
      <c r="D4338" s="2" t="s">
        <v>11</v>
      </c>
      <c r="E4338" s="2">
        <v>10.0</v>
      </c>
      <c r="F4338" s="2" t="s">
        <v>12</v>
      </c>
      <c r="G4338" s="2"/>
      <c r="H4338" s="2"/>
      <c r="I4338" s="2"/>
    </row>
    <row r="4339">
      <c r="A4339" s="2" t="s">
        <v>4401</v>
      </c>
      <c r="B4339" s="2" t="s">
        <v>4402</v>
      </c>
      <c r="C4339" s="2"/>
      <c r="D4339" s="2" t="s">
        <v>11</v>
      </c>
      <c r="E4339" s="2">
        <v>10.0</v>
      </c>
      <c r="F4339" s="2" t="s">
        <v>12</v>
      </c>
      <c r="G4339" s="2"/>
      <c r="H4339" s="2"/>
      <c r="I4339" s="2"/>
    </row>
    <row r="4340">
      <c r="A4340" s="1" t="s">
        <v>4403</v>
      </c>
      <c r="B4340" s="2" t="s">
        <v>4402</v>
      </c>
      <c r="C4340" s="2"/>
      <c r="D4340" s="1" t="s">
        <v>11</v>
      </c>
      <c r="E4340" s="2">
        <v>4.0</v>
      </c>
      <c r="F4340" s="2" t="s">
        <v>12</v>
      </c>
      <c r="G4340" s="2"/>
      <c r="H4340" s="2"/>
      <c r="I4340" s="2"/>
    </row>
    <row r="4341">
      <c r="A4341" s="1" t="s">
        <v>4404</v>
      </c>
      <c r="B4341" s="2" t="s">
        <v>4402</v>
      </c>
      <c r="C4341" s="2"/>
      <c r="D4341" s="1" t="s">
        <v>11</v>
      </c>
      <c r="E4341" s="2">
        <v>4.0</v>
      </c>
      <c r="F4341" s="2" t="s">
        <v>12</v>
      </c>
      <c r="G4341" s="2"/>
      <c r="H4341" s="2"/>
      <c r="I4341" s="2"/>
    </row>
    <row r="4342">
      <c r="A4342" s="2" t="s">
        <v>4405</v>
      </c>
      <c r="B4342" s="2" t="s">
        <v>4402</v>
      </c>
      <c r="C4342" s="2"/>
      <c r="D4342" s="2" t="s">
        <v>620</v>
      </c>
      <c r="E4342" s="2">
        <v>3.0</v>
      </c>
      <c r="F4342" s="2"/>
      <c r="G4342" s="2"/>
      <c r="H4342" s="2"/>
      <c r="I4342" s="2"/>
    </row>
    <row r="4343">
      <c r="A4343" s="2" t="s">
        <v>4406</v>
      </c>
      <c r="B4343" s="2" t="s">
        <v>4402</v>
      </c>
      <c r="C4343" s="2"/>
      <c r="D4343" s="2" t="s">
        <v>11</v>
      </c>
      <c r="E4343" s="2">
        <v>10.0</v>
      </c>
      <c r="F4343" s="2" t="s">
        <v>12</v>
      </c>
      <c r="G4343" s="2"/>
      <c r="H4343" s="2"/>
      <c r="I4343" s="2"/>
    </row>
    <row r="4344">
      <c r="A4344" s="2" t="s">
        <v>4407</v>
      </c>
      <c r="B4344" s="2" t="s">
        <v>4402</v>
      </c>
      <c r="C4344" s="2"/>
      <c r="D4344" s="2" t="s">
        <v>37</v>
      </c>
      <c r="E4344" s="2">
        <v>8.0</v>
      </c>
      <c r="F4344" s="2" t="s">
        <v>12</v>
      </c>
      <c r="G4344" s="2"/>
      <c r="H4344" s="2"/>
      <c r="I4344" s="2"/>
    </row>
    <row r="4345">
      <c r="A4345" s="2" t="s">
        <v>4408</v>
      </c>
      <c r="B4345" s="2" t="s">
        <v>4402</v>
      </c>
      <c r="C4345" s="2"/>
      <c r="D4345" s="2" t="s">
        <v>37</v>
      </c>
      <c r="E4345" s="2">
        <v>1.0</v>
      </c>
      <c r="F4345" s="2" t="s">
        <v>12</v>
      </c>
      <c r="G4345" s="2"/>
      <c r="H4345" s="2"/>
      <c r="I4345" s="2"/>
    </row>
    <row r="4346">
      <c r="A4346" s="1" t="s">
        <v>4409</v>
      </c>
      <c r="B4346" s="2" t="s">
        <v>4402</v>
      </c>
      <c r="C4346" s="2"/>
      <c r="D4346" s="2" t="s">
        <v>11</v>
      </c>
      <c r="E4346" s="2">
        <v>21.0</v>
      </c>
      <c r="F4346" s="2" t="s">
        <v>12</v>
      </c>
      <c r="G4346" s="2"/>
      <c r="H4346" s="2"/>
      <c r="I4346" s="2"/>
    </row>
    <row r="4347">
      <c r="A4347" s="2" t="s">
        <v>4410</v>
      </c>
      <c r="B4347" s="2" t="s">
        <v>4402</v>
      </c>
      <c r="C4347" s="2"/>
      <c r="D4347" s="2" t="s">
        <v>11</v>
      </c>
      <c r="E4347" s="2">
        <v>10.0</v>
      </c>
      <c r="F4347" s="2" t="s">
        <v>12</v>
      </c>
      <c r="G4347" s="2"/>
      <c r="H4347" s="2"/>
      <c r="I4347" s="2"/>
    </row>
    <row r="4348">
      <c r="A4348" s="2" t="s">
        <v>4411</v>
      </c>
      <c r="B4348" s="2" t="s">
        <v>4402</v>
      </c>
      <c r="C4348" s="2"/>
      <c r="D4348" s="2" t="s">
        <v>21</v>
      </c>
      <c r="E4348" s="2">
        <v>1.0</v>
      </c>
      <c r="F4348" s="2" t="s">
        <v>22</v>
      </c>
      <c r="G4348" s="2"/>
      <c r="H4348" s="2"/>
      <c r="I4348" s="2"/>
    </row>
    <row r="4349">
      <c r="A4349" s="1" t="s">
        <v>4412</v>
      </c>
      <c r="B4349" s="2" t="s">
        <v>4402</v>
      </c>
      <c r="C4349" s="1"/>
      <c r="D4349" s="2"/>
      <c r="E4349" s="2"/>
      <c r="F4349" s="2"/>
      <c r="G4349" s="2"/>
      <c r="H4349" s="2"/>
      <c r="I4349" s="2"/>
    </row>
    <row r="4350">
      <c r="A4350" s="1" t="s">
        <v>4413</v>
      </c>
      <c r="B4350" s="2" t="s">
        <v>4402</v>
      </c>
      <c r="C4350" s="1"/>
      <c r="D4350" s="2"/>
      <c r="E4350" s="2"/>
      <c r="F4350" s="2"/>
      <c r="G4350" s="2"/>
      <c r="H4350" s="2"/>
      <c r="I4350" s="2"/>
    </row>
    <row r="4351">
      <c r="A4351" s="2" t="s">
        <v>4414</v>
      </c>
      <c r="B4351" s="2" t="s">
        <v>4402</v>
      </c>
      <c r="C4351" s="2"/>
      <c r="D4351" s="2"/>
      <c r="E4351" s="2"/>
      <c r="F4351" s="2"/>
      <c r="G4351" s="2"/>
      <c r="H4351" s="2"/>
      <c r="I4351" s="2"/>
    </row>
    <row r="4352">
      <c r="A4352" s="1" t="s">
        <v>4415</v>
      </c>
      <c r="B4352" s="2" t="s">
        <v>4402</v>
      </c>
      <c r="C4352" s="2"/>
      <c r="D4352" s="2" t="s">
        <v>11</v>
      </c>
      <c r="E4352" s="2">
        <v>10.0</v>
      </c>
      <c r="F4352" s="2" t="s">
        <v>12</v>
      </c>
      <c r="G4352" s="2"/>
      <c r="H4352" s="2"/>
      <c r="I4352" s="2"/>
    </row>
    <row r="4353">
      <c r="A4353" s="1" t="s">
        <v>4416</v>
      </c>
      <c r="B4353" s="2" t="s">
        <v>4402</v>
      </c>
      <c r="C4353" s="2"/>
      <c r="D4353" s="2" t="s">
        <v>11</v>
      </c>
      <c r="E4353" s="2">
        <v>10.0</v>
      </c>
      <c r="F4353" s="2" t="s">
        <v>12</v>
      </c>
      <c r="G4353" s="2"/>
      <c r="H4353" s="2"/>
      <c r="I4353" s="2"/>
    </row>
    <row r="4354">
      <c r="A4354" s="1" t="s">
        <v>4417</v>
      </c>
      <c r="B4354" s="2" t="s">
        <v>4402</v>
      </c>
      <c r="C4354" s="2"/>
      <c r="D4354" s="2" t="s">
        <v>11</v>
      </c>
      <c r="E4354" s="2">
        <v>10.0</v>
      </c>
      <c r="F4354" s="2" t="s">
        <v>12</v>
      </c>
      <c r="G4354" s="2"/>
      <c r="H4354" s="2"/>
      <c r="I4354" s="2"/>
    </row>
    <row r="4355">
      <c r="A4355" s="1" t="s">
        <v>4418</v>
      </c>
      <c r="B4355" s="2" t="s">
        <v>4402</v>
      </c>
      <c r="C4355" s="2"/>
      <c r="D4355" s="2" t="s">
        <v>11</v>
      </c>
      <c r="E4355" s="2">
        <v>10.0</v>
      </c>
      <c r="F4355" s="2" t="s">
        <v>12</v>
      </c>
      <c r="G4355" s="2"/>
      <c r="H4355" s="2"/>
      <c r="I4355" s="2"/>
    </row>
    <row r="4356">
      <c r="A4356" s="1" t="s">
        <v>4419</v>
      </c>
      <c r="B4356" s="2" t="s">
        <v>4402</v>
      </c>
      <c r="C4356" s="2"/>
      <c r="D4356" s="2" t="s">
        <v>11</v>
      </c>
      <c r="E4356" s="2">
        <v>10.0</v>
      </c>
      <c r="F4356" s="2" t="s">
        <v>12</v>
      </c>
      <c r="G4356" s="2"/>
      <c r="H4356" s="2"/>
      <c r="I4356" s="2"/>
    </row>
    <row r="4357">
      <c r="A4357" s="2" t="s">
        <v>4420</v>
      </c>
      <c r="B4357" s="2" t="s">
        <v>4402</v>
      </c>
      <c r="C4357" s="2"/>
      <c r="D4357" s="2" t="s">
        <v>11</v>
      </c>
      <c r="E4357" s="2">
        <v>10.0</v>
      </c>
      <c r="F4357" s="2" t="s">
        <v>12</v>
      </c>
      <c r="G4357" s="2"/>
      <c r="H4357" s="2"/>
      <c r="I4357" s="2"/>
    </row>
    <row r="4358">
      <c r="A4358" s="2" t="s">
        <v>4421</v>
      </c>
      <c r="B4358" s="2" t="s">
        <v>4402</v>
      </c>
      <c r="C4358" s="2"/>
      <c r="D4358" s="2" t="s">
        <v>11</v>
      </c>
      <c r="E4358" s="2">
        <v>10.0</v>
      </c>
      <c r="F4358" s="2" t="s">
        <v>12</v>
      </c>
      <c r="G4358" s="2"/>
      <c r="H4358" s="2"/>
      <c r="I4358" s="2"/>
    </row>
    <row r="4359">
      <c r="A4359" s="2" t="s">
        <v>4422</v>
      </c>
      <c r="B4359" s="2" t="s">
        <v>4423</v>
      </c>
      <c r="C4359" s="2"/>
      <c r="D4359" s="2" t="s">
        <v>11</v>
      </c>
      <c r="E4359" s="2">
        <v>10.0</v>
      </c>
      <c r="F4359" s="2" t="s">
        <v>12</v>
      </c>
      <c r="G4359" s="2"/>
      <c r="H4359" s="2"/>
      <c r="I4359" s="2"/>
    </row>
    <row r="4360">
      <c r="A4360" s="1" t="s">
        <v>4424</v>
      </c>
      <c r="B4360" s="2" t="s">
        <v>4423</v>
      </c>
      <c r="C4360" s="2"/>
      <c r="D4360" s="2" t="s">
        <v>73</v>
      </c>
      <c r="E4360" s="2">
        <v>1.0</v>
      </c>
      <c r="F4360" s="2" t="s">
        <v>74</v>
      </c>
      <c r="G4360" s="2"/>
      <c r="H4360" s="2"/>
      <c r="I4360" s="2"/>
    </row>
    <row r="4361">
      <c r="A4361" s="2" t="s">
        <v>4425</v>
      </c>
      <c r="B4361" s="2" t="s">
        <v>4423</v>
      </c>
      <c r="C4361" s="2"/>
      <c r="D4361" s="2" t="s">
        <v>11</v>
      </c>
      <c r="E4361" s="2">
        <v>10.0</v>
      </c>
      <c r="F4361" s="2" t="s">
        <v>12</v>
      </c>
      <c r="G4361" s="2"/>
      <c r="H4361" s="2"/>
      <c r="I4361" s="2"/>
    </row>
    <row r="4362">
      <c r="A4362" s="1" t="s">
        <v>4426</v>
      </c>
      <c r="B4362" s="2" t="s">
        <v>4423</v>
      </c>
      <c r="C4362" s="2"/>
      <c r="D4362" s="2" t="s">
        <v>11</v>
      </c>
      <c r="E4362" s="2">
        <v>24.0</v>
      </c>
      <c r="F4362" s="2"/>
      <c r="G4362" s="2"/>
      <c r="H4362" s="2"/>
      <c r="I4362" s="2"/>
    </row>
    <row r="4363">
      <c r="A4363" s="1" t="s">
        <v>4427</v>
      </c>
      <c r="B4363" s="2" t="s">
        <v>4423</v>
      </c>
      <c r="C4363" s="2"/>
      <c r="D4363" s="2" t="s">
        <v>11</v>
      </c>
      <c r="E4363" s="2">
        <v>21.0</v>
      </c>
      <c r="F4363" s="2" t="s">
        <v>12</v>
      </c>
      <c r="G4363" s="2"/>
      <c r="H4363" s="2"/>
      <c r="I4363" s="2"/>
    </row>
    <row r="4364">
      <c r="A4364" s="2" t="s">
        <v>4428</v>
      </c>
      <c r="B4364" s="2" t="s">
        <v>4423</v>
      </c>
      <c r="C4364" s="2"/>
      <c r="D4364" s="2" t="s">
        <v>11</v>
      </c>
      <c r="E4364" s="2">
        <v>10.0</v>
      </c>
      <c r="F4364" s="2" t="s">
        <v>12</v>
      </c>
      <c r="G4364" s="2"/>
      <c r="H4364" s="2"/>
      <c r="I4364" s="2"/>
    </row>
    <row r="4365">
      <c r="A4365" s="2" t="s">
        <v>4429</v>
      </c>
      <c r="B4365" s="2" t="s">
        <v>4423</v>
      </c>
      <c r="C4365" s="2"/>
      <c r="D4365" s="2" t="s">
        <v>11</v>
      </c>
      <c r="E4365" s="2">
        <v>10.0</v>
      </c>
      <c r="F4365" s="2" t="s">
        <v>12</v>
      </c>
      <c r="G4365" s="2"/>
      <c r="H4365" s="2"/>
      <c r="I4365" s="2"/>
    </row>
    <row r="4366">
      <c r="A4366" s="2" t="s">
        <v>4430</v>
      </c>
      <c r="B4366" s="2" t="s">
        <v>4423</v>
      </c>
      <c r="C4366" s="2"/>
      <c r="D4366" s="2" t="s">
        <v>11</v>
      </c>
      <c r="E4366" s="2">
        <v>10.0</v>
      </c>
      <c r="F4366" s="2" t="s">
        <v>12</v>
      </c>
      <c r="G4366" s="2"/>
      <c r="H4366" s="2"/>
      <c r="I4366" s="2"/>
    </row>
    <row r="4367">
      <c r="A4367" s="1" t="s">
        <v>4431</v>
      </c>
      <c r="B4367" s="2" t="s">
        <v>4423</v>
      </c>
      <c r="C4367" s="2"/>
      <c r="D4367" s="2" t="s">
        <v>11</v>
      </c>
      <c r="E4367" s="2">
        <v>10.0</v>
      </c>
      <c r="F4367" s="2" t="s">
        <v>12</v>
      </c>
      <c r="G4367" s="2"/>
      <c r="H4367" s="2"/>
      <c r="I4367" s="2"/>
    </row>
    <row r="4368">
      <c r="A4368" s="1" t="s">
        <v>4432</v>
      </c>
      <c r="B4368" s="2" t="s">
        <v>4423</v>
      </c>
      <c r="C4368" s="2"/>
      <c r="D4368" s="2" t="s">
        <v>11</v>
      </c>
      <c r="E4368" s="2">
        <v>5.0</v>
      </c>
      <c r="F4368" s="2" t="s">
        <v>12</v>
      </c>
      <c r="G4368" s="2"/>
      <c r="H4368" s="2"/>
      <c r="I4368" s="2"/>
    </row>
    <row r="4369">
      <c r="A4369" s="2" t="s">
        <v>4433</v>
      </c>
      <c r="B4369" s="2" t="s">
        <v>4423</v>
      </c>
      <c r="C4369" s="2"/>
      <c r="D4369" s="2" t="s">
        <v>37</v>
      </c>
      <c r="E4369" s="2">
        <v>10.0</v>
      </c>
      <c r="F4369" s="2" t="s">
        <v>12</v>
      </c>
      <c r="G4369" s="2"/>
      <c r="H4369" s="2"/>
      <c r="I4369" s="2"/>
    </row>
    <row r="4370">
      <c r="A4370" s="1" t="s">
        <v>4434</v>
      </c>
      <c r="B4370" s="2" t="s">
        <v>4423</v>
      </c>
      <c r="C4370" s="2"/>
      <c r="D4370" s="2" t="s">
        <v>37</v>
      </c>
      <c r="E4370" s="2">
        <v>10.0</v>
      </c>
      <c r="F4370" s="2" t="s">
        <v>12</v>
      </c>
      <c r="G4370" s="2"/>
      <c r="H4370" s="2"/>
      <c r="I4370" s="2"/>
    </row>
    <row r="4371">
      <c r="A4371" s="1" t="s">
        <v>4435</v>
      </c>
      <c r="B4371" s="2" t="s">
        <v>4423</v>
      </c>
      <c r="C4371" s="2"/>
      <c r="D4371" s="2" t="s">
        <v>37</v>
      </c>
      <c r="E4371" s="2">
        <v>10.0</v>
      </c>
      <c r="F4371" s="2" t="s">
        <v>12</v>
      </c>
      <c r="G4371" s="2"/>
      <c r="H4371" s="2"/>
      <c r="I4371" s="2"/>
    </row>
    <row r="4372">
      <c r="A4372" s="1" t="s">
        <v>4436</v>
      </c>
      <c r="B4372" s="2" t="s">
        <v>4423</v>
      </c>
      <c r="C4372" s="2"/>
      <c r="D4372" s="2" t="s">
        <v>37</v>
      </c>
      <c r="E4372" s="2">
        <v>10.0</v>
      </c>
      <c r="F4372" s="2" t="s">
        <v>12</v>
      </c>
      <c r="G4372" s="2"/>
      <c r="H4372" s="2"/>
      <c r="I4372" s="2"/>
    </row>
    <row r="4373">
      <c r="A4373" s="1" t="s">
        <v>4437</v>
      </c>
      <c r="B4373" s="2" t="s">
        <v>4423</v>
      </c>
      <c r="C4373" s="2"/>
      <c r="D4373" s="2" t="s">
        <v>37</v>
      </c>
      <c r="E4373" s="2">
        <v>10.0</v>
      </c>
      <c r="F4373" s="2" t="s">
        <v>12</v>
      </c>
      <c r="G4373" s="2"/>
      <c r="H4373" s="2"/>
      <c r="I4373" s="2"/>
    </row>
    <row r="4374">
      <c r="A4374" s="1" t="s">
        <v>4438</v>
      </c>
      <c r="B4374" s="2" t="s">
        <v>4423</v>
      </c>
      <c r="C4374" s="2"/>
      <c r="D4374" s="2"/>
      <c r="E4374" s="2"/>
      <c r="F4374" s="2"/>
      <c r="G4374" s="2"/>
      <c r="H4374" s="2"/>
      <c r="I4374" s="2"/>
    </row>
    <row r="4375">
      <c r="A4375" s="1" t="s">
        <v>4439</v>
      </c>
      <c r="B4375" s="2" t="s">
        <v>4423</v>
      </c>
      <c r="C4375" s="1"/>
      <c r="D4375" s="2"/>
      <c r="E4375" s="2"/>
      <c r="F4375" s="2"/>
      <c r="G4375" s="2"/>
      <c r="H4375" s="2"/>
      <c r="I4375" s="2"/>
    </row>
    <row r="4376">
      <c r="A4376" s="1" t="s">
        <v>4440</v>
      </c>
      <c r="B4376" s="2" t="s">
        <v>4423</v>
      </c>
      <c r="C4376" s="2"/>
      <c r="D4376" s="1" t="s">
        <v>11</v>
      </c>
      <c r="E4376" s="2">
        <v>4.0</v>
      </c>
      <c r="F4376" s="2" t="s">
        <v>12</v>
      </c>
      <c r="G4376" s="2"/>
      <c r="H4376" s="2"/>
      <c r="I4376" s="2"/>
    </row>
    <row r="4377">
      <c r="A4377" s="1" t="s">
        <v>4441</v>
      </c>
      <c r="B4377" s="2" t="s">
        <v>4442</v>
      </c>
      <c r="C4377" s="2"/>
      <c r="D4377" s="2" t="s">
        <v>11</v>
      </c>
      <c r="E4377" s="2">
        <v>10.0</v>
      </c>
      <c r="F4377" s="2" t="s">
        <v>12</v>
      </c>
      <c r="G4377" s="2"/>
      <c r="H4377" s="2"/>
      <c r="I4377" s="2"/>
    </row>
    <row r="4378">
      <c r="A4378" s="1" t="s">
        <v>4443</v>
      </c>
      <c r="B4378" s="2" t="s">
        <v>4442</v>
      </c>
      <c r="C4378" s="2"/>
      <c r="D4378" s="2" t="s">
        <v>11</v>
      </c>
      <c r="E4378" s="2">
        <v>10.0</v>
      </c>
      <c r="F4378" s="2" t="s">
        <v>12</v>
      </c>
      <c r="G4378" s="2"/>
      <c r="H4378" s="2"/>
      <c r="I4378" s="2"/>
    </row>
    <row r="4379">
      <c r="A4379" s="1" t="s">
        <v>4444</v>
      </c>
      <c r="B4379" s="2" t="s">
        <v>4442</v>
      </c>
      <c r="C4379" s="2"/>
      <c r="D4379" s="2" t="s">
        <v>11</v>
      </c>
      <c r="E4379" s="2">
        <v>10.0</v>
      </c>
      <c r="F4379" s="2" t="s">
        <v>12</v>
      </c>
      <c r="G4379" s="2"/>
      <c r="H4379" s="2"/>
      <c r="I4379" s="2"/>
    </row>
    <row r="4380">
      <c r="A4380" s="1" t="s">
        <v>4445</v>
      </c>
      <c r="B4380" s="2" t="s">
        <v>4442</v>
      </c>
      <c r="C4380" s="2"/>
      <c r="D4380" s="2" t="s">
        <v>11</v>
      </c>
      <c r="E4380" s="2">
        <v>10.0</v>
      </c>
      <c r="F4380" s="2" t="s">
        <v>12</v>
      </c>
      <c r="G4380" s="2"/>
      <c r="H4380" s="2"/>
      <c r="I4380" s="2"/>
    </row>
    <row r="4381">
      <c r="A4381" s="2" t="s">
        <v>4446</v>
      </c>
      <c r="B4381" s="2" t="s">
        <v>4442</v>
      </c>
      <c r="C4381" s="2"/>
      <c r="D4381" s="2" t="s">
        <v>11</v>
      </c>
      <c r="E4381" s="2">
        <v>10.0</v>
      </c>
      <c r="F4381" s="2" t="s">
        <v>12</v>
      </c>
      <c r="G4381" s="2"/>
      <c r="H4381" s="2"/>
      <c r="I4381" s="2"/>
    </row>
    <row r="4382">
      <c r="A4382" s="2" t="s">
        <v>4447</v>
      </c>
      <c r="B4382" s="2" t="s">
        <v>4442</v>
      </c>
      <c r="C4382" s="2"/>
      <c r="D4382" s="2" t="s">
        <v>11</v>
      </c>
      <c r="E4382" s="2">
        <v>10.0</v>
      </c>
      <c r="F4382" s="2" t="s">
        <v>12</v>
      </c>
      <c r="G4382" s="2"/>
      <c r="H4382" s="2"/>
      <c r="I4382" s="2"/>
    </row>
    <row r="4383">
      <c r="A4383" s="1" t="s">
        <v>4448</v>
      </c>
      <c r="B4383" s="2" t="s">
        <v>4442</v>
      </c>
      <c r="C4383" s="2"/>
      <c r="D4383" s="2" t="s">
        <v>11</v>
      </c>
      <c r="E4383" s="2">
        <v>14.0</v>
      </c>
      <c r="F4383" s="2" t="s">
        <v>12</v>
      </c>
      <c r="G4383" s="2"/>
      <c r="H4383" s="2"/>
      <c r="I4383" s="2"/>
    </row>
    <row r="4384">
      <c r="A4384" s="1" t="s">
        <v>4449</v>
      </c>
      <c r="B4384" s="2" t="s">
        <v>4442</v>
      </c>
      <c r="C4384" s="2"/>
      <c r="D4384" s="2" t="s">
        <v>11</v>
      </c>
      <c r="E4384" s="2">
        <v>14.0</v>
      </c>
      <c r="F4384" s="2" t="s">
        <v>12</v>
      </c>
      <c r="G4384" s="2"/>
      <c r="H4384" s="2"/>
      <c r="I4384" s="2"/>
    </row>
    <row r="4385">
      <c r="A4385" s="1" t="s">
        <v>4450</v>
      </c>
      <c r="B4385" s="2" t="s">
        <v>4442</v>
      </c>
      <c r="C4385" s="2"/>
      <c r="D4385" s="2" t="s">
        <v>11</v>
      </c>
      <c r="E4385" s="2">
        <v>10.0</v>
      </c>
      <c r="F4385" s="2" t="s">
        <v>12</v>
      </c>
      <c r="G4385" s="2"/>
      <c r="H4385" s="2"/>
      <c r="I4385" s="2"/>
    </row>
    <row r="4386">
      <c r="A4386" s="2" t="s">
        <v>4451</v>
      </c>
      <c r="B4386" s="2" t="s">
        <v>4442</v>
      </c>
      <c r="C4386" s="2"/>
      <c r="D4386" s="2" t="s">
        <v>37</v>
      </c>
      <c r="E4386" s="2">
        <v>10.0</v>
      </c>
      <c r="F4386" s="2" t="s">
        <v>12</v>
      </c>
      <c r="G4386" s="2"/>
      <c r="H4386" s="2"/>
      <c r="I4386" s="2"/>
    </row>
    <row r="4387">
      <c r="A4387" s="2" t="s">
        <v>4452</v>
      </c>
      <c r="B4387" s="2" t="s">
        <v>4442</v>
      </c>
      <c r="C4387" s="2"/>
      <c r="D4387" s="2" t="s">
        <v>1023</v>
      </c>
      <c r="E4387" s="2">
        <v>4.0</v>
      </c>
      <c r="F4387" s="2"/>
      <c r="G4387" s="2"/>
      <c r="H4387" s="2"/>
      <c r="I4387" s="2"/>
    </row>
    <row r="4388">
      <c r="A4388" s="2" t="s">
        <v>4453</v>
      </c>
      <c r="B4388" s="2" t="s">
        <v>4442</v>
      </c>
      <c r="C4388" s="2"/>
      <c r="D4388" s="2" t="s">
        <v>11</v>
      </c>
      <c r="E4388" s="2">
        <v>8.0</v>
      </c>
      <c r="F4388" s="2" t="s">
        <v>12</v>
      </c>
      <c r="G4388" s="2"/>
      <c r="H4388" s="2"/>
      <c r="I4388" s="2"/>
    </row>
    <row r="4389">
      <c r="A4389" s="2" t="s">
        <v>4454</v>
      </c>
      <c r="B4389" s="2" t="s">
        <v>4442</v>
      </c>
      <c r="C4389" s="2"/>
      <c r="D4389" s="2" t="s">
        <v>37</v>
      </c>
      <c r="E4389" s="2">
        <v>10.0</v>
      </c>
      <c r="F4389" s="2" t="s">
        <v>12</v>
      </c>
      <c r="G4389" s="2"/>
      <c r="H4389" s="2"/>
      <c r="I4389" s="2"/>
    </row>
    <row r="4390">
      <c r="A4390" s="2" t="s">
        <v>4455</v>
      </c>
      <c r="B4390" s="2" t="s">
        <v>4442</v>
      </c>
      <c r="C4390" s="2"/>
      <c r="D4390" s="2" t="s">
        <v>11</v>
      </c>
      <c r="E4390" s="2">
        <v>10.0</v>
      </c>
      <c r="F4390" s="2" t="s">
        <v>12</v>
      </c>
      <c r="G4390" s="2"/>
      <c r="H4390" s="2"/>
      <c r="I4390" s="2"/>
    </row>
    <row r="4391">
      <c r="A4391" s="1" t="s">
        <v>4456</v>
      </c>
      <c r="B4391" s="2" t="s">
        <v>4442</v>
      </c>
      <c r="C4391" s="2"/>
      <c r="D4391" s="2" t="s">
        <v>11</v>
      </c>
      <c r="E4391" s="2">
        <v>10.0</v>
      </c>
      <c r="F4391" s="2" t="s">
        <v>12</v>
      </c>
      <c r="G4391" s="2"/>
      <c r="H4391" s="2"/>
      <c r="I4391" s="2"/>
    </row>
    <row r="4392">
      <c r="A4392" s="1" t="s">
        <v>4456</v>
      </c>
      <c r="B4392" s="2" t="s">
        <v>4442</v>
      </c>
      <c r="C4392" s="2"/>
      <c r="D4392" s="2" t="s">
        <v>11</v>
      </c>
      <c r="E4392" s="2">
        <v>15.0</v>
      </c>
      <c r="F4392" s="2" t="s">
        <v>12</v>
      </c>
      <c r="G4392" s="2"/>
      <c r="H4392" s="2"/>
      <c r="I4392" s="2"/>
    </row>
    <row r="4393">
      <c r="A4393" s="1" t="s">
        <v>4457</v>
      </c>
      <c r="B4393" s="2" t="s">
        <v>4442</v>
      </c>
      <c r="C4393" s="2"/>
      <c r="D4393" s="2" t="s">
        <v>11</v>
      </c>
      <c r="E4393" s="2">
        <v>15.0</v>
      </c>
      <c r="F4393" s="2" t="s">
        <v>12</v>
      </c>
      <c r="G4393" s="2"/>
      <c r="H4393" s="2"/>
      <c r="I4393" s="2"/>
    </row>
    <row r="4394">
      <c r="A4394" s="1" t="s">
        <v>4458</v>
      </c>
      <c r="B4394" s="2" t="s">
        <v>4442</v>
      </c>
      <c r="C4394" s="2"/>
      <c r="D4394" s="2" t="s">
        <v>11</v>
      </c>
      <c r="E4394" s="2">
        <v>10.0</v>
      </c>
      <c r="F4394" s="2" t="s">
        <v>12</v>
      </c>
      <c r="G4394" s="2"/>
      <c r="H4394" s="2"/>
      <c r="I4394" s="2"/>
    </row>
    <row r="4395">
      <c r="A4395" s="2" t="s">
        <v>4459</v>
      </c>
      <c r="B4395" s="2" t="s">
        <v>4442</v>
      </c>
      <c r="C4395" s="2"/>
      <c r="D4395" s="2" t="s">
        <v>37</v>
      </c>
      <c r="E4395" s="2">
        <v>10.0</v>
      </c>
      <c r="F4395" s="2" t="s">
        <v>12</v>
      </c>
      <c r="G4395" s="2"/>
      <c r="H4395" s="2"/>
      <c r="I4395" s="2"/>
    </row>
    <row r="4396">
      <c r="A4396" s="2" t="s">
        <v>4460</v>
      </c>
      <c r="B4396" s="2" t="s">
        <v>4442</v>
      </c>
      <c r="C4396" s="2"/>
      <c r="D4396" s="2" t="s">
        <v>37</v>
      </c>
      <c r="E4396" s="2">
        <v>15.0</v>
      </c>
      <c r="F4396" s="2" t="s">
        <v>12</v>
      </c>
      <c r="G4396" s="2"/>
      <c r="H4396" s="2"/>
      <c r="I4396" s="2"/>
    </row>
    <row r="4397">
      <c r="A4397" s="2" t="s">
        <v>4461</v>
      </c>
      <c r="B4397" s="2" t="s">
        <v>4442</v>
      </c>
      <c r="C4397" s="2"/>
      <c r="D4397" s="2" t="s">
        <v>73</v>
      </c>
      <c r="E4397" s="2">
        <v>1.0</v>
      </c>
      <c r="F4397" s="2" t="s">
        <v>74</v>
      </c>
      <c r="G4397" s="2"/>
      <c r="H4397" s="2"/>
      <c r="I4397" s="2"/>
    </row>
    <row r="4398">
      <c r="A4398" s="2" t="s">
        <v>4462</v>
      </c>
      <c r="B4398" s="2" t="s">
        <v>4442</v>
      </c>
      <c r="C4398" s="2"/>
      <c r="D4398" s="2" t="s">
        <v>37</v>
      </c>
      <c r="E4398" s="2">
        <v>10.0</v>
      </c>
      <c r="F4398" s="2" t="s">
        <v>12</v>
      </c>
      <c r="G4398" s="2"/>
      <c r="H4398" s="2"/>
      <c r="I4398" s="2"/>
    </row>
    <row r="4399">
      <c r="A4399" s="2" t="s">
        <v>4463</v>
      </c>
      <c r="B4399" s="2" t="s">
        <v>4442</v>
      </c>
      <c r="C4399" s="2"/>
      <c r="D4399" s="2" t="s">
        <v>11</v>
      </c>
      <c r="E4399" s="2">
        <v>10.0</v>
      </c>
      <c r="F4399" s="2" t="s">
        <v>12</v>
      </c>
      <c r="G4399" s="2"/>
      <c r="H4399" s="2"/>
      <c r="I4399" s="2"/>
    </row>
    <row r="4400">
      <c r="A4400" s="1" t="s">
        <v>4464</v>
      </c>
      <c r="B4400" s="2" t="s">
        <v>4442</v>
      </c>
      <c r="C4400" s="2"/>
      <c r="D4400" s="2" t="s">
        <v>11</v>
      </c>
      <c r="E4400" s="2">
        <v>10.0</v>
      </c>
      <c r="F4400" s="2" t="s">
        <v>12</v>
      </c>
      <c r="G4400" s="2"/>
      <c r="H4400" s="2"/>
      <c r="I4400" s="2"/>
    </row>
    <row r="4401">
      <c r="A4401" s="1" t="s">
        <v>4465</v>
      </c>
      <c r="B4401" s="2" t="s">
        <v>4466</v>
      </c>
      <c r="C4401" s="2"/>
      <c r="D4401" s="2" t="s">
        <v>11</v>
      </c>
      <c r="E4401" s="2">
        <v>10.0</v>
      </c>
      <c r="F4401" s="2" t="s">
        <v>12</v>
      </c>
      <c r="G4401" s="2"/>
      <c r="H4401" s="2"/>
      <c r="I4401" s="2"/>
    </row>
    <row r="4402">
      <c r="A4402" s="2" t="s">
        <v>4467</v>
      </c>
      <c r="B4402" s="2" t="s">
        <v>4466</v>
      </c>
      <c r="C4402" s="2"/>
      <c r="D4402" s="2" t="s">
        <v>37</v>
      </c>
      <c r="E4402" s="2">
        <v>10.0</v>
      </c>
      <c r="F4402" s="2" t="s">
        <v>12</v>
      </c>
      <c r="G4402" s="2"/>
      <c r="H4402" s="2"/>
      <c r="I4402" s="2"/>
    </row>
    <row r="4403">
      <c r="A4403" s="2" t="s">
        <v>4468</v>
      </c>
      <c r="B4403" s="2" t="s">
        <v>4466</v>
      </c>
      <c r="C4403" s="2"/>
      <c r="D4403" s="2" t="s">
        <v>11</v>
      </c>
      <c r="E4403" s="2">
        <v>10.0</v>
      </c>
      <c r="F4403" s="2" t="s">
        <v>12</v>
      </c>
      <c r="G4403" s="2"/>
      <c r="H4403" s="2"/>
      <c r="I4403" s="2"/>
    </row>
    <row r="4404">
      <c r="A4404" s="1" t="s">
        <v>4469</v>
      </c>
      <c r="B4404" s="2" t="s">
        <v>4466</v>
      </c>
      <c r="C4404" s="2"/>
      <c r="D4404" s="2" t="s">
        <v>11</v>
      </c>
      <c r="E4404" s="2">
        <v>10.0</v>
      </c>
      <c r="F4404" s="2" t="s">
        <v>12</v>
      </c>
      <c r="G4404" s="2"/>
      <c r="H4404" s="2"/>
      <c r="I4404" s="2"/>
    </row>
    <row r="4405">
      <c r="A4405" s="1" t="s">
        <v>4470</v>
      </c>
      <c r="B4405" s="2" t="s">
        <v>4466</v>
      </c>
      <c r="C4405" s="2"/>
      <c r="D4405" s="2" t="s">
        <v>11</v>
      </c>
      <c r="E4405" s="2">
        <v>10.0</v>
      </c>
      <c r="F4405" s="2" t="s">
        <v>12</v>
      </c>
      <c r="G4405" s="2"/>
      <c r="H4405" s="2"/>
      <c r="I4405" s="2"/>
    </row>
    <row r="4406">
      <c r="A4406" s="2" t="s">
        <v>4471</v>
      </c>
      <c r="B4406" s="2" t="s">
        <v>4466</v>
      </c>
      <c r="C4406" s="2"/>
      <c r="D4406" s="2" t="s">
        <v>11</v>
      </c>
      <c r="E4406" s="2">
        <v>10.0</v>
      </c>
      <c r="F4406" s="2" t="s">
        <v>12</v>
      </c>
      <c r="G4406" s="2"/>
      <c r="H4406" s="2"/>
      <c r="I4406" s="2"/>
    </row>
    <row r="4407">
      <c r="A4407" s="2" t="s">
        <v>4472</v>
      </c>
      <c r="B4407" s="2" t="s">
        <v>4466</v>
      </c>
      <c r="C4407" s="2"/>
      <c r="D4407" s="2" t="s">
        <v>4473</v>
      </c>
      <c r="E4407" s="2">
        <v>6.0</v>
      </c>
      <c r="F4407" s="2" t="s">
        <v>22</v>
      </c>
      <c r="G4407" s="2"/>
      <c r="H4407" s="2"/>
      <c r="I4407" s="2"/>
    </row>
    <row r="4408">
      <c r="A4408" s="2" t="s">
        <v>4474</v>
      </c>
      <c r="B4408" s="2" t="s">
        <v>4466</v>
      </c>
      <c r="C4408" s="1"/>
      <c r="D4408" s="2"/>
      <c r="E4408" s="2"/>
      <c r="F4408" s="2"/>
      <c r="G4408" s="2"/>
      <c r="H4408" s="2"/>
      <c r="I4408" s="2"/>
    </row>
    <row r="4409">
      <c r="A4409" s="2" t="s">
        <v>4475</v>
      </c>
      <c r="B4409" s="2" t="s">
        <v>4466</v>
      </c>
      <c r="C4409" s="1"/>
      <c r="D4409" s="2"/>
      <c r="E4409" s="2"/>
      <c r="F4409" s="2"/>
      <c r="G4409" s="2"/>
      <c r="H4409" s="2"/>
      <c r="I4409" s="2"/>
    </row>
    <row r="4410">
      <c r="A4410" s="2" t="s">
        <v>4476</v>
      </c>
      <c r="B4410" s="2" t="s">
        <v>4466</v>
      </c>
      <c r="C4410" s="2"/>
      <c r="D4410" s="2" t="s">
        <v>21</v>
      </c>
      <c r="E4410" s="2">
        <v>1.0</v>
      </c>
      <c r="F4410" s="2" t="s">
        <v>22</v>
      </c>
      <c r="G4410" s="2"/>
      <c r="H4410" s="2"/>
      <c r="I4410" s="2"/>
    </row>
    <row r="4411">
      <c r="A4411" s="1" t="s">
        <v>4477</v>
      </c>
      <c r="B4411" s="2" t="s">
        <v>4466</v>
      </c>
      <c r="C4411" s="2"/>
      <c r="D4411" s="2" t="s">
        <v>37</v>
      </c>
      <c r="E4411" s="2">
        <v>15.0</v>
      </c>
      <c r="F4411" s="2" t="s">
        <v>12</v>
      </c>
      <c r="G4411" s="2"/>
      <c r="H4411" s="2"/>
      <c r="I4411" s="2"/>
    </row>
    <row r="4412">
      <c r="A4412" s="1" t="s">
        <v>4478</v>
      </c>
      <c r="B4412" s="2" t="s">
        <v>4466</v>
      </c>
      <c r="C4412" s="2"/>
      <c r="D4412" s="2" t="s">
        <v>37</v>
      </c>
      <c r="E4412" s="2">
        <v>15.0</v>
      </c>
      <c r="F4412" s="2" t="s">
        <v>12</v>
      </c>
      <c r="G4412" s="2"/>
      <c r="H4412" s="2"/>
      <c r="I4412" s="2"/>
    </row>
    <row r="4413">
      <c r="A4413" s="1" t="s">
        <v>4479</v>
      </c>
      <c r="B4413" s="2" t="s">
        <v>4466</v>
      </c>
      <c r="C4413" s="2"/>
      <c r="D4413" s="2" t="s">
        <v>11</v>
      </c>
      <c r="E4413" s="2">
        <v>10.0</v>
      </c>
      <c r="F4413" s="2" t="s">
        <v>12</v>
      </c>
      <c r="G4413" s="2"/>
      <c r="H4413" s="2"/>
      <c r="I4413" s="2"/>
    </row>
    <row r="4414">
      <c r="A4414" s="1" t="s">
        <v>4479</v>
      </c>
      <c r="B4414" s="2" t="s">
        <v>4466</v>
      </c>
      <c r="C4414" s="2"/>
      <c r="D4414" s="2" t="s">
        <v>11</v>
      </c>
      <c r="E4414" s="2">
        <v>15.0</v>
      </c>
      <c r="F4414" s="2" t="s">
        <v>12</v>
      </c>
      <c r="G4414" s="2"/>
      <c r="H4414" s="2"/>
      <c r="I4414" s="2"/>
    </row>
    <row r="4415">
      <c r="A4415" s="1" t="s">
        <v>4480</v>
      </c>
      <c r="B4415" s="2" t="s">
        <v>4466</v>
      </c>
      <c r="C4415" s="2"/>
      <c r="D4415" s="2" t="s">
        <v>21</v>
      </c>
      <c r="E4415" s="2">
        <v>1.0</v>
      </c>
      <c r="F4415" s="2" t="s">
        <v>22</v>
      </c>
      <c r="G4415" s="2"/>
      <c r="H4415" s="2"/>
      <c r="I4415" s="2"/>
    </row>
    <row r="4416">
      <c r="A4416" s="1" t="s">
        <v>4481</v>
      </c>
      <c r="B4416" s="2" t="s">
        <v>4466</v>
      </c>
      <c r="C4416" s="2"/>
      <c r="D4416" s="2" t="s">
        <v>21</v>
      </c>
      <c r="E4416" s="2">
        <v>1.0</v>
      </c>
      <c r="F4416" s="2" t="s">
        <v>22</v>
      </c>
      <c r="G4416" s="2"/>
      <c r="H4416" s="2"/>
      <c r="I4416" s="2"/>
    </row>
    <row r="4417">
      <c r="A4417" s="1" t="s">
        <v>4482</v>
      </c>
      <c r="B4417" s="2" t="s">
        <v>4466</v>
      </c>
      <c r="C4417" s="2"/>
      <c r="D4417" s="2" t="s">
        <v>11</v>
      </c>
      <c r="E4417" s="2">
        <v>10.0</v>
      </c>
      <c r="F4417" s="2" t="s">
        <v>12</v>
      </c>
      <c r="G4417" s="2"/>
      <c r="H4417" s="2"/>
      <c r="I4417" s="2"/>
    </row>
    <row r="4418">
      <c r="A4418" s="2" t="s">
        <v>4483</v>
      </c>
      <c r="B4418" s="2" t="s">
        <v>4466</v>
      </c>
      <c r="C4418" s="2"/>
      <c r="D4418" s="2" t="s">
        <v>11</v>
      </c>
      <c r="E4418" s="2">
        <v>10.0</v>
      </c>
      <c r="F4418" s="2" t="s">
        <v>12</v>
      </c>
      <c r="G4418" s="2"/>
      <c r="H4418" s="2"/>
      <c r="I4418" s="2"/>
    </row>
    <row r="4419">
      <c r="A4419" s="2" t="s">
        <v>4483</v>
      </c>
      <c r="B4419" s="2" t="s">
        <v>4466</v>
      </c>
      <c r="C4419" s="2"/>
      <c r="D4419" s="2" t="s">
        <v>11</v>
      </c>
      <c r="E4419" s="2">
        <v>15.0</v>
      </c>
      <c r="F4419" s="2" t="s">
        <v>12</v>
      </c>
      <c r="G4419" s="2"/>
      <c r="H4419" s="2"/>
      <c r="I4419" s="2"/>
    </row>
    <row r="4420">
      <c r="A4420" s="2" t="s">
        <v>4484</v>
      </c>
      <c r="B4420" s="2" t="s">
        <v>4466</v>
      </c>
      <c r="C4420" s="2"/>
      <c r="D4420" s="2" t="s">
        <v>620</v>
      </c>
      <c r="E4420" s="2">
        <v>5.0</v>
      </c>
      <c r="F4420" s="2"/>
      <c r="G4420" s="2"/>
      <c r="H4420" s="2"/>
      <c r="I4420" s="2"/>
    </row>
    <row r="4421">
      <c r="A4421" s="2" t="s">
        <v>4485</v>
      </c>
      <c r="B4421" s="2" t="s">
        <v>4466</v>
      </c>
      <c r="C4421" s="2"/>
      <c r="D4421" s="2" t="s">
        <v>11</v>
      </c>
      <c r="E4421" s="2">
        <v>10.0</v>
      </c>
      <c r="F4421" s="2" t="s">
        <v>12</v>
      </c>
      <c r="G4421" s="2"/>
      <c r="H4421" s="2"/>
      <c r="I4421" s="2"/>
    </row>
    <row r="4422">
      <c r="A4422" s="2" t="s">
        <v>4485</v>
      </c>
      <c r="B4422" s="2" t="s">
        <v>4466</v>
      </c>
      <c r="C4422" s="2"/>
      <c r="D4422" s="2" t="s">
        <v>11</v>
      </c>
      <c r="E4422" s="2">
        <v>15.0</v>
      </c>
      <c r="F4422" s="2" t="s">
        <v>12</v>
      </c>
      <c r="G4422" s="2"/>
      <c r="H4422" s="2"/>
      <c r="I4422" s="2"/>
    </row>
    <row r="4423">
      <c r="A4423" s="1" t="s">
        <v>4486</v>
      </c>
      <c r="B4423" s="2" t="s">
        <v>4466</v>
      </c>
      <c r="C4423" s="2"/>
      <c r="D4423" s="2" t="s">
        <v>37</v>
      </c>
      <c r="E4423" s="2">
        <v>10.0</v>
      </c>
      <c r="F4423" s="2" t="s">
        <v>12</v>
      </c>
      <c r="G4423" s="2"/>
      <c r="H4423" s="2"/>
      <c r="I4423" s="2"/>
    </row>
    <row r="4424">
      <c r="A4424" s="1" t="s">
        <v>4487</v>
      </c>
      <c r="B4424" s="2" t="s">
        <v>4466</v>
      </c>
      <c r="C4424" s="2"/>
      <c r="D4424" s="2" t="s">
        <v>11</v>
      </c>
      <c r="E4424" s="2">
        <v>10.0</v>
      </c>
      <c r="F4424" s="2" t="s">
        <v>12</v>
      </c>
      <c r="G4424" s="2"/>
      <c r="H4424" s="2"/>
      <c r="I4424" s="2"/>
    </row>
    <row r="4425">
      <c r="A4425" s="1" t="s">
        <v>4488</v>
      </c>
      <c r="B4425" s="2" t="s">
        <v>4466</v>
      </c>
      <c r="C4425" s="2"/>
      <c r="D4425" s="2" t="s">
        <v>37</v>
      </c>
      <c r="E4425" s="2">
        <v>10.0</v>
      </c>
      <c r="F4425" s="2" t="s">
        <v>12</v>
      </c>
      <c r="G4425" s="2"/>
      <c r="H4425" s="2"/>
      <c r="I4425" s="2"/>
    </row>
    <row r="4426">
      <c r="A4426" s="1" t="s">
        <v>4489</v>
      </c>
      <c r="B4426" s="2" t="s">
        <v>4466</v>
      </c>
      <c r="C4426" s="2"/>
      <c r="D4426" s="2" t="s">
        <v>4490</v>
      </c>
      <c r="E4426" s="2">
        <v>1.0</v>
      </c>
      <c r="F4426" s="2"/>
      <c r="G4426" s="2"/>
      <c r="H4426" s="2"/>
      <c r="I4426" s="2"/>
    </row>
    <row r="4427">
      <c r="A4427" s="1" t="s">
        <v>4491</v>
      </c>
      <c r="B4427" s="2" t="s">
        <v>4466</v>
      </c>
      <c r="C4427" s="1"/>
      <c r="D4427" s="2"/>
      <c r="E4427" s="2"/>
      <c r="F4427" s="2"/>
      <c r="G4427" s="2"/>
      <c r="H4427" s="2"/>
      <c r="I4427" s="2"/>
    </row>
    <row r="4428">
      <c r="A4428" s="2" t="s">
        <v>4492</v>
      </c>
      <c r="B4428" s="2" t="s">
        <v>4466</v>
      </c>
      <c r="C4428" s="2"/>
      <c r="D4428" s="2"/>
      <c r="E4428" s="2"/>
      <c r="F4428" s="2"/>
      <c r="G4428" s="2"/>
      <c r="H4428" s="2"/>
      <c r="I4428" s="2"/>
    </row>
    <row r="4429">
      <c r="A4429" s="2" t="s">
        <v>4493</v>
      </c>
      <c r="B4429" s="2" t="s">
        <v>4466</v>
      </c>
      <c r="C4429" s="2"/>
      <c r="D4429" s="2" t="s">
        <v>37</v>
      </c>
      <c r="E4429" s="2">
        <v>10.0</v>
      </c>
      <c r="F4429" s="2" t="s">
        <v>12</v>
      </c>
      <c r="G4429" s="2"/>
      <c r="H4429" s="2"/>
      <c r="I4429" s="2"/>
    </row>
    <row r="4430">
      <c r="A4430" s="2" t="s">
        <v>4494</v>
      </c>
      <c r="B4430" s="2" t="s">
        <v>4466</v>
      </c>
      <c r="C4430" s="2"/>
      <c r="D4430" s="2" t="s">
        <v>37</v>
      </c>
      <c r="E4430" s="2">
        <v>10.0</v>
      </c>
      <c r="F4430" s="2" t="s">
        <v>12</v>
      </c>
      <c r="G4430" s="2"/>
      <c r="H4430" s="2"/>
      <c r="I4430" s="2"/>
    </row>
    <row r="4431">
      <c r="A4431" s="2" t="s">
        <v>4495</v>
      </c>
      <c r="B4431" s="2" t="s">
        <v>4466</v>
      </c>
      <c r="C4431" s="2"/>
      <c r="D4431" s="2" t="s">
        <v>11</v>
      </c>
      <c r="E4431" s="2">
        <v>10.0</v>
      </c>
      <c r="F4431" s="2" t="s">
        <v>12</v>
      </c>
      <c r="G4431" s="2"/>
      <c r="H4431" s="2"/>
      <c r="I4431" s="2"/>
    </row>
    <row r="4432">
      <c r="A4432" s="2" t="s">
        <v>4495</v>
      </c>
      <c r="B4432" s="2" t="s">
        <v>4466</v>
      </c>
      <c r="C4432" s="2"/>
      <c r="D4432" s="2" t="s">
        <v>11</v>
      </c>
      <c r="E4432" s="2">
        <v>15.0</v>
      </c>
      <c r="F4432" s="2" t="s">
        <v>12</v>
      </c>
      <c r="G4432" s="2"/>
      <c r="H4432" s="2"/>
      <c r="I4432" s="2"/>
    </row>
    <row r="4433">
      <c r="A4433" s="1" t="s">
        <v>4496</v>
      </c>
      <c r="B4433" s="2" t="s">
        <v>4466</v>
      </c>
      <c r="C4433" s="2"/>
      <c r="D4433" s="2" t="s">
        <v>11</v>
      </c>
      <c r="E4433" s="2">
        <v>10.0</v>
      </c>
      <c r="F4433" s="2" t="s">
        <v>12</v>
      </c>
      <c r="G4433" s="2"/>
      <c r="H4433" s="2"/>
      <c r="I4433" s="2"/>
    </row>
    <row r="4434">
      <c r="A4434" s="1" t="s">
        <v>4496</v>
      </c>
      <c r="B4434" s="2" t="s">
        <v>4466</v>
      </c>
      <c r="C4434" s="2"/>
      <c r="D4434" s="2" t="s">
        <v>11</v>
      </c>
      <c r="E4434" s="2">
        <v>15.0</v>
      </c>
      <c r="F4434" s="2" t="s">
        <v>12</v>
      </c>
      <c r="G4434" s="2"/>
      <c r="H4434" s="2"/>
      <c r="I4434" s="2"/>
    </row>
    <row r="4435">
      <c r="A4435" s="1" t="s">
        <v>4497</v>
      </c>
      <c r="B4435" s="2" t="s">
        <v>4466</v>
      </c>
      <c r="C4435" s="2"/>
      <c r="D4435" s="2" t="s">
        <v>11</v>
      </c>
      <c r="E4435" s="2">
        <v>10.0</v>
      </c>
      <c r="F4435" s="2" t="s">
        <v>12</v>
      </c>
      <c r="G4435" s="2"/>
      <c r="H4435" s="2"/>
      <c r="I4435" s="2"/>
    </row>
    <row r="4436">
      <c r="A4436" s="1" t="s">
        <v>4497</v>
      </c>
      <c r="B4436" s="2" t="s">
        <v>4466</v>
      </c>
      <c r="C4436" s="2"/>
      <c r="D4436" s="2" t="s">
        <v>11</v>
      </c>
      <c r="E4436" s="2">
        <v>15.0</v>
      </c>
      <c r="F4436" s="2" t="s">
        <v>12</v>
      </c>
      <c r="G4436" s="2"/>
      <c r="H4436" s="2"/>
      <c r="I4436" s="2"/>
    </row>
    <row r="4437">
      <c r="A4437" s="1" t="s">
        <v>4498</v>
      </c>
      <c r="B4437" s="2" t="s">
        <v>4466</v>
      </c>
      <c r="C4437" s="2"/>
      <c r="D4437" s="2" t="s">
        <v>37</v>
      </c>
      <c r="E4437" s="2">
        <v>10.0</v>
      </c>
      <c r="F4437" s="2" t="s">
        <v>12</v>
      </c>
      <c r="G4437" s="2"/>
      <c r="H4437" s="2"/>
      <c r="I4437" s="2"/>
    </row>
    <row r="4438">
      <c r="A4438" s="1" t="s">
        <v>4499</v>
      </c>
      <c r="B4438" s="2" t="s">
        <v>4466</v>
      </c>
      <c r="C4438" s="2"/>
      <c r="D4438" s="2" t="s">
        <v>11</v>
      </c>
      <c r="E4438" s="2">
        <v>15.0</v>
      </c>
      <c r="F4438" s="2" t="s">
        <v>12</v>
      </c>
      <c r="G4438" s="2"/>
      <c r="H4438" s="2"/>
      <c r="I4438" s="2"/>
    </row>
    <row r="4439">
      <c r="A4439" s="2" t="s">
        <v>4500</v>
      </c>
      <c r="B4439" s="2" t="s">
        <v>4466</v>
      </c>
      <c r="C4439" s="2"/>
      <c r="D4439" s="2" t="s">
        <v>37</v>
      </c>
      <c r="E4439" s="2">
        <v>10.0</v>
      </c>
      <c r="F4439" s="2" t="s">
        <v>12</v>
      </c>
      <c r="G4439" s="2"/>
      <c r="H4439" s="2"/>
      <c r="I4439" s="2"/>
    </row>
    <row r="4440">
      <c r="A4440" s="2" t="s">
        <v>4501</v>
      </c>
      <c r="B4440" s="2" t="s">
        <v>4466</v>
      </c>
      <c r="C4440" s="2"/>
      <c r="D4440" s="2" t="s">
        <v>37</v>
      </c>
      <c r="E4440" s="2">
        <v>10.0</v>
      </c>
      <c r="F4440" s="2" t="s">
        <v>12</v>
      </c>
      <c r="G4440" s="2"/>
      <c r="H4440" s="2"/>
      <c r="I4440" s="2"/>
    </row>
    <row r="4441">
      <c r="A4441" s="1" t="s">
        <v>4502</v>
      </c>
      <c r="B4441" s="2" t="s">
        <v>4503</v>
      </c>
      <c r="C4441" s="2"/>
      <c r="D4441" s="2" t="s">
        <v>11</v>
      </c>
      <c r="E4441" s="2">
        <v>10.0</v>
      </c>
      <c r="F4441" s="2" t="s">
        <v>12</v>
      </c>
      <c r="G4441" s="2"/>
      <c r="H4441" s="2"/>
      <c r="I4441" s="2"/>
    </row>
    <row r="4442">
      <c r="A4442" s="1" t="s">
        <v>4504</v>
      </c>
      <c r="B4442" s="2" t="s">
        <v>4503</v>
      </c>
      <c r="C4442" s="2"/>
      <c r="D4442" s="2" t="s">
        <v>11</v>
      </c>
      <c r="E4442" s="2">
        <v>10.0</v>
      </c>
      <c r="F4442" s="2" t="s">
        <v>12</v>
      </c>
      <c r="G4442" s="2"/>
      <c r="H4442" s="2"/>
      <c r="I4442" s="2"/>
    </row>
    <row r="4443">
      <c r="A4443" s="2" t="s">
        <v>4505</v>
      </c>
      <c r="B4443" s="2" t="s">
        <v>4503</v>
      </c>
      <c r="C4443" s="2"/>
      <c r="D4443" s="2" t="s">
        <v>37</v>
      </c>
      <c r="E4443" s="2">
        <v>10.0</v>
      </c>
      <c r="F4443" s="2" t="s">
        <v>12</v>
      </c>
      <c r="G4443" s="2"/>
      <c r="H4443" s="2"/>
      <c r="I4443" s="2"/>
    </row>
    <row r="4444">
      <c r="A4444" s="2" t="s">
        <v>4506</v>
      </c>
      <c r="B4444" s="2" t="s">
        <v>4503</v>
      </c>
      <c r="C4444" s="2"/>
      <c r="D4444" s="2" t="s">
        <v>11</v>
      </c>
      <c r="E4444" s="2">
        <v>10.0</v>
      </c>
      <c r="F4444" s="2" t="s">
        <v>12</v>
      </c>
      <c r="G4444" s="2"/>
      <c r="H4444" s="2"/>
      <c r="I4444" s="2"/>
    </row>
    <row r="4445">
      <c r="A4445" s="2" t="s">
        <v>4507</v>
      </c>
      <c r="B4445" s="2" t="s">
        <v>4503</v>
      </c>
      <c r="C4445" s="2"/>
      <c r="D4445" s="2" t="s">
        <v>11</v>
      </c>
      <c r="E4445" s="2">
        <v>10.0</v>
      </c>
      <c r="F4445" s="2" t="s">
        <v>12</v>
      </c>
      <c r="G4445" s="2"/>
      <c r="H4445" s="2"/>
      <c r="I4445" s="2"/>
    </row>
    <row r="4446">
      <c r="A4446" s="1" t="s">
        <v>4508</v>
      </c>
      <c r="B4446" s="2" t="s">
        <v>4503</v>
      </c>
      <c r="C4446" s="2"/>
      <c r="D4446" s="2" t="s">
        <v>11</v>
      </c>
      <c r="E4446" s="2">
        <v>10.0</v>
      </c>
      <c r="F4446" s="2" t="s">
        <v>12</v>
      </c>
      <c r="G4446" s="2"/>
      <c r="H4446" s="2"/>
      <c r="I4446" s="2"/>
    </row>
    <row r="4447">
      <c r="A4447" s="2" t="s">
        <v>4509</v>
      </c>
      <c r="B4447" s="2" t="s">
        <v>4503</v>
      </c>
      <c r="C4447" s="2"/>
      <c r="D4447" s="2" t="s">
        <v>11</v>
      </c>
      <c r="E4447" s="2">
        <v>10.0</v>
      </c>
      <c r="F4447" s="2" t="s">
        <v>12</v>
      </c>
      <c r="G4447" s="2"/>
      <c r="H4447" s="2"/>
      <c r="I4447" s="2"/>
    </row>
    <row r="4448">
      <c r="A4448" s="2" t="s">
        <v>4510</v>
      </c>
      <c r="B4448" s="2" t="s">
        <v>4503</v>
      </c>
      <c r="C4448" s="2"/>
      <c r="D4448" s="2" t="s">
        <v>11</v>
      </c>
      <c r="E4448" s="2">
        <v>10.0</v>
      </c>
      <c r="F4448" s="2" t="s">
        <v>12</v>
      </c>
      <c r="G4448" s="2"/>
      <c r="H4448" s="2"/>
      <c r="I4448" s="2"/>
    </row>
    <row r="4449">
      <c r="A4449" s="1" t="s">
        <v>4511</v>
      </c>
      <c r="B4449" s="2" t="s">
        <v>4503</v>
      </c>
      <c r="C4449" s="2"/>
      <c r="D4449" s="2" t="s">
        <v>11</v>
      </c>
      <c r="E4449" s="2">
        <v>10.0</v>
      </c>
      <c r="F4449" s="2" t="s">
        <v>12</v>
      </c>
      <c r="G4449" s="2"/>
      <c r="H4449" s="2"/>
      <c r="I4449" s="2"/>
    </row>
    <row r="4450">
      <c r="A4450" s="1" t="s">
        <v>4512</v>
      </c>
      <c r="B4450" s="2" t="s">
        <v>4503</v>
      </c>
      <c r="C4450" s="2"/>
      <c r="D4450" s="2" t="s">
        <v>11</v>
      </c>
      <c r="E4450" s="2">
        <v>10.0</v>
      </c>
      <c r="F4450" s="2" t="s">
        <v>12</v>
      </c>
      <c r="G4450" s="2"/>
      <c r="H4450" s="2"/>
      <c r="I4450" s="2"/>
    </row>
    <row r="4451">
      <c r="A4451" s="2" t="s">
        <v>4513</v>
      </c>
      <c r="B4451" s="2" t="s">
        <v>4503</v>
      </c>
      <c r="C4451" s="2"/>
      <c r="D4451" s="2" t="s">
        <v>11</v>
      </c>
      <c r="E4451" s="2">
        <v>10.0</v>
      </c>
      <c r="F4451" s="2" t="s">
        <v>12</v>
      </c>
      <c r="G4451" s="2"/>
      <c r="H4451" s="2"/>
      <c r="I4451" s="2"/>
    </row>
    <row r="4452">
      <c r="A4452" s="1" t="s">
        <v>4514</v>
      </c>
      <c r="B4452" s="2" t="s">
        <v>4503</v>
      </c>
      <c r="C4452" s="2"/>
      <c r="D4452" s="2" t="s">
        <v>11</v>
      </c>
      <c r="E4452" s="2">
        <v>10.0</v>
      </c>
      <c r="F4452" s="2" t="s">
        <v>12</v>
      </c>
      <c r="G4452" s="2"/>
      <c r="H4452" s="2"/>
      <c r="I4452" s="2"/>
    </row>
    <row r="4453">
      <c r="A4453" s="1" t="s">
        <v>4515</v>
      </c>
      <c r="B4453" s="2" t="s">
        <v>4503</v>
      </c>
      <c r="C4453" s="2"/>
      <c r="D4453" s="2" t="s">
        <v>11</v>
      </c>
      <c r="E4453" s="2">
        <v>10.0</v>
      </c>
      <c r="F4453" s="2" t="s">
        <v>12</v>
      </c>
      <c r="G4453" s="2"/>
      <c r="H4453" s="2"/>
      <c r="I4453" s="2"/>
    </row>
    <row r="4454">
      <c r="A4454" s="2" t="s">
        <v>4516</v>
      </c>
      <c r="B4454" s="2" t="s">
        <v>4503</v>
      </c>
      <c r="C4454" s="2"/>
      <c r="D4454" s="2"/>
      <c r="E4454" s="2"/>
      <c r="F4454" s="2"/>
      <c r="G4454" s="2"/>
      <c r="H4454" s="2"/>
      <c r="I4454" s="2"/>
    </row>
    <row r="4455">
      <c r="A4455" s="1" t="s">
        <v>4517</v>
      </c>
      <c r="B4455" s="2" t="s">
        <v>4503</v>
      </c>
      <c r="C4455" s="2"/>
      <c r="D4455" s="2" t="s">
        <v>11</v>
      </c>
      <c r="E4455" s="2">
        <v>10.0</v>
      </c>
      <c r="F4455" s="2" t="s">
        <v>12</v>
      </c>
      <c r="G4455" s="2"/>
      <c r="H4455" s="2"/>
      <c r="I4455" s="2"/>
    </row>
    <row r="4456">
      <c r="A4456" s="1" t="s">
        <v>4518</v>
      </c>
      <c r="B4456" s="2" t="s">
        <v>4503</v>
      </c>
      <c r="C4456" s="2"/>
      <c r="D4456" s="2" t="s">
        <v>11</v>
      </c>
      <c r="E4456" s="2">
        <v>10.0</v>
      </c>
      <c r="F4456" s="2" t="s">
        <v>12</v>
      </c>
      <c r="G4456" s="2"/>
      <c r="H4456" s="2"/>
      <c r="I4456" s="2"/>
    </row>
    <row r="4457">
      <c r="A4457" s="1" t="s">
        <v>4519</v>
      </c>
      <c r="B4457" s="2" t="s">
        <v>4503</v>
      </c>
      <c r="C4457" s="2"/>
      <c r="D4457" s="2" t="s">
        <v>11</v>
      </c>
      <c r="E4457" s="2">
        <v>10.0</v>
      </c>
      <c r="F4457" s="2" t="s">
        <v>12</v>
      </c>
      <c r="G4457" s="2"/>
      <c r="H4457" s="2"/>
      <c r="I4457" s="2"/>
    </row>
    <row r="4458">
      <c r="A4458" s="1" t="s">
        <v>4520</v>
      </c>
      <c r="B4458" s="2" t="s">
        <v>4503</v>
      </c>
      <c r="C4458" s="2"/>
      <c r="D4458" s="2" t="s">
        <v>11</v>
      </c>
      <c r="E4458" s="2">
        <v>10.0</v>
      </c>
      <c r="F4458" s="2" t="s">
        <v>12</v>
      </c>
      <c r="G4458" s="2"/>
      <c r="H4458" s="2"/>
      <c r="I4458" s="2"/>
    </row>
    <row r="4459">
      <c r="A4459" s="1" t="s">
        <v>4521</v>
      </c>
      <c r="B4459" s="2" t="s">
        <v>4503</v>
      </c>
      <c r="C4459" s="2"/>
      <c r="D4459" s="2" t="s">
        <v>11</v>
      </c>
      <c r="E4459" s="2">
        <v>10.0</v>
      </c>
      <c r="F4459" s="2" t="s">
        <v>12</v>
      </c>
      <c r="G4459" s="2"/>
      <c r="H4459" s="2"/>
      <c r="I4459" s="2"/>
    </row>
    <row r="4460">
      <c r="A4460" s="1" t="s">
        <v>4522</v>
      </c>
      <c r="B4460" s="2" t="s">
        <v>4503</v>
      </c>
      <c r="C4460" s="2"/>
      <c r="D4460" s="2" t="s">
        <v>11</v>
      </c>
      <c r="E4460" s="2">
        <v>10.0</v>
      </c>
      <c r="F4460" s="2" t="s">
        <v>12</v>
      </c>
      <c r="G4460" s="2"/>
      <c r="H4460" s="2"/>
      <c r="I4460" s="2"/>
    </row>
    <row r="4461">
      <c r="A4461" s="1" t="s">
        <v>4523</v>
      </c>
      <c r="B4461" s="2" t="s">
        <v>4503</v>
      </c>
      <c r="C4461" s="2"/>
      <c r="D4461" s="2" t="s">
        <v>11</v>
      </c>
      <c r="E4461" s="2">
        <v>10.0</v>
      </c>
      <c r="F4461" s="2" t="s">
        <v>12</v>
      </c>
      <c r="G4461" s="2"/>
      <c r="H4461" s="2"/>
      <c r="I4461" s="2"/>
    </row>
    <row r="4462">
      <c r="A4462" s="1" t="s">
        <v>4524</v>
      </c>
      <c r="B4462" s="2" t="s">
        <v>4503</v>
      </c>
      <c r="C4462" s="2"/>
      <c r="D4462" s="2" t="s">
        <v>11</v>
      </c>
      <c r="E4462" s="2">
        <v>10.0</v>
      </c>
      <c r="F4462" s="2" t="s">
        <v>12</v>
      </c>
      <c r="G4462" s="2"/>
      <c r="H4462" s="2"/>
      <c r="I4462" s="2"/>
    </row>
    <row r="4463">
      <c r="A4463" s="1" t="s">
        <v>4525</v>
      </c>
      <c r="B4463" s="2" t="s">
        <v>4503</v>
      </c>
      <c r="C4463" s="2"/>
      <c r="D4463" s="2" t="s">
        <v>11</v>
      </c>
      <c r="E4463" s="2">
        <v>10.0</v>
      </c>
      <c r="F4463" s="2" t="s">
        <v>12</v>
      </c>
      <c r="G4463" s="2"/>
      <c r="H4463" s="2"/>
      <c r="I4463" s="2"/>
    </row>
    <row r="4464">
      <c r="A4464" s="1" t="s">
        <v>4526</v>
      </c>
      <c r="B4464" s="2" t="s">
        <v>4503</v>
      </c>
      <c r="C4464" s="2"/>
      <c r="D4464" s="2" t="s">
        <v>11</v>
      </c>
      <c r="E4464" s="2">
        <v>10.0</v>
      </c>
      <c r="F4464" s="2" t="s">
        <v>12</v>
      </c>
      <c r="G4464" s="2"/>
      <c r="H4464" s="2"/>
      <c r="I4464" s="2"/>
    </row>
    <row r="4465">
      <c r="A4465" s="2" t="s">
        <v>4527</v>
      </c>
      <c r="B4465" s="2" t="s">
        <v>4503</v>
      </c>
      <c r="C4465" s="2"/>
      <c r="D4465" s="2" t="s">
        <v>74</v>
      </c>
      <c r="E4465" s="2">
        <v>1.0</v>
      </c>
      <c r="F4465" s="2"/>
      <c r="G4465" s="2"/>
      <c r="H4465" s="2"/>
      <c r="I4465" s="2"/>
    </row>
    <row r="4466">
      <c r="A4466" s="2" t="s">
        <v>4528</v>
      </c>
      <c r="B4466" s="2" t="s">
        <v>4503</v>
      </c>
      <c r="C4466" s="1"/>
      <c r="D4466" s="2"/>
      <c r="E4466" s="2"/>
      <c r="F4466" s="2"/>
      <c r="G4466" s="2"/>
      <c r="H4466" s="2"/>
      <c r="I4466" s="2"/>
    </row>
    <row r="4467">
      <c r="A4467" s="1" t="s">
        <v>4529</v>
      </c>
      <c r="B4467" s="2" t="s">
        <v>4503</v>
      </c>
      <c r="C4467" s="2"/>
      <c r="D4467" s="2" t="s">
        <v>11</v>
      </c>
      <c r="E4467" s="2">
        <v>10.0</v>
      </c>
      <c r="F4467" s="2" t="s">
        <v>12</v>
      </c>
      <c r="G4467" s="2"/>
      <c r="H4467" s="2"/>
      <c r="I4467" s="2"/>
    </row>
    <row r="4468">
      <c r="A4468" s="1" t="s">
        <v>4530</v>
      </c>
      <c r="B4468" s="2" t="s">
        <v>4503</v>
      </c>
      <c r="C4468" s="2"/>
      <c r="D4468" s="2" t="s">
        <v>11</v>
      </c>
      <c r="E4468" s="2">
        <v>10.0</v>
      </c>
      <c r="F4468" s="2" t="s">
        <v>12</v>
      </c>
      <c r="G4468" s="2"/>
      <c r="H4468" s="2"/>
      <c r="I4468" s="2"/>
    </row>
    <row r="4469">
      <c r="A4469" s="1" t="s">
        <v>4531</v>
      </c>
      <c r="B4469" s="2" t="s">
        <v>4503</v>
      </c>
      <c r="C4469" s="2"/>
      <c r="D4469" s="2" t="s">
        <v>11</v>
      </c>
      <c r="E4469" s="2">
        <v>10.0</v>
      </c>
      <c r="F4469" s="2" t="s">
        <v>12</v>
      </c>
      <c r="G4469" s="2"/>
      <c r="H4469" s="2"/>
      <c r="I4469" s="2"/>
    </row>
    <row r="4470">
      <c r="A4470" s="1" t="s">
        <v>4532</v>
      </c>
      <c r="B4470" s="2" t="s">
        <v>4503</v>
      </c>
      <c r="C4470" s="2"/>
      <c r="D4470" s="2" t="s">
        <v>11</v>
      </c>
      <c r="E4470" s="2">
        <v>10.0</v>
      </c>
      <c r="F4470" s="2" t="s">
        <v>12</v>
      </c>
      <c r="G4470" s="2"/>
      <c r="H4470" s="2"/>
      <c r="I4470" s="2"/>
    </row>
    <row r="4471">
      <c r="A4471" s="1" t="s">
        <v>4533</v>
      </c>
      <c r="B4471" s="2" t="s">
        <v>4503</v>
      </c>
      <c r="C4471" s="2"/>
      <c r="D4471" s="2" t="s">
        <v>11</v>
      </c>
      <c r="E4471" s="2">
        <v>10.0</v>
      </c>
      <c r="F4471" s="2" t="s">
        <v>12</v>
      </c>
      <c r="G4471" s="2"/>
      <c r="H4471" s="2"/>
      <c r="I4471" s="2"/>
    </row>
    <row r="4472">
      <c r="A4472" s="1" t="s">
        <v>4534</v>
      </c>
      <c r="B4472" s="2" t="s">
        <v>4503</v>
      </c>
      <c r="C4472" s="2"/>
      <c r="D4472" s="2" t="s">
        <v>11</v>
      </c>
      <c r="E4472" s="2">
        <v>10.0</v>
      </c>
      <c r="F4472" s="2" t="s">
        <v>12</v>
      </c>
      <c r="G4472" s="2"/>
      <c r="H4472" s="2"/>
      <c r="I4472" s="2"/>
    </row>
    <row r="4473">
      <c r="A4473" s="1" t="s">
        <v>4535</v>
      </c>
      <c r="B4473" s="2" t="s">
        <v>4503</v>
      </c>
      <c r="C4473" s="2"/>
      <c r="D4473" s="2" t="s">
        <v>11</v>
      </c>
      <c r="E4473" s="2">
        <v>10.0</v>
      </c>
      <c r="F4473" s="2" t="s">
        <v>12</v>
      </c>
      <c r="G4473" s="2"/>
      <c r="H4473" s="2"/>
      <c r="I4473" s="2"/>
    </row>
    <row r="4474">
      <c r="A4474" s="1" t="s">
        <v>4536</v>
      </c>
      <c r="B4474" s="2" t="s">
        <v>4503</v>
      </c>
      <c r="C4474" s="2"/>
      <c r="D4474" s="2" t="s">
        <v>11</v>
      </c>
      <c r="E4474" s="2">
        <v>10.0</v>
      </c>
      <c r="F4474" s="2" t="s">
        <v>12</v>
      </c>
      <c r="G4474" s="2"/>
      <c r="H4474" s="2"/>
      <c r="I4474" s="2"/>
    </row>
    <row r="4475">
      <c r="A4475" s="1" t="s">
        <v>4537</v>
      </c>
      <c r="B4475" s="2" t="s">
        <v>4503</v>
      </c>
      <c r="C4475" s="2"/>
      <c r="D4475" s="2" t="s">
        <v>11</v>
      </c>
      <c r="E4475" s="2">
        <v>10.0</v>
      </c>
      <c r="F4475" s="2" t="s">
        <v>12</v>
      </c>
      <c r="G4475" s="2"/>
      <c r="H4475" s="2"/>
      <c r="I4475" s="2"/>
    </row>
    <row r="4476">
      <c r="A4476" s="1" t="s">
        <v>4538</v>
      </c>
      <c r="B4476" s="2" t="s">
        <v>4503</v>
      </c>
      <c r="C4476" s="2"/>
      <c r="D4476" s="2" t="s">
        <v>11</v>
      </c>
      <c r="E4476" s="2">
        <v>10.0</v>
      </c>
      <c r="F4476" s="2" t="s">
        <v>12</v>
      </c>
      <c r="G4476" s="2"/>
      <c r="H4476" s="2"/>
      <c r="I4476" s="2"/>
    </row>
    <row r="4477">
      <c r="A4477" s="1" t="s">
        <v>4539</v>
      </c>
      <c r="B4477" s="2" t="s">
        <v>4503</v>
      </c>
      <c r="C4477" s="2"/>
      <c r="D4477" s="2" t="s">
        <v>11</v>
      </c>
      <c r="E4477" s="2">
        <v>10.0</v>
      </c>
      <c r="F4477" s="2" t="s">
        <v>12</v>
      </c>
      <c r="G4477" s="2"/>
      <c r="H4477" s="2"/>
      <c r="I4477" s="2"/>
    </row>
    <row r="4478">
      <c r="A4478" s="1" t="s">
        <v>4540</v>
      </c>
      <c r="B4478" s="2" t="s">
        <v>4503</v>
      </c>
      <c r="C4478" s="2"/>
      <c r="D4478" s="2" t="s">
        <v>11</v>
      </c>
      <c r="E4478" s="2">
        <v>10.0</v>
      </c>
      <c r="F4478" s="2" t="s">
        <v>12</v>
      </c>
      <c r="G4478" s="2"/>
      <c r="H4478" s="2"/>
      <c r="I4478" s="2"/>
    </row>
    <row r="4479">
      <c r="A4479" s="1" t="s">
        <v>4541</v>
      </c>
      <c r="B4479" s="2" t="s">
        <v>4503</v>
      </c>
      <c r="C4479" s="2"/>
      <c r="D4479" s="2" t="s">
        <v>11</v>
      </c>
      <c r="E4479" s="2">
        <v>10.0</v>
      </c>
      <c r="F4479" s="2" t="s">
        <v>12</v>
      </c>
      <c r="G4479" s="2"/>
      <c r="H4479" s="2"/>
      <c r="I4479" s="2"/>
    </row>
    <row r="4480">
      <c r="A4480" s="1" t="s">
        <v>4542</v>
      </c>
      <c r="B4480" s="2" t="s">
        <v>4503</v>
      </c>
      <c r="C4480" s="2"/>
      <c r="D4480" s="2" t="s">
        <v>11</v>
      </c>
      <c r="E4480" s="2">
        <v>10.0</v>
      </c>
      <c r="F4480" s="2" t="s">
        <v>12</v>
      </c>
      <c r="G4480" s="2"/>
      <c r="H4480" s="2"/>
      <c r="I4480" s="2"/>
    </row>
    <row r="4481">
      <c r="A4481" s="2" t="s">
        <v>4543</v>
      </c>
      <c r="B4481" s="2" t="s">
        <v>4503</v>
      </c>
      <c r="C4481" s="2"/>
      <c r="D4481" s="2" t="s">
        <v>11</v>
      </c>
      <c r="E4481" s="2">
        <v>10.0</v>
      </c>
      <c r="F4481" s="2" t="s">
        <v>12</v>
      </c>
      <c r="G4481" s="2"/>
      <c r="H4481" s="2"/>
      <c r="I4481" s="2"/>
    </row>
    <row r="4482">
      <c r="A4482" s="1" t="s">
        <v>4544</v>
      </c>
      <c r="B4482" s="2" t="s">
        <v>4503</v>
      </c>
      <c r="C4482" s="1"/>
      <c r="D4482" s="2"/>
      <c r="E4482" s="2"/>
      <c r="F4482" s="2"/>
      <c r="G4482" s="2"/>
      <c r="H4482" s="2"/>
      <c r="I4482" s="2"/>
    </row>
    <row r="4483">
      <c r="A4483" s="1" t="s">
        <v>4545</v>
      </c>
      <c r="B4483" s="2" t="s">
        <v>4503</v>
      </c>
      <c r="C4483" s="2"/>
      <c r="D4483" s="2" t="s">
        <v>11</v>
      </c>
      <c r="E4483" s="2">
        <v>10.0</v>
      </c>
      <c r="F4483" s="2" t="s">
        <v>12</v>
      </c>
      <c r="G4483" s="2"/>
      <c r="H4483" s="2"/>
      <c r="I4483" s="2"/>
    </row>
    <row r="4484">
      <c r="A4484" s="1" t="s">
        <v>4546</v>
      </c>
      <c r="B4484" s="2" t="s">
        <v>4503</v>
      </c>
      <c r="C4484" s="2"/>
      <c r="D4484" s="2" t="s">
        <v>11</v>
      </c>
      <c r="E4484" s="2">
        <v>10.0</v>
      </c>
      <c r="F4484" s="2" t="s">
        <v>12</v>
      </c>
      <c r="G4484" s="2"/>
      <c r="H4484" s="2"/>
      <c r="I4484" s="2"/>
    </row>
    <row r="4485">
      <c r="A4485" s="1" t="s">
        <v>4547</v>
      </c>
      <c r="B4485" s="2" t="s">
        <v>4503</v>
      </c>
      <c r="C4485" s="2"/>
      <c r="D4485" s="2" t="s">
        <v>11</v>
      </c>
      <c r="E4485" s="2">
        <v>10.0</v>
      </c>
      <c r="F4485" s="2" t="s">
        <v>12</v>
      </c>
      <c r="G4485" s="2"/>
      <c r="H4485" s="2"/>
      <c r="I4485" s="2"/>
    </row>
    <row r="4486">
      <c r="A4486" s="1" t="s">
        <v>4548</v>
      </c>
      <c r="B4486" s="2" t="s">
        <v>4503</v>
      </c>
      <c r="C4486" s="2"/>
      <c r="D4486" s="2" t="s">
        <v>11</v>
      </c>
      <c r="E4486" s="2">
        <v>10.0</v>
      </c>
      <c r="F4486" s="2" t="s">
        <v>12</v>
      </c>
      <c r="G4486" s="2"/>
      <c r="H4486" s="2"/>
      <c r="I4486" s="2"/>
    </row>
    <row r="4487">
      <c r="A4487" s="1" t="s">
        <v>4549</v>
      </c>
      <c r="B4487" s="2" t="s">
        <v>4503</v>
      </c>
      <c r="C4487" s="2"/>
      <c r="D4487" s="2" t="s">
        <v>11</v>
      </c>
      <c r="E4487" s="2">
        <v>10.0</v>
      </c>
      <c r="F4487" s="2" t="s">
        <v>12</v>
      </c>
      <c r="G4487" s="2"/>
      <c r="H4487" s="2"/>
      <c r="I4487" s="2"/>
    </row>
    <row r="4488">
      <c r="A4488" s="1" t="s">
        <v>4550</v>
      </c>
      <c r="B4488" s="2" t="s">
        <v>4503</v>
      </c>
      <c r="C4488" s="2"/>
      <c r="D4488" s="2" t="s">
        <v>11</v>
      </c>
      <c r="E4488" s="2">
        <v>10.0</v>
      </c>
      <c r="F4488" s="2" t="s">
        <v>12</v>
      </c>
      <c r="G4488" s="2"/>
      <c r="H4488" s="2"/>
      <c r="I4488" s="2"/>
    </row>
    <row r="4489">
      <c r="A4489" s="1" t="s">
        <v>4551</v>
      </c>
      <c r="B4489" s="2" t="s">
        <v>4503</v>
      </c>
      <c r="C4489" s="2"/>
      <c r="D4489" s="2" t="s">
        <v>11</v>
      </c>
      <c r="E4489" s="2">
        <v>10.0</v>
      </c>
      <c r="F4489" s="2" t="s">
        <v>12</v>
      </c>
      <c r="G4489" s="2"/>
      <c r="H4489" s="2"/>
      <c r="I4489" s="2"/>
    </row>
    <row r="4490">
      <c r="A4490" s="1" t="s">
        <v>4552</v>
      </c>
      <c r="B4490" s="2" t="s">
        <v>4503</v>
      </c>
      <c r="C4490" s="2"/>
      <c r="D4490" s="2" t="s">
        <v>11</v>
      </c>
      <c r="E4490" s="2">
        <v>10.0</v>
      </c>
      <c r="F4490" s="2" t="s">
        <v>12</v>
      </c>
      <c r="G4490" s="2"/>
      <c r="H4490" s="2"/>
      <c r="I4490" s="2"/>
    </row>
    <row r="4491">
      <c r="A4491" s="1" t="s">
        <v>4553</v>
      </c>
      <c r="B4491" s="2" t="s">
        <v>4503</v>
      </c>
      <c r="C4491" s="2"/>
      <c r="D4491" s="2" t="s">
        <v>11</v>
      </c>
      <c r="E4491" s="2">
        <v>10.0</v>
      </c>
      <c r="F4491" s="2" t="s">
        <v>12</v>
      </c>
      <c r="G4491" s="2"/>
      <c r="H4491" s="2"/>
      <c r="I4491" s="2"/>
    </row>
    <row r="4492">
      <c r="A4492" s="1" t="s">
        <v>4554</v>
      </c>
      <c r="B4492" s="2" t="s">
        <v>4503</v>
      </c>
      <c r="C4492" s="2"/>
      <c r="D4492" s="2" t="s">
        <v>11</v>
      </c>
      <c r="E4492" s="2">
        <v>10.0</v>
      </c>
      <c r="F4492" s="2" t="s">
        <v>12</v>
      </c>
      <c r="G4492" s="2"/>
      <c r="H4492" s="2"/>
      <c r="I4492" s="2"/>
    </row>
    <row r="4493">
      <c r="A4493" s="1" t="s">
        <v>4555</v>
      </c>
      <c r="B4493" s="2" t="s">
        <v>4503</v>
      </c>
      <c r="C4493" s="2"/>
      <c r="D4493" s="2" t="s">
        <v>11</v>
      </c>
      <c r="E4493" s="2">
        <v>10.0</v>
      </c>
      <c r="F4493" s="2" t="s">
        <v>12</v>
      </c>
      <c r="G4493" s="2"/>
      <c r="H4493" s="2"/>
      <c r="I4493" s="2"/>
    </row>
    <row r="4494">
      <c r="A4494" s="1" t="s">
        <v>4556</v>
      </c>
      <c r="B4494" s="2" t="s">
        <v>4503</v>
      </c>
      <c r="C4494" s="2"/>
      <c r="D4494" s="2" t="s">
        <v>73</v>
      </c>
      <c r="E4494" s="2">
        <v>1.0</v>
      </c>
      <c r="F4494" s="2" t="s">
        <v>74</v>
      </c>
      <c r="G4494" s="2"/>
      <c r="H4494" s="2"/>
      <c r="I4494" s="2"/>
    </row>
    <row r="4495">
      <c r="A4495" s="1" t="s">
        <v>4557</v>
      </c>
      <c r="B4495" s="2" t="s">
        <v>4503</v>
      </c>
      <c r="C4495" s="2"/>
      <c r="D4495" s="2" t="s">
        <v>11</v>
      </c>
      <c r="E4495" s="2">
        <v>10.0</v>
      </c>
      <c r="F4495" s="2" t="s">
        <v>12</v>
      </c>
      <c r="G4495" s="2"/>
      <c r="H4495" s="2"/>
      <c r="I4495" s="2"/>
    </row>
    <row r="4496">
      <c r="A4496" s="1" t="s">
        <v>4558</v>
      </c>
      <c r="B4496" s="2" t="s">
        <v>4503</v>
      </c>
      <c r="C4496" s="2"/>
      <c r="D4496" s="2" t="s">
        <v>11</v>
      </c>
      <c r="E4496" s="2">
        <v>10.0</v>
      </c>
      <c r="F4496" s="2" t="s">
        <v>12</v>
      </c>
      <c r="G4496" s="2"/>
      <c r="H4496" s="2"/>
      <c r="I4496" s="2"/>
    </row>
    <row r="4497">
      <c r="A4497" s="1" t="s">
        <v>4559</v>
      </c>
      <c r="B4497" s="2" t="s">
        <v>4503</v>
      </c>
      <c r="C4497" s="2"/>
      <c r="D4497" s="2" t="s">
        <v>11</v>
      </c>
      <c r="E4497" s="2">
        <v>10.0</v>
      </c>
      <c r="F4497" s="2" t="s">
        <v>12</v>
      </c>
      <c r="G4497" s="2"/>
      <c r="H4497" s="2"/>
      <c r="I4497" s="2"/>
    </row>
    <row r="4498">
      <c r="A4498" s="1" t="s">
        <v>4560</v>
      </c>
      <c r="B4498" s="2" t="s">
        <v>4503</v>
      </c>
      <c r="C4498" s="2"/>
      <c r="D4498" s="2" t="s">
        <v>11</v>
      </c>
      <c r="E4498" s="2">
        <v>10.0</v>
      </c>
      <c r="F4498" s="2" t="s">
        <v>12</v>
      </c>
      <c r="G4498" s="2"/>
      <c r="H4498" s="2"/>
      <c r="I4498" s="2"/>
    </row>
    <row r="4499">
      <c r="A4499" s="1" t="s">
        <v>4561</v>
      </c>
      <c r="B4499" s="2" t="s">
        <v>4503</v>
      </c>
      <c r="C4499" s="2"/>
      <c r="D4499" s="2" t="s">
        <v>11</v>
      </c>
      <c r="E4499" s="2">
        <v>10.0</v>
      </c>
      <c r="F4499" s="2" t="s">
        <v>12</v>
      </c>
      <c r="G4499" s="2"/>
      <c r="H4499" s="2"/>
      <c r="I4499" s="2"/>
    </row>
    <row r="4500">
      <c r="A4500" s="1" t="s">
        <v>4562</v>
      </c>
      <c r="B4500" s="2" t="s">
        <v>4503</v>
      </c>
      <c r="C4500" s="2"/>
      <c r="D4500" s="2" t="s">
        <v>11</v>
      </c>
      <c r="E4500" s="2">
        <v>10.0</v>
      </c>
      <c r="F4500" s="2" t="s">
        <v>12</v>
      </c>
      <c r="G4500" s="2"/>
      <c r="H4500" s="2"/>
      <c r="I4500" s="2"/>
    </row>
    <row r="4501">
      <c r="A4501" s="2" t="s">
        <v>4563</v>
      </c>
      <c r="B4501" s="2" t="s">
        <v>4503</v>
      </c>
      <c r="C4501" s="2"/>
      <c r="D4501" s="2" t="s">
        <v>11</v>
      </c>
      <c r="E4501" s="2">
        <v>10.0</v>
      </c>
      <c r="F4501" s="2" t="s">
        <v>12</v>
      </c>
      <c r="G4501" s="2"/>
      <c r="H4501" s="2"/>
      <c r="I4501" s="2"/>
    </row>
    <row r="4502">
      <c r="A4502" s="1" t="s">
        <v>4564</v>
      </c>
      <c r="B4502" s="2" t="s">
        <v>4565</v>
      </c>
      <c r="C4502" s="2"/>
      <c r="D4502" s="2" t="s">
        <v>11</v>
      </c>
      <c r="E4502" s="2">
        <v>10.0</v>
      </c>
      <c r="F4502" s="2" t="s">
        <v>12</v>
      </c>
      <c r="G4502" s="2"/>
      <c r="H4502" s="2"/>
      <c r="I4502" s="2"/>
    </row>
    <row r="4503">
      <c r="A4503" s="1" t="s">
        <v>4566</v>
      </c>
      <c r="B4503" s="2" t="s">
        <v>4565</v>
      </c>
      <c r="C4503" s="2"/>
      <c r="D4503" s="2" t="s">
        <v>11</v>
      </c>
      <c r="E4503" s="2">
        <v>10.0</v>
      </c>
      <c r="F4503" s="2" t="s">
        <v>12</v>
      </c>
      <c r="G4503" s="2"/>
      <c r="H4503" s="2"/>
      <c r="I4503" s="2"/>
    </row>
    <row r="4504">
      <c r="A4504" s="1" t="s">
        <v>4567</v>
      </c>
      <c r="B4504" s="2" t="s">
        <v>4565</v>
      </c>
      <c r="C4504" s="2"/>
      <c r="D4504" s="2" t="s">
        <v>37</v>
      </c>
      <c r="E4504" s="2">
        <v>10.0</v>
      </c>
      <c r="F4504" s="2" t="s">
        <v>12</v>
      </c>
      <c r="G4504" s="2"/>
      <c r="H4504" s="2"/>
      <c r="I4504" s="2"/>
    </row>
    <row r="4505">
      <c r="A4505" s="1" t="s">
        <v>4568</v>
      </c>
      <c r="B4505" s="2" t="s">
        <v>4565</v>
      </c>
      <c r="C4505" s="2"/>
      <c r="D4505" s="2" t="s">
        <v>37</v>
      </c>
      <c r="E4505" s="2">
        <v>10.0</v>
      </c>
      <c r="F4505" s="2" t="s">
        <v>12</v>
      </c>
      <c r="G4505" s="2"/>
      <c r="H4505" s="2"/>
      <c r="I4505" s="2"/>
    </row>
    <row r="4506">
      <c r="A4506" s="1" t="s">
        <v>4569</v>
      </c>
      <c r="B4506" s="2" t="s">
        <v>4565</v>
      </c>
      <c r="C4506" s="2"/>
      <c r="D4506" s="2" t="s">
        <v>37</v>
      </c>
      <c r="E4506" s="2">
        <v>10.0</v>
      </c>
      <c r="F4506" s="2" t="s">
        <v>12</v>
      </c>
      <c r="G4506" s="2"/>
      <c r="H4506" s="2"/>
      <c r="I4506" s="2"/>
    </row>
    <row r="4507">
      <c r="A4507" s="1" t="s">
        <v>4570</v>
      </c>
      <c r="B4507" s="2" t="s">
        <v>4565</v>
      </c>
      <c r="C4507" s="2"/>
      <c r="D4507" s="2" t="s">
        <v>37</v>
      </c>
      <c r="E4507" s="2">
        <v>10.0</v>
      </c>
      <c r="F4507" s="2" t="s">
        <v>12</v>
      </c>
      <c r="G4507" s="2"/>
      <c r="H4507" s="2"/>
      <c r="I4507" s="2"/>
    </row>
    <row r="4508">
      <c r="A4508" s="1" t="s">
        <v>4571</v>
      </c>
      <c r="B4508" s="2" t="s">
        <v>4565</v>
      </c>
      <c r="C4508" s="2"/>
      <c r="D4508" s="2" t="s">
        <v>37</v>
      </c>
      <c r="E4508" s="2">
        <v>10.0</v>
      </c>
      <c r="F4508" s="2" t="s">
        <v>12</v>
      </c>
      <c r="G4508" s="2"/>
      <c r="H4508" s="2"/>
      <c r="I4508" s="2"/>
    </row>
    <row r="4509">
      <c r="A4509" s="1" t="s">
        <v>4572</v>
      </c>
      <c r="B4509" s="2" t="s">
        <v>4565</v>
      </c>
      <c r="C4509" s="2"/>
      <c r="D4509" s="2" t="s">
        <v>37</v>
      </c>
      <c r="E4509" s="2">
        <v>10.0</v>
      </c>
      <c r="F4509" s="2" t="s">
        <v>12</v>
      </c>
      <c r="G4509" s="2"/>
      <c r="H4509" s="2"/>
      <c r="I4509" s="2"/>
    </row>
    <row r="4510">
      <c r="A4510" s="1" t="s">
        <v>4573</v>
      </c>
      <c r="B4510" s="2" t="s">
        <v>4565</v>
      </c>
      <c r="C4510" s="1"/>
      <c r="D4510" s="2"/>
      <c r="E4510" s="2"/>
      <c r="F4510" s="2"/>
      <c r="G4510" s="2"/>
      <c r="H4510" s="2"/>
      <c r="I4510" s="2"/>
    </row>
    <row r="4511">
      <c r="A4511" s="1" t="s">
        <v>4574</v>
      </c>
      <c r="B4511" s="2" t="s">
        <v>4565</v>
      </c>
      <c r="C4511" s="2"/>
      <c r="D4511" s="2" t="s">
        <v>11</v>
      </c>
      <c r="E4511" s="2">
        <v>10.0</v>
      </c>
      <c r="F4511" s="2" t="s">
        <v>12</v>
      </c>
      <c r="G4511" s="2"/>
      <c r="H4511" s="2"/>
      <c r="I4511" s="2"/>
    </row>
    <row r="4512">
      <c r="A4512" s="1" t="s">
        <v>4575</v>
      </c>
      <c r="B4512" s="2" t="s">
        <v>4565</v>
      </c>
      <c r="C4512" s="2"/>
      <c r="D4512" s="2" t="s">
        <v>11</v>
      </c>
      <c r="E4512" s="2">
        <v>10.0</v>
      </c>
      <c r="F4512" s="2" t="s">
        <v>12</v>
      </c>
      <c r="G4512" s="2"/>
      <c r="H4512" s="2"/>
      <c r="I4512" s="2"/>
    </row>
    <row r="4513">
      <c r="A4513" s="1" t="s">
        <v>4576</v>
      </c>
      <c r="B4513" s="2" t="s">
        <v>4565</v>
      </c>
      <c r="C4513" s="2"/>
      <c r="D4513" s="2" t="s">
        <v>11</v>
      </c>
      <c r="E4513" s="2">
        <v>10.0</v>
      </c>
      <c r="F4513" s="2" t="s">
        <v>12</v>
      </c>
      <c r="G4513" s="2"/>
      <c r="H4513" s="2"/>
      <c r="I4513" s="2"/>
    </row>
    <row r="4514">
      <c r="A4514" s="1" t="s">
        <v>4577</v>
      </c>
      <c r="B4514" s="2" t="s">
        <v>4565</v>
      </c>
      <c r="C4514" s="2"/>
      <c r="D4514" s="2" t="s">
        <v>11</v>
      </c>
      <c r="E4514" s="2">
        <v>10.0</v>
      </c>
      <c r="F4514" s="2" t="s">
        <v>12</v>
      </c>
      <c r="G4514" s="2"/>
      <c r="H4514" s="2"/>
      <c r="I4514" s="2"/>
    </row>
    <row r="4515">
      <c r="A4515" s="1" t="s">
        <v>4578</v>
      </c>
      <c r="B4515" s="2" t="s">
        <v>4565</v>
      </c>
      <c r="C4515" s="2"/>
      <c r="D4515" s="2" t="s">
        <v>11</v>
      </c>
      <c r="E4515" s="2">
        <v>10.0</v>
      </c>
      <c r="F4515" s="2" t="s">
        <v>12</v>
      </c>
      <c r="G4515" s="2"/>
      <c r="H4515" s="2"/>
      <c r="I4515" s="2"/>
    </row>
    <row r="4516">
      <c r="A4516" s="1" t="s">
        <v>4579</v>
      </c>
      <c r="B4516" s="2" t="s">
        <v>4565</v>
      </c>
      <c r="C4516" s="2"/>
      <c r="D4516" s="2" t="s">
        <v>11</v>
      </c>
      <c r="E4516" s="2">
        <v>10.0</v>
      </c>
      <c r="F4516" s="2" t="s">
        <v>12</v>
      </c>
      <c r="G4516" s="2"/>
      <c r="H4516" s="2"/>
      <c r="I4516" s="2"/>
    </row>
    <row r="4517">
      <c r="A4517" s="1" t="s">
        <v>4580</v>
      </c>
      <c r="B4517" s="2" t="s">
        <v>4565</v>
      </c>
      <c r="C4517" s="2"/>
      <c r="D4517" s="2" t="s">
        <v>11</v>
      </c>
      <c r="E4517" s="2">
        <v>10.0</v>
      </c>
      <c r="F4517" s="2" t="s">
        <v>12</v>
      </c>
      <c r="G4517" s="2"/>
      <c r="H4517" s="2"/>
      <c r="I4517" s="2"/>
    </row>
    <row r="4518">
      <c r="A4518" s="1" t="s">
        <v>4581</v>
      </c>
      <c r="B4518" s="2" t="s">
        <v>4565</v>
      </c>
      <c r="C4518" s="2"/>
      <c r="D4518" s="2" t="s">
        <v>11</v>
      </c>
      <c r="E4518" s="2">
        <v>10.0</v>
      </c>
      <c r="F4518" s="2" t="s">
        <v>12</v>
      </c>
      <c r="G4518" s="2"/>
      <c r="H4518" s="2"/>
      <c r="I4518" s="2"/>
    </row>
    <row r="4519">
      <c r="A4519" s="2" t="s">
        <v>4582</v>
      </c>
      <c r="B4519" s="2" t="s">
        <v>4565</v>
      </c>
      <c r="C4519" s="1"/>
      <c r="D4519" s="2"/>
      <c r="E4519" s="2"/>
      <c r="F4519" s="2"/>
      <c r="G4519" s="2"/>
      <c r="H4519" s="2"/>
      <c r="I4519" s="2"/>
    </row>
    <row r="4520">
      <c r="A4520" s="1" t="s">
        <v>4583</v>
      </c>
      <c r="B4520" s="2" t="s">
        <v>4565</v>
      </c>
      <c r="C4520" s="2"/>
      <c r="D4520" s="2" t="s">
        <v>37</v>
      </c>
      <c r="E4520" s="2">
        <v>10.0</v>
      </c>
      <c r="F4520" s="2" t="s">
        <v>12</v>
      </c>
      <c r="G4520" s="2"/>
      <c r="H4520" s="2"/>
      <c r="I4520" s="2"/>
    </row>
    <row r="4521">
      <c r="A4521" s="1" t="s">
        <v>4584</v>
      </c>
      <c r="B4521" s="2" t="s">
        <v>4565</v>
      </c>
      <c r="C4521" s="2"/>
      <c r="D4521" s="2" t="s">
        <v>37</v>
      </c>
      <c r="E4521" s="2">
        <v>10.0</v>
      </c>
      <c r="F4521" s="2" t="s">
        <v>12</v>
      </c>
      <c r="G4521" s="2"/>
      <c r="H4521" s="2"/>
      <c r="I4521" s="2"/>
    </row>
    <row r="4522">
      <c r="A4522" s="2" t="s">
        <v>4585</v>
      </c>
      <c r="B4522" s="2" t="s">
        <v>4565</v>
      </c>
      <c r="C4522" s="2"/>
      <c r="D4522" s="2" t="s">
        <v>11</v>
      </c>
      <c r="E4522" s="2">
        <v>10.0</v>
      </c>
      <c r="F4522" s="2" t="s">
        <v>12</v>
      </c>
      <c r="G4522" s="2"/>
      <c r="H4522" s="2"/>
      <c r="I4522" s="2"/>
    </row>
    <row r="4523">
      <c r="A4523" s="2" t="s">
        <v>4586</v>
      </c>
      <c r="B4523" s="2" t="s">
        <v>4565</v>
      </c>
      <c r="C4523" s="2"/>
      <c r="D4523" s="2" t="s">
        <v>11</v>
      </c>
      <c r="E4523" s="2">
        <v>10.0</v>
      </c>
      <c r="F4523" s="2" t="s">
        <v>12</v>
      </c>
      <c r="G4523" s="2"/>
      <c r="H4523" s="2"/>
      <c r="I4523" s="2"/>
    </row>
    <row r="4524">
      <c r="A4524" s="2" t="s">
        <v>4587</v>
      </c>
      <c r="B4524" s="2" t="s">
        <v>4565</v>
      </c>
      <c r="C4524" s="2"/>
      <c r="D4524" s="2" t="s">
        <v>11</v>
      </c>
      <c r="E4524" s="2">
        <v>10.0</v>
      </c>
      <c r="F4524" s="2" t="s">
        <v>12</v>
      </c>
      <c r="G4524" s="2"/>
      <c r="H4524" s="2"/>
      <c r="I4524" s="2"/>
    </row>
    <row r="4525">
      <c r="A4525" s="1" t="s">
        <v>4588</v>
      </c>
      <c r="B4525" s="2" t="s">
        <v>4565</v>
      </c>
      <c r="C4525" s="2"/>
      <c r="D4525" s="2" t="s">
        <v>11</v>
      </c>
      <c r="E4525" s="2">
        <v>10.0</v>
      </c>
      <c r="F4525" s="2" t="s">
        <v>12</v>
      </c>
      <c r="G4525" s="2"/>
      <c r="H4525" s="2"/>
      <c r="I4525" s="2"/>
    </row>
    <row r="4526">
      <c r="A4526" s="1" t="s">
        <v>4589</v>
      </c>
      <c r="B4526" s="2" t="s">
        <v>4565</v>
      </c>
      <c r="C4526" s="2"/>
      <c r="D4526" s="2" t="s">
        <v>11</v>
      </c>
      <c r="E4526" s="2">
        <v>10.0</v>
      </c>
      <c r="F4526" s="2" t="s">
        <v>12</v>
      </c>
      <c r="G4526" s="2"/>
      <c r="H4526" s="2"/>
      <c r="I4526" s="2"/>
    </row>
    <row r="4527">
      <c r="A4527" s="1" t="s">
        <v>4589</v>
      </c>
      <c r="B4527" s="2" t="s">
        <v>4565</v>
      </c>
      <c r="C4527" s="2"/>
      <c r="D4527" s="2" t="s">
        <v>11</v>
      </c>
      <c r="E4527" s="2">
        <v>15.0</v>
      </c>
      <c r="F4527" s="2" t="s">
        <v>12</v>
      </c>
      <c r="G4527" s="2"/>
      <c r="H4527" s="2"/>
      <c r="I4527" s="2"/>
    </row>
    <row r="4528">
      <c r="A4528" s="1" t="s">
        <v>4590</v>
      </c>
      <c r="B4528" s="2" t="s">
        <v>4565</v>
      </c>
      <c r="C4528" s="2"/>
      <c r="D4528" s="2" t="s">
        <v>11</v>
      </c>
      <c r="E4528" s="2">
        <v>10.0</v>
      </c>
      <c r="F4528" s="2" t="s">
        <v>12</v>
      </c>
      <c r="G4528" s="2"/>
      <c r="H4528" s="2"/>
      <c r="I4528" s="2"/>
    </row>
    <row r="4529">
      <c r="A4529" s="1" t="s">
        <v>4590</v>
      </c>
      <c r="B4529" s="2" t="s">
        <v>4565</v>
      </c>
      <c r="C4529" s="2"/>
      <c r="D4529" s="2" t="s">
        <v>11</v>
      </c>
      <c r="E4529" s="2">
        <v>15.0</v>
      </c>
      <c r="F4529" s="2" t="s">
        <v>12</v>
      </c>
      <c r="G4529" s="2"/>
      <c r="H4529" s="2"/>
      <c r="I4529" s="2"/>
    </row>
    <row r="4530">
      <c r="A4530" s="1" t="s">
        <v>4591</v>
      </c>
      <c r="B4530" s="2" t="s">
        <v>4565</v>
      </c>
      <c r="C4530" s="2"/>
      <c r="D4530" s="2" t="s">
        <v>11</v>
      </c>
      <c r="E4530" s="2">
        <v>10.0</v>
      </c>
      <c r="F4530" s="2" t="s">
        <v>12</v>
      </c>
      <c r="G4530" s="2"/>
      <c r="H4530" s="2"/>
      <c r="I4530" s="2"/>
    </row>
    <row r="4531">
      <c r="A4531" s="1" t="s">
        <v>4592</v>
      </c>
      <c r="B4531" s="2" t="s">
        <v>4565</v>
      </c>
      <c r="C4531" s="2"/>
      <c r="D4531" s="2" t="s">
        <v>11</v>
      </c>
      <c r="E4531" s="2">
        <v>10.0</v>
      </c>
      <c r="F4531" s="2" t="s">
        <v>12</v>
      </c>
      <c r="G4531" s="2"/>
      <c r="H4531" s="2"/>
      <c r="I4531" s="2"/>
    </row>
    <row r="4532">
      <c r="A4532" s="1" t="s">
        <v>4593</v>
      </c>
      <c r="B4532" s="2" t="s">
        <v>4565</v>
      </c>
      <c r="C4532" s="2"/>
      <c r="D4532" s="2" t="s">
        <v>11</v>
      </c>
      <c r="E4532" s="2">
        <v>10.0</v>
      </c>
      <c r="F4532" s="2" t="s">
        <v>12</v>
      </c>
      <c r="G4532" s="2"/>
      <c r="H4532" s="2"/>
      <c r="I4532" s="2"/>
    </row>
    <row r="4533">
      <c r="A4533" s="1" t="s">
        <v>4594</v>
      </c>
      <c r="B4533" s="2" t="s">
        <v>4565</v>
      </c>
      <c r="C4533" s="2"/>
      <c r="D4533" s="2" t="s">
        <v>11</v>
      </c>
      <c r="E4533" s="2">
        <v>10.0</v>
      </c>
      <c r="F4533" s="2" t="s">
        <v>12</v>
      </c>
      <c r="G4533" s="2"/>
      <c r="H4533" s="2"/>
      <c r="I4533" s="2"/>
    </row>
    <row r="4534">
      <c r="A4534" s="1" t="s">
        <v>4595</v>
      </c>
      <c r="B4534" s="2" t="s">
        <v>4565</v>
      </c>
      <c r="C4534" s="2"/>
      <c r="D4534" s="2" t="s">
        <v>11</v>
      </c>
      <c r="E4534" s="2">
        <v>10.0</v>
      </c>
      <c r="F4534" s="2" t="s">
        <v>12</v>
      </c>
      <c r="G4534" s="2"/>
      <c r="H4534" s="2"/>
      <c r="I4534" s="2"/>
    </row>
    <row r="4535">
      <c r="A4535" s="1" t="s">
        <v>4596</v>
      </c>
      <c r="B4535" s="2" t="s">
        <v>4565</v>
      </c>
      <c r="C4535" s="2"/>
      <c r="D4535" s="2" t="s">
        <v>11</v>
      </c>
      <c r="E4535" s="2">
        <v>10.0</v>
      </c>
      <c r="F4535" s="2" t="s">
        <v>12</v>
      </c>
      <c r="G4535" s="2"/>
      <c r="H4535" s="2"/>
      <c r="I4535" s="2"/>
    </row>
    <row r="4536">
      <c r="A4536" s="1" t="s">
        <v>4597</v>
      </c>
      <c r="B4536" s="2" t="s">
        <v>4565</v>
      </c>
      <c r="C4536" s="2"/>
      <c r="D4536" s="2" t="s">
        <v>11</v>
      </c>
      <c r="E4536" s="2">
        <v>10.0</v>
      </c>
      <c r="F4536" s="2" t="s">
        <v>12</v>
      </c>
      <c r="G4536" s="2"/>
      <c r="H4536" s="2"/>
      <c r="I4536" s="2"/>
    </row>
    <row r="4537">
      <c r="A4537" s="1" t="s">
        <v>4598</v>
      </c>
      <c r="B4537" s="2" t="s">
        <v>4565</v>
      </c>
      <c r="C4537" s="2"/>
      <c r="D4537" s="2" t="s">
        <v>11</v>
      </c>
      <c r="E4537" s="2">
        <v>10.0</v>
      </c>
      <c r="F4537" s="2" t="s">
        <v>12</v>
      </c>
      <c r="G4537" s="2"/>
      <c r="H4537" s="2"/>
      <c r="I4537" s="2"/>
    </row>
    <row r="4538">
      <c r="A4538" s="1" t="s">
        <v>4599</v>
      </c>
      <c r="B4538" s="2" t="s">
        <v>4565</v>
      </c>
      <c r="C4538" s="2"/>
      <c r="D4538" s="2" t="s">
        <v>11</v>
      </c>
      <c r="E4538" s="2">
        <v>10.0</v>
      </c>
      <c r="F4538" s="2" t="s">
        <v>12</v>
      </c>
      <c r="G4538" s="2"/>
      <c r="H4538" s="2"/>
      <c r="I4538" s="2"/>
    </row>
    <row r="4539">
      <c r="A4539" s="1" t="s">
        <v>4600</v>
      </c>
      <c r="B4539" s="2" t="s">
        <v>4565</v>
      </c>
      <c r="C4539" s="2"/>
      <c r="D4539" s="2" t="s">
        <v>11</v>
      </c>
      <c r="E4539" s="2">
        <v>10.0</v>
      </c>
      <c r="F4539" s="2" t="s">
        <v>12</v>
      </c>
      <c r="G4539" s="2"/>
      <c r="H4539" s="2"/>
      <c r="I4539" s="2"/>
    </row>
    <row r="4540">
      <c r="A4540" s="2" t="s">
        <v>4601</v>
      </c>
      <c r="B4540" s="2" t="s">
        <v>4565</v>
      </c>
      <c r="C4540" s="2"/>
      <c r="D4540" s="2" t="s">
        <v>11</v>
      </c>
      <c r="E4540" s="2">
        <v>10.0</v>
      </c>
      <c r="F4540" s="2" t="s">
        <v>12</v>
      </c>
      <c r="G4540" s="2"/>
      <c r="H4540" s="2"/>
      <c r="I4540" s="2"/>
    </row>
    <row r="4541">
      <c r="A4541" s="2" t="s">
        <v>4602</v>
      </c>
      <c r="B4541" s="2" t="s">
        <v>4565</v>
      </c>
      <c r="C4541" s="2"/>
      <c r="D4541" s="2" t="s">
        <v>11</v>
      </c>
      <c r="E4541" s="2">
        <v>10.0</v>
      </c>
      <c r="F4541" s="2" t="s">
        <v>12</v>
      </c>
      <c r="G4541" s="2"/>
      <c r="H4541" s="2"/>
      <c r="I4541" s="2"/>
    </row>
    <row r="4542">
      <c r="A4542" s="2" t="s">
        <v>4603</v>
      </c>
      <c r="B4542" s="2" t="s">
        <v>4565</v>
      </c>
      <c r="C4542" s="2"/>
      <c r="D4542" s="2" t="s">
        <v>11</v>
      </c>
      <c r="E4542" s="2">
        <v>10.0</v>
      </c>
      <c r="F4542" s="2" t="s">
        <v>12</v>
      </c>
      <c r="G4542" s="2"/>
      <c r="H4542" s="2"/>
      <c r="I4542" s="2"/>
    </row>
    <row r="4543">
      <c r="A4543" s="1" t="s">
        <v>4604</v>
      </c>
      <c r="B4543" s="2" t="s">
        <v>4565</v>
      </c>
      <c r="C4543" s="2"/>
      <c r="D4543" s="2" t="s">
        <v>11</v>
      </c>
      <c r="E4543" s="2">
        <v>10.0</v>
      </c>
      <c r="F4543" s="2" t="s">
        <v>12</v>
      </c>
      <c r="G4543" s="2"/>
      <c r="H4543" s="2"/>
      <c r="I4543" s="2"/>
    </row>
    <row r="4544">
      <c r="A4544" s="1" t="s">
        <v>4605</v>
      </c>
      <c r="B4544" s="2" t="s">
        <v>4565</v>
      </c>
      <c r="C4544" s="2"/>
      <c r="D4544" s="2" t="s">
        <v>11</v>
      </c>
      <c r="E4544" s="2">
        <v>10.0</v>
      </c>
      <c r="F4544" s="2" t="s">
        <v>12</v>
      </c>
      <c r="G4544" s="2"/>
      <c r="H4544" s="2"/>
      <c r="I4544" s="2"/>
    </row>
    <row r="4545">
      <c r="A4545" s="2" t="s">
        <v>4606</v>
      </c>
      <c r="B4545" s="2" t="s">
        <v>4565</v>
      </c>
      <c r="C4545" s="2"/>
      <c r="D4545" s="2" t="s">
        <v>37</v>
      </c>
      <c r="E4545" s="2">
        <v>10.0</v>
      </c>
      <c r="F4545" s="2" t="s">
        <v>12</v>
      </c>
      <c r="G4545" s="2"/>
      <c r="H4545" s="2"/>
      <c r="I4545" s="2"/>
    </row>
    <row r="4546">
      <c r="A4546" s="2" t="s">
        <v>4607</v>
      </c>
      <c r="B4546" s="2" t="s">
        <v>4565</v>
      </c>
      <c r="C4546" s="2"/>
      <c r="D4546" s="2" t="s">
        <v>11</v>
      </c>
      <c r="E4546" s="2">
        <v>10.0</v>
      </c>
      <c r="F4546" s="2" t="s">
        <v>12</v>
      </c>
      <c r="G4546" s="2"/>
      <c r="H4546" s="2"/>
      <c r="I4546" s="2"/>
    </row>
    <row r="4547">
      <c r="A4547" s="1" t="s">
        <v>4608</v>
      </c>
      <c r="B4547" s="2" t="s">
        <v>4565</v>
      </c>
      <c r="C4547" s="2"/>
      <c r="D4547" s="2" t="s">
        <v>11</v>
      </c>
      <c r="E4547" s="2">
        <v>10.0</v>
      </c>
      <c r="F4547" s="2" t="s">
        <v>12</v>
      </c>
      <c r="G4547" s="2"/>
      <c r="H4547" s="2"/>
      <c r="I4547" s="2"/>
    </row>
    <row r="4548">
      <c r="A4548" s="1" t="s">
        <v>4609</v>
      </c>
      <c r="B4548" s="2" t="s">
        <v>4565</v>
      </c>
      <c r="C4548" s="2"/>
      <c r="D4548" s="2" t="s">
        <v>11</v>
      </c>
      <c r="E4548" s="2">
        <v>10.0</v>
      </c>
      <c r="F4548" s="2" t="s">
        <v>12</v>
      </c>
      <c r="G4548" s="2"/>
      <c r="H4548" s="2"/>
      <c r="I4548" s="2"/>
    </row>
    <row r="4549">
      <c r="A4549" s="1" t="s">
        <v>4610</v>
      </c>
      <c r="B4549" s="2" t="s">
        <v>4565</v>
      </c>
      <c r="C4549" s="2"/>
      <c r="D4549" s="2" t="s">
        <v>11</v>
      </c>
      <c r="E4549" s="2">
        <v>10.0</v>
      </c>
      <c r="F4549" s="2" t="s">
        <v>12</v>
      </c>
      <c r="G4549" s="2"/>
      <c r="H4549" s="2"/>
      <c r="I4549" s="2"/>
    </row>
    <row r="4550">
      <c r="A4550" s="1" t="s">
        <v>4611</v>
      </c>
      <c r="B4550" s="2" t="s">
        <v>4565</v>
      </c>
      <c r="C4550" s="2"/>
      <c r="D4550" s="2" t="s">
        <v>11</v>
      </c>
      <c r="E4550" s="2">
        <v>10.0</v>
      </c>
      <c r="F4550" s="2" t="s">
        <v>12</v>
      </c>
      <c r="G4550" s="2"/>
      <c r="H4550" s="2"/>
      <c r="I4550" s="2"/>
    </row>
    <row r="4551">
      <c r="A4551" s="1" t="s">
        <v>4612</v>
      </c>
      <c r="B4551" s="2" t="s">
        <v>4565</v>
      </c>
      <c r="C4551" s="2"/>
      <c r="D4551" s="2" t="s">
        <v>11</v>
      </c>
      <c r="E4551" s="2">
        <v>10.0</v>
      </c>
      <c r="F4551" s="2" t="s">
        <v>12</v>
      </c>
      <c r="G4551" s="2"/>
      <c r="H4551" s="2"/>
      <c r="I4551" s="2"/>
    </row>
    <row r="4552">
      <c r="A4552" s="1" t="s">
        <v>4613</v>
      </c>
      <c r="B4552" s="2" t="s">
        <v>4565</v>
      </c>
      <c r="C4552" s="2"/>
      <c r="D4552" s="2" t="s">
        <v>11</v>
      </c>
      <c r="E4552" s="2">
        <v>10.0</v>
      </c>
      <c r="F4552" s="2" t="s">
        <v>12</v>
      </c>
      <c r="G4552" s="2"/>
      <c r="H4552" s="2"/>
      <c r="I4552" s="2"/>
    </row>
    <row r="4553">
      <c r="A4553" s="1" t="s">
        <v>4614</v>
      </c>
      <c r="B4553" s="2" t="s">
        <v>4565</v>
      </c>
      <c r="C4553" s="2"/>
      <c r="D4553" s="2" t="s">
        <v>11</v>
      </c>
      <c r="E4553" s="2">
        <v>10.0</v>
      </c>
      <c r="F4553" s="2" t="s">
        <v>12</v>
      </c>
      <c r="G4553" s="2"/>
      <c r="H4553" s="2"/>
      <c r="I4553" s="2"/>
    </row>
    <row r="4554">
      <c r="A4554" s="1" t="s">
        <v>4615</v>
      </c>
      <c r="B4554" s="2" t="s">
        <v>4565</v>
      </c>
      <c r="C4554" s="2"/>
      <c r="D4554" s="2" t="s">
        <v>11</v>
      </c>
      <c r="E4554" s="2">
        <v>10.0</v>
      </c>
      <c r="F4554" s="2" t="s">
        <v>12</v>
      </c>
      <c r="G4554" s="2"/>
      <c r="H4554" s="2"/>
      <c r="I4554" s="2"/>
    </row>
    <row r="4555">
      <c r="A4555" s="1" t="s">
        <v>4616</v>
      </c>
      <c r="B4555" s="2" t="s">
        <v>4565</v>
      </c>
      <c r="C4555" s="2"/>
      <c r="D4555" s="2" t="s">
        <v>11</v>
      </c>
      <c r="E4555" s="2">
        <v>10.0</v>
      </c>
      <c r="F4555" s="2" t="s">
        <v>12</v>
      </c>
      <c r="G4555" s="2"/>
      <c r="H4555" s="2"/>
      <c r="I4555" s="2"/>
    </row>
    <row r="4556">
      <c r="A4556" s="1" t="s">
        <v>4616</v>
      </c>
      <c r="B4556" s="2" t="s">
        <v>4565</v>
      </c>
      <c r="C4556" s="2"/>
      <c r="D4556" s="2" t="s">
        <v>11</v>
      </c>
      <c r="E4556" s="2">
        <v>15.0</v>
      </c>
      <c r="F4556" s="2" t="s">
        <v>12</v>
      </c>
      <c r="G4556" s="2"/>
      <c r="H4556" s="2"/>
      <c r="I4556" s="2"/>
    </row>
    <row r="4557">
      <c r="A4557" s="1" t="s">
        <v>4617</v>
      </c>
      <c r="B4557" s="2" t="s">
        <v>4565</v>
      </c>
      <c r="C4557" s="2"/>
      <c r="D4557" s="2" t="s">
        <v>11</v>
      </c>
      <c r="E4557" s="2">
        <v>10.0</v>
      </c>
      <c r="F4557" s="2" t="s">
        <v>12</v>
      </c>
      <c r="G4557" s="2"/>
      <c r="H4557" s="2"/>
      <c r="I4557" s="2"/>
    </row>
    <row r="4558">
      <c r="A4558" s="2" t="s">
        <v>4618</v>
      </c>
      <c r="B4558" s="2" t="s">
        <v>4565</v>
      </c>
      <c r="C4558" s="2"/>
      <c r="D4558" s="2" t="s">
        <v>11</v>
      </c>
      <c r="E4558" s="2">
        <v>10.0</v>
      </c>
      <c r="F4558" s="2" t="s">
        <v>12</v>
      </c>
      <c r="G4558" s="2"/>
      <c r="H4558" s="2"/>
      <c r="I4558" s="2"/>
    </row>
    <row r="4559">
      <c r="A4559" s="2" t="s">
        <v>4619</v>
      </c>
      <c r="B4559" s="2" t="s">
        <v>4565</v>
      </c>
      <c r="C4559" s="2"/>
      <c r="D4559" s="2" t="s">
        <v>11</v>
      </c>
      <c r="E4559" s="2">
        <v>10.0</v>
      </c>
      <c r="F4559" s="2" t="s">
        <v>12</v>
      </c>
      <c r="G4559" s="2"/>
      <c r="H4559" s="2"/>
      <c r="I4559" s="2"/>
    </row>
    <row r="4560">
      <c r="A4560" s="2" t="s">
        <v>4619</v>
      </c>
      <c r="B4560" s="2" t="s">
        <v>4565</v>
      </c>
      <c r="C4560" s="2"/>
      <c r="D4560" s="2" t="s">
        <v>11</v>
      </c>
      <c r="E4560" s="2">
        <v>15.0</v>
      </c>
      <c r="F4560" s="2" t="s">
        <v>12</v>
      </c>
      <c r="G4560" s="2"/>
      <c r="H4560" s="2"/>
      <c r="I4560" s="2"/>
    </row>
    <row r="4561">
      <c r="A4561" s="1" t="s">
        <v>4620</v>
      </c>
      <c r="B4561" s="2" t="s">
        <v>4565</v>
      </c>
      <c r="C4561" s="2"/>
      <c r="D4561" s="2" t="s">
        <v>11</v>
      </c>
      <c r="E4561" s="2">
        <v>10.0</v>
      </c>
      <c r="F4561" s="2" t="s">
        <v>12</v>
      </c>
      <c r="G4561" s="2"/>
      <c r="H4561" s="2"/>
      <c r="I4561" s="2"/>
    </row>
    <row r="4562">
      <c r="A4562" s="1" t="s">
        <v>4621</v>
      </c>
      <c r="B4562" s="2" t="s">
        <v>4565</v>
      </c>
      <c r="C4562" s="2"/>
      <c r="D4562" s="2" t="s">
        <v>11</v>
      </c>
      <c r="E4562" s="2">
        <v>10.0</v>
      </c>
      <c r="F4562" s="2" t="s">
        <v>12</v>
      </c>
      <c r="G4562" s="2"/>
      <c r="H4562" s="2"/>
      <c r="I4562" s="2"/>
    </row>
    <row r="4563">
      <c r="A4563" s="2" t="s">
        <v>4622</v>
      </c>
      <c r="B4563" s="2" t="s">
        <v>4565</v>
      </c>
      <c r="C4563" s="2"/>
      <c r="D4563" s="2" t="s">
        <v>11</v>
      </c>
      <c r="E4563" s="2">
        <v>10.0</v>
      </c>
      <c r="F4563" s="2" t="s">
        <v>12</v>
      </c>
      <c r="G4563" s="2"/>
      <c r="H4563" s="2"/>
      <c r="I4563" s="2"/>
    </row>
    <row r="4564">
      <c r="A4564" s="1" t="s">
        <v>4623</v>
      </c>
      <c r="B4564" s="2" t="s">
        <v>4565</v>
      </c>
      <c r="C4564" s="2"/>
      <c r="D4564" s="2" t="s">
        <v>11</v>
      </c>
      <c r="E4564" s="2">
        <v>10.0</v>
      </c>
      <c r="F4564" s="2" t="s">
        <v>12</v>
      </c>
      <c r="G4564" s="2"/>
      <c r="H4564" s="2"/>
      <c r="I4564" s="2"/>
    </row>
    <row r="4565">
      <c r="A4565" s="1" t="s">
        <v>4624</v>
      </c>
      <c r="B4565" s="2" t="s">
        <v>4565</v>
      </c>
      <c r="C4565" s="2"/>
      <c r="D4565" s="2" t="s">
        <v>11</v>
      </c>
      <c r="E4565" s="2">
        <v>10.0</v>
      </c>
      <c r="F4565" s="2" t="s">
        <v>12</v>
      </c>
      <c r="G4565" s="2"/>
      <c r="H4565" s="2"/>
      <c r="I4565" s="2"/>
    </row>
    <row r="4566">
      <c r="A4566" s="1" t="s">
        <v>4625</v>
      </c>
      <c r="B4566" s="2" t="s">
        <v>4565</v>
      </c>
      <c r="C4566" s="2"/>
      <c r="D4566" s="2" t="s">
        <v>37</v>
      </c>
      <c r="E4566" s="2">
        <v>10.0</v>
      </c>
      <c r="F4566" s="2" t="s">
        <v>12</v>
      </c>
      <c r="G4566" s="2"/>
      <c r="H4566" s="2"/>
      <c r="I4566" s="2"/>
    </row>
    <row r="4567">
      <c r="A4567" s="1" t="s">
        <v>4626</v>
      </c>
      <c r="B4567" s="2" t="s">
        <v>4565</v>
      </c>
      <c r="C4567" s="2"/>
      <c r="D4567" s="2" t="s">
        <v>11</v>
      </c>
      <c r="E4567" s="2">
        <v>10.0</v>
      </c>
      <c r="F4567" s="2" t="s">
        <v>12</v>
      </c>
      <c r="G4567" s="2"/>
      <c r="H4567" s="2"/>
      <c r="I4567" s="2"/>
    </row>
    <row r="4568">
      <c r="A4568" s="1" t="s">
        <v>4627</v>
      </c>
      <c r="B4568" s="2" t="s">
        <v>4565</v>
      </c>
      <c r="C4568" s="2"/>
      <c r="D4568" s="2" t="s">
        <v>37</v>
      </c>
      <c r="E4568" s="2">
        <v>10.0</v>
      </c>
      <c r="F4568" s="2" t="s">
        <v>12</v>
      </c>
      <c r="G4568" s="2"/>
      <c r="H4568" s="2"/>
      <c r="I4568" s="2"/>
    </row>
    <row r="4569">
      <c r="A4569" s="2" t="s">
        <v>4628</v>
      </c>
      <c r="B4569" s="2" t="s">
        <v>4629</v>
      </c>
      <c r="C4569" s="2"/>
      <c r="D4569" s="2" t="s">
        <v>11</v>
      </c>
      <c r="E4569" s="2">
        <v>10.0</v>
      </c>
      <c r="F4569" s="2" t="s">
        <v>12</v>
      </c>
      <c r="G4569" s="2"/>
      <c r="H4569" s="2"/>
      <c r="I4569" s="2"/>
    </row>
    <row r="4570">
      <c r="A4570" s="2" t="s">
        <v>4630</v>
      </c>
      <c r="B4570" s="2" t="s">
        <v>4629</v>
      </c>
      <c r="C4570" s="2"/>
      <c r="D4570" s="2" t="s">
        <v>11</v>
      </c>
      <c r="E4570" s="2">
        <v>10.0</v>
      </c>
      <c r="F4570" s="2" t="s">
        <v>12</v>
      </c>
      <c r="G4570" s="2"/>
      <c r="H4570" s="2"/>
      <c r="I4570" s="2"/>
    </row>
    <row r="4571">
      <c r="A4571" s="1" t="s">
        <v>4631</v>
      </c>
      <c r="B4571" s="2" t="s">
        <v>4629</v>
      </c>
      <c r="C4571" s="2"/>
      <c r="D4571" s="2" t="s">
        <v>11</v>
      </c>
      <c r="E4571" s="2">
        <v>10.0</v>
      </c>
      <c r="F4571" s="2" t="s">
        <v>12</v>
      </c>
      <c r="G4571" s="2"/>
      <c r="H4571" s="2"/>
      <c r="I4571" s="2"/>
    </row>
    <row r="4572">
      <c r="A4572" s="1" t="s">
        <v>4632</v>
      </c>
      <c r="B4572" s="2" t="s">
        <v>4629</v>
      </c>
      <c r="C4572" s="2"/>
      <c r="D4572" s="2" t="s">
        <v>11</v>
      </c>
      <c r="E4572" s="2">
        <v>10.0</v>
      </c>
      <c r="F4572" s="2" t="s">
        <v>12</v>
      </c>
      <c r="G4572" s="2"/>
      <c r="H4572" s="2"/>
      <c r="I4572" s="2"/>
    </row>
    <row r="4573">
      <c r="A4573" s="1" t="s">
        <v>4633</v>
      </c>
      <c r="B4573" s="2" t="s">
        <v>4629</v>
      </c>
      <c r="C4573" s="2"/>
      <c r="D4573" s="2" t="s">
        <v>11</v>
      </c>
      <c r="E4573" s="2">
        <v>10.0</v>
      </c>
      <c r="F4573" s="2" t="s">
        <v>12</v>
      </c>
      <c r="G4573" s="2"/>
      <c r="H4573" s="2"/>
      <c r="I4573" s="2"/>
    </row>
    <row r="4574">
      <c r="A4574" s="1" t="s">
        <v>4634</v>
      </c>
      <c r="B4574" s="2" t="s">
        <v>4629</v>
      </c>
      <c r="C4574" s="2"/>
      <c r="D4574" s="2" t="s">
        <v>11</v>
      </c>
      <c r="E4574" s="2">
        <v>10.0</v>
      </c>
      <c r="F4574" s="2" t="s">
        <v>12</v>
      </c>
      <c r="G4574" s="2"/>
      <c r="H4574" s="2"/>
      <c r="I4574" s="2"/>
    </row>
    <row r="4575">
      <c r="A4575" s="1" t="s">
        <v>4635</v>
      </c>
      <c r="B4575" s="2" t="s">
        <v>4629</v>
      </c>
      <c r="C4575" s="2"/>
      <c r="D4575" s="2" t="s">
        <v>11</v>
      </c>
      <c r="E4575" s="2">
        <v>10.0</v>
      </c>
      <c r="F4575" s="2" t="s">
        <v>12</v>
      </c>
      <c r="G4575" s="2"/>
      <c r="H4575" s="2"/>
      <c r="I4575" s="2"/>
    </row>
    <row r="4576">
      <c r="A4576" s="1" t="s">
        <v>4636</v>
      </c>
      <c r="B4576" s="2" t="s">
        <v>4629</v>
      </c>
      <c r="C4576" s="2"/>
      <c r="D4576" s="2" t="s">
        <v>11</v>
      </c>
      <c r="E4576" s="2">
        <v>10.0</v>
      </c>
      <c r="F4576" s="2" t="s">
        <v>12</v>
      </c>
      <c r="G4576" s="2"/>
      <c r="H4576" s="2"/>
      <c r="I4576" s="2"/>
    </row>
    <row r="4577">
      <c r="A4577" s="1" t="s">
        <v>4637</v>
      </c>
      <c r="B4577" s="2" t="s">
        <v>4629</v>
      </c>
      <c r="C4577" s="2"/>
      <c r="D4577" s="2" t="s">
        <v>37</v>
      </c>
      <c r="E4577" s="2">
        <v>10.0</v>
      </c>
      <c r="F4577" s="2" t="s">
        <v>12</v>
      </c>
      <c r="G4577" s="2"/>
      <c r="H4577" s="2"/>
      <c r="I4577" s="2"/>
    </row>
    <row r="4578">
      <c r="A4578" s="1" t="s">
        <v>4638</v>
      </c>
      <c r="B4578" s="2" t="s">
        <v>4629</v>
      </c>
      <c r="C4578" s="2"/>
      <c r="D4578" s="2" t="s">
        <v>11</v>
      </c>
      <c r="E4578" s="2">
        <v>10.0</v>
      </c>
      <c r="F4578" s="2" t="s">
        <v>12</v>
      </c>
      <c r="G4578" s="2"/>
      <c r="H4578" s="2"/>
      <c r="I4578" s="2"/>
    </row>
    <row r="4579">
      <c r="A4579" s="1" t="s">
        <v>4639</v>
      </c>
      <c r="B4579" s="2" t="s">
        <v>4629</v>
      </c>
      <c r="C4579" s="2"/>
      <c r="D4579" s="2" t="s">
        <v>11</v>
      </c>
      <c r="E4579" s="2">
        <v>10.0</v>
      </c>
      <c r="F4579" s="2" t="s">
        <v>12</v>
      </c>
      <c r="G4579" s="2"/>
      <c r="H4579" s="2"/>
      <c r="I4579" s="2"/>
    </row>
    <row r="4580">
      <c r="A4580" s="1" t="s">
        <v>4640</v>
      </c>
      <c r="B4580" s="2" t="s">
        <v>4629</v>
      </c>
      <c r="C4580" s="2"/>
      <c r="D4580" s="2" t="s">
        <v>11</v>
      </c>
      <c r="E4580" s="2">
        <v>10.0</v>
      </c>
      <c r="F4580" s="2" t="s">
        <v>12</v>
      </c>
      <c r="G4580" s="2"/>
      <c r="H4580" s="2"/>
      <c r="I4580" s="2"/>
    </row>
    <row r="4581">
      <c r="A4581" s="2" t="s">
        <v>4641</v>
      </c>
      <c r="B4581" s="2" t="s">
        <v>4629</v>
      </c>
      <c r="C4581" s="1"/>
      <c r="D4581" s="2"/>
      <c r="E4581" s="2"/>
      <c r="F4581" s="2"/>
      <c r="G4581" s="2"/>
      <c r="H4581" s="2"/>
      <c r="I4581" s="2"/>
    </row>
    <row r="4582">
      <c r="A4582" s="1" t="s">
        <v>4642</v>
      </c>
      <c r="B4582" s="2" t="s">
        <v>4629</v>
      </c>
      <c r="C4582" s="2"/>
      <c r="D4582" s="2" t="s">
        <v>11</v>
      </c>
      <c r="E4582" s="2">
        <v>10.0</v>
      </c>
      <c r="F4582" s="2" t="s">
        <v>12</v>
      </c>
      <c r="G4582" s="2"/>
      <c r="H4582" s="2"/>
      <c r="I4582" s="2"/>
    </row>
    <row r="4583">
      <c r="A4583" s="1" t="s">
        <v>4643</v>
      </c>
      <c r="B4583" s="2" t="s">
        <v>4629</v>
      </c>
      <c r="C4583" s="2"/>
      <c r="D4583" s="2" t="s">
        <v>11</v>
      </c>
      <c r="E4583" s="2">
        <v>10.0</v>
      </c>
      <c r="F4583" s="2" t="s">
        <v>12</v>
      </c>
      <c r="G4583" s="2"/>
      <c r="H4583" s="2"/>
      <c r="I4583" s="2"/>
    </row>
    <row r="4584">
      <c r="A4584" s="1" t="s">
        <v>4644</v>
      </c>
      <c r="B4584" s="2" t="s">
        <v>4629</v>
      </c>
      <c r="C4584" s="2"/>
      <c r="D4584" s="2" t="s">
        <v>11</v>
      </c>
      <c r="E4584" s="2">
        <v>10.0</v>
      </c>
      <c r="F4584" s="2" t="s">
        <v>12</v>
      </c>
      <c r="G4584" s="2"/>
      <c r="H4584" s="2"/>
      <c r="I4584" s="2"/>
    </row>
    <row r="4585">
      <c r="A4585" s="2" t="s">
        <v>4645</v>
      </c>
      <c r="B4585" s="2" t="s">
        <v>4629</v>
      </c>
      <c r="C4585" s="2"/>
      <c r="D4585" s="2" t="s">
        <v>11</v>
      </c>
      <c r="E4585" s="2">
        <v>10.0</v>
      </c>
      <c r="F4585" s="2" t="s">
        <v>12</v>
      </c>
      <c r="G4585" s="2"/>
      <c r="H4585" s="2"/>
      <c r="I4585" s="2"/>
    </row>
    <row r="4586">
      <c r="A4586" s="1" t="s">
        <v>4646</v>
      </c>
      <c r="B4586" s="2" t="s">
        <v>4629</v>
      </c>
      <c r="C4586" s="2"/>
      <c r="D4586" s="2" t="s">
        <v>11</v>
      </c>
      <c r="E4586" s="2">
        <v>10.0</v>
      </c>
      <c r="F4586" s="2" t="s">
        <v>12</v>
      </c>
      <c r="G4586" s="2"/>
      <c r="H4586" s="2"/>
      <c r="I4586" s="2"/>
    </row>
    <row r="4587">
      <c r="A4587" s="1" t="s">
        <v>4647</v>
      </c>
      <c r="B4587" s="2" t="s">
        <v>4629</v>
      </c>
      <c r="C4587" s="2"/>
      <c r="D4587" s="2" t="s">
        <v>11</v>
      </c>
      <c r="E4587" s="2">
        <v>10.0</v>
      </c>
      <c r="F4587" s="2" t="s">
        <v>12</v>
      </c>
      <c r="G4587" s="2"/>
      <c r="H4587" s="2"/>
      <c r="I4587" s="2"/>
    </row>
    <row r="4588">
      <c r="A4588" s="1" t="s">
        <v>4648</v>
      </c>
      <c r="B4588" s="2" t="s">
        <v>4629</v>
      </c>
      <c r="C4588" s="2"/>
      <c r="D4588" s="2" t="s">
        <v>11</v>
      </c>
      <c r="E4588" s="2">
        <v>10.0</v>
      </c>
      <c r="F4588" s="2" t="s">
        <v>12</v>
      </c>
      <c r="G4588" s="2"/>
      <c r="H4588" s="2"/>
      <c r="I4588" s="2"/>
    </row>
    <row r="4589">
      <c r="A4589" s="1" t="s">
        <v>4649</v>
      </c>
      <c r="B4589" s="2" t="s">
        <v>4629</v>
      </c>
      <c r="C4589" s="2"/>
      <c r="D4589" s="2" t="s">
        <v>11</v>
      </c>
      <c r="E4589" s="2">
        <v>10.0</v>
      </c>
      <c r="F4589" s="2" t="s">
        <v>12</v>
      </c>
      <c r="G4589" s="2"/>
      <c r="H4589" s="2"/>
      <c r="I4589" s="2"/>
    </row>
    <row r="4590">
      <c r="A4590" s="1" t="s">
        <v>4650</v>
      </c>
      <c r="B4590" s="2" t="s">
        <v>4629</v>
      </c>
      <c r="C4590" s="2"/>
      <c r="D4590" s="2" t="s">
        <v>11</v>
      </c>
      <c r="E4590" s="2">
        <v>10.0</v>
      </c>
      <c r="F4590" s="2" t="s">
        <v>12</v>
      </c>
      <c r="G4590" s="2"/>
      <c r="H4590" s="2"/>
      <c r="I4590" s="2"/>
    </row>
    <row r="4591">
      <c r="A4591" s="2" t="s">
        <v>4651</v>
      </c>
      <c r="B4591" s="2" t="s">
        <v>4629</v>
      </c>
      <c r="C4591" s="2"/>
      <c r="D4591" s="2" t="s">
        <v>11</v>
      </c>
      <c r="E4591" s="2">
        <v>10.0</v>
      </c>
      <c r="F4591" s="2" t="s">
        <v>12</v>
      </c>
      <c r="G4591" s="2"/>
      <c r="H4591" s="2"/>
      <c r="I4591" s="2"/>
    </row>
    <row r="4592">
      <c r="A4592" s="1" t="s">
        <v>4652</v>
      </c>
      <c r="B4592" s="2" t="s">
        <v>4629</v>
      </c>
      <c r="C4592" s="2"/>
      <c r="D4592" s="2" t="s">
        <v>21</v>
      </c>
      <c r="E4592" s="2">
        <v>10.0</v>
      </c>
      <c r="F4592" s="2"/>
      <c r="G4592" s="2"/>
      <c r="H4592" s="2"/>
      <c r="I4592" s="2"/>
    </row>
    <row r="4593">
      <c r="A4593" s="1" t="s">
        <v>4653</v>
      </c>
      <c r="B4593" s="2" t="s">
        <v>4629</v>
      </c>
      <c r="C4593" s="2"/>
      <c r="D4593" s="2" t="s">
        <v>21</v>
      </c>
      <c r="E4593" s="2">
        <v>10.0</v>
      </c>
      <c r="F4593" s="2"/>
      <c r="G4593" s="2"/>
      <c r="H4593" s="2"/>
      <c r="I4593" s="2"/>
    </row>
    <row r="4594">
      <c r="A4594" s="1" t="s">
        <v>4654</v>
      </c>
      <c r="B4594" s="2" t="s">
        <v>4629</v>
      </c>
      <c r="C4594" s="2"/>
      <c r="D4594" s="2" t="s">
        <v>11</v>
      </c>
      <c r="E4594" s="2">
        <v>10.0</v>
      </c>
      <c r="F4594" s="2" t="s">
        <v>12</v>
      </c>
      <c r="G4594" s="2"/>
      <c r="H4594" s="2"/>
      <c r="I4594" s="2"/>
    </row>
    <row r="4595">
      <c r="A4595" s="1" t="s">
        <v>4655</v>
      </c>
      <c r="B4595" s="2" t="s">
        <v>4629</v>
      </c>
      <c r="C4595" s="2"/>
      <c r="D4595" s="2" t="s">
        <v>11</v>
      </c>
      <c r="E4595" s="2">
        <v>10.0</v>
      </c>
      <c r="F4595" s="2" t="s">
        <v>12</v>
      </c>
      <c r="G4595" s="2"/>
      <c r="H4595" s="2"/>
      <c r="I4595" s="2"/>
    </row>
    <row r="4596">
      <c r="A4596" s="1" t="s">
        <v>4656</v>
      </c>
      <c r="B4596" s="2" t="s">
        <v>4629</v>
      </c>
      <c r="C4596" s="2"/>
      <c r="D4596" s="2" t="s">
        <v>11</v>
      </c>
      <c r="E4596" s="2">
        <v>10.0</v>
      </c>
      <c r="F4596" s="2" t="s">
        <v>12</v>
      </c>
      <c r="G4596" s="2"/>
      <c r="H4596" s="2"/>
      <c r="I4596" s="2"/>
    </row>
    <row r="4597">
      <c r="A4597" s="1" t="s">
        <v>4657</v>
      </c>
      <c r="B4597" s="2" t="s">
        <v>4629</v>
      </c>
      <c r="C4597" s="2"/>
      <c r="D4597" s="2" t="s">
        <v>11</v>
      </c>
      <c r="E4597" s="2">
        <v>10.0</v>
      </c>
      <c r="F4597" s="2" t="s">
        <v>12</v>
      </c>
      <c r="G4597" s="2"/>
      <c r="H4597" s="2"/>
      <c r="I4597" s="2"/>
    </row>
    <row r="4598">
      <c r="A4598" s="1" t="s">
        <v>4658</v>
      </c>
      <c r="B4598" s="2" t="s">
        <v>4629</v>
      </c>
      <c r="C4598" s="2"/>
      <c r="D4598" s="2" t="s">
        <v>11</v>
      </c>
      <c r="E4598" s="2">
        <v>10.0</v>
      </c>
      <c r="F4598" s="2" t="s">
        <v>12</v>
      </c>
      <c r="G4598" s="2"/>
      <c r="H4598" s="2"/>
      <c r="I4598" s="2"/>
    </row>
    <row r="4599">
      <c r="A4599" s="1" t="s">
        <v>4659</v>
      </c>
      <c r="B4599" s="2" t="s">
        <v>4629</v>
      </c>
      <c r="C4599" s="2"/>
      <c r="D4599" s="2" t="s">
        <v>11</v>
      </c>
      <c r="E4599" s="2">
        <v>10.0</v>
      </c>
      <c r="F4599" s="2" t="s">
        <v>12</v>
      </c>
      <c r="G4599" s="2"/>
      <c r="H4599" s="2"/>
      <c r="I4599" s="2"/>
    </row>
    <row r="4600">
      <c r="A4600" s="1" t="s">
        <v>4660</v>
      </c>
      <c r="B4600" s="2" t="s">
        <v>4629</v>
      </c>
      <c r="C4600" s="2"/>
      <c r="D4600" s="2" t="s">
        <v>11</v>
      </c>
      <c r="E4600" s="2">
        <v>10.0</v>
      </c>
      <c r="F4600" s="2" t="s">
        <v>12</v>
      </c>
      <c r="G4600" s="2"/>
      <c r="H4600" s="2"/>
      <c r="I4600" s="2"/>
    </row>
    <row r="4601">
      <c r="A4601" s="2" t="s">
        <v>4661</v>
      </c>
      <c r="B4601" s="2" t="s">
        <v>4629</v>
      </c>
      <c r="C4601" s="2"/>
      <c r="D4601" s="2" t="s">
        <v>11</v>
      </c>
      <c r="E4601" s="2">
        <v>10.0</v>
      </c>
      <c r="F4601" s="2" t="s">
        <v>12</v>
      </c>
      <c r="G4601" s="2"/>
      <c r="H4601" s="2"/>
      <c r="I4601" s="2"/>
    </row>
    <row r="4602">
      <c r="A4602" s="1" t="s">
        <v>4662</v>
      </c>
      <c r="B4602" s="2" t="s">
        <v>4629</v>
      </c>
      <c r="C4602" s="2"/>
      <c r="D4602" s="2" t="s">
        <v>11</v>
      </c>
      <c r="E4602" s="2">
        <v>10.0</v>
      </c>
      <c r="F4602" s="2" t="s">
        <v>12</v>
      </c>
      <c r="G4602" s="2"/>
      <c r="H4602" s="2"/>
      <c r="I4602" s="2"/>
    </row>
    <row r="4603">
      <c r="A4603" s="1" t="s">
        <v>4663</v>
      </c>
      <c r="B4603" s="2" t="s">
        <v>4629</v>
      </c>
      <c r="C4603" s="2"/>
      <c r="D4603" s="2" t="s">
        <v>11</v>
      </c>
      <c r="E4603" s="2">
        <v>10.0</v>
      </c>
      <c r="F4603" s="2" t="s">
        <v>12</v>
      </c>
      <c r="G4603" s="2"/>
      <c r="H4603" s="2"/>
      <c r="I4603" s="2"/>
    </row>
    <row r="4604">
      <c r="A4604" s="1" t="s">
        <v>4664</v>
      </c>
      <c r="B4604" s="2" t="s">
        <v>4629</v>
      </c>
      <c r="C4604" s="2"/>
      <c r="D4604" s="2" t="s">
        <v>11</v>
      </c>
      <c r="E4604" s="2">
        <v>10.0</v>
      </c>
      <c r="F4604" s="2" t="s">
        <v>12</v>
      </c>
      <c r="G4604" s="2"/>
      <c r="H4604" s="2"/>
      <c r="I4604" s="2"/>
    </row>
    <row r="4605">
      <c r="A4605" s="1" t="s">
        <v>4665</v>
      </c>
      <c r="B4605" s="2" t="s">
        <v>4629</v>
      </c>
      <c r="C4605" s="2"/>
      <c r="D4605" s="2" t="s">
        <v>11</v>
      </c>
      <c r="E4605" s="2">
        <v>10.0</v>
      </c>
      <c r="F4605" s="2" t="s">
        <v>12</v>
      </c>
      <c r="G4605" s="2"/>
      <c r="H4605" s="2"/>
      <c r="I4605" s="2"/>
    </row>
    <row r="4606">
      <c r="A4606" s="1" t="s">
        <v>4666</v>
      </c>
      <c r="B4606" s="2" t="s">
        <v>4629</v>
      </c>
      <c r="C4606" s="2"/>
      <c r="D4606" s="2" t="s">
        <v>37</v>
      </c>
      <c r="E4606" s="2">
        <v>10.0</v>
      </c>
      <c r="F4606" s="2" t="s">
        <v>12</v>
      </c>
      <c r="G4606" s="2"/>
      <c r="H4606" s="2"/>
      <c r="I4606" s="2"/>
    </row>
    <row r="4607">
      <c r="A4607" s="2" t="s">
        <v>4667</v>
      </c>
      <c r="B4607" s="2" t="s">
        <v>4629</v>
      </c>
      <c r="C4607" s="2"/>
      <c r="D4607" s="2" t="s">
        <v>11</v>
      </c>
      <c r="E4607" s="2">
        <v>10.0</v>
      </c>
      <c r="F4607" s="2" t="s">
        <v>12</v>
      </c>
      <c r="G4607" s="2"/>
      <c r="H4607" s="2"/>
      <c r="I4607" s="2"/>
    </row>
    <row r="4608">
      <c r="A4608" s="2" t="s">
        <v>4668</v>
      </c>
      <c r="B4608" s="2" t="s">
        <v>4629</v>
      </c>
      <c r="C4608" s="2"/>
      <c r="D4608" s="2" t="s">
        <v>11</v>
      </c>
      <c r="E4608" s="2">
        <v>10.0</v>
      </c>
      <c r="F4608" s="2" t="s">
        <v>12</v>
      </c>
      <c r="G4608" s="2"/>
      <c r="H4608" s="2"/>
      <c r="I4608" s="2"/>
    </row>
    <row r="4609">
      <c r="A4609" s="1" t="s">
        <v>4669</v>
      </c>
      <c r="B4609" s="2" t="s">
        <v>4629</v>
      </c>
      <c r="C4609" s="2"/>
      <c r="D4609" s="2" t="s">
        <v>11</v>
      </c>
      <c r="E4609" s="2">
        <v>10.0</v>
      </c>
      <c r="F4609" s="2" t="s">
        <v>12</v>
      </c>
      <c r="G4609" s="2"/>
      <c r="H4609" s="2"/>
      <c r="I4609" s="2"/>
    </row>
    <row r="4610">
      <c r="A4610" s="1" t="s">
        <v>4670</v>
      </c>
      <c r="B4610" s="2" t="s">
        <v>4629</v>
      </c>
      <c r="C4610" s="2"/>
      <c r="D4610" s="2" t="s">
        <v>11</v>
      </c>
      <c r="E4610" s="2">
        <v>10.0</v>
      </c>
      <c r="F4610" s="2" t="s">
        <v>12</v>
      </c>
      <c r="G4610" s="2"/>
      <c r="H4610" s="2"/>
      <c r="I4610" s="2"/>
    </row>
    <row r="4611">
      <c r="A4611" s="1" t="s">
        <v>4671</v>
      </c>
      <c r="B4611" s="2" t="s">
        <v>4629</v>
      </c>
      <c r="C4611" s="2"/>
      <c r="D4611" s="2" t="s">
        <v>11</v>
      </c>
      <c r="E4611" s="2">
        <v>10.0</v>
      </c>
      <c r="F4611" s="2" t="s">
        <v>12</v>
      </c>
      <c r="G4611" s="2"/>
      <c r="H4611" s="2"/>
      <c r="I4611" s="2"/>
    </row>
    <row r="4612">
      <c r="A4612" s="1" t="s">
        <v>4672</v>
      </c>
      <c r="B4612" s="2" t="s">
        <v>4629</v>
      </c>
      <c r="C4612" s="2"/>
      <c r="D4612" s="2" t="s">
        <v>37</v>
      </c>
      <c r="E4612" s="2">
        <v>10.0</v>
      </c>
      <c r="F4612" s="2" t="s">
        <v>12</v>
      </c>
      <c r="G4612" s="2"/>
      <c r="H4612" s="2"/>
      <c r="I4612" s="2"/>
    </row>
    <row r="4613">
      <c r="A4613" s="1" t="s">
        <v>4673</v>
      </c>
      <c r="B4613" s="2" t="s">
        <v>4629</v>
      </c>
      <c r="C4613" s="2"/>
      <c r="D4613" s="2" t="s">
        <v>37</v>
      </c>
      <c r="E4613" s="2">
        <v>10.0</v>
      </c>
      <c r="F4613" s="2" t="s">
        <v>12</v>
      </c>
      <c r="G4613" s="2"/>
      <c r="H4613" s="2"/>
      <c r="I4613" s="2"/>
    </row>
    <row r="4614">
      <c r="A4614" s="1" t="s">
        <v>4674</v>
      </c>
      <c r="B4614" s="2" t="s">
        <v>4629</v>
      </c>
      <c r="C4614" s="2"/>
      <c r="D4614" s="2" t="s">
        <v>37</v>
      </c>
      <c r="E4614" s="2">
        <v>10.0</v>
      </c>
      <c r="F4614" s="2" t="s">
        <v>12</v>
      </c>
      <c r="G4614" s="2"/>
      <c r="H4614" s="2"/>
      <c r="I4614" s="2"/>
    </row>
    <row r="4615">
      <c r="A4615" s="1" t="s">
        <v>4675</v>
      </c>
      <c r="B4615" s="2" t="s">
        <v>4629</v>
      </c>
      <c r="C4615" s="2"/>
      <c r="D4615" s="2" t="s">
        <v>37</v>
      </c>
      <c r="E4615" s="2">
        <v>10.0</v>
      </c>
      <c r="F4615" s="2" t="s">
        <v>12</v>
      </c>
      <c r="G4615" s="2"/>
      <c r="H4615" s="2"/>
      <c r="I4615" s="2"/>
    </row>
    <row r="4616">
      <c r="A4616" s="2" t="s">
        <v>4676</v>
      </c>
      <c r="B4616" s="2" t="s">
        <v>4629</v>
      </c>
      <c r="C4616" s="2"/>
      <c r="D4616" s="2" t="s">
        <v>11</v>
      </c>
      <c r="E4616" s="2">
        <v>10.0</v>
      </c>
      <c r="F4616" s="2" t="s">
        <v>12</v>
      </c>
      <c r="G4616" s="2"/>
      <c r="H4616" s="2"/>
      <c r="I4616" s="2"/>
    </row>
    <row r="4617">
      <c r="A4617" s="1" t="s">
        <v>4677</v>
      </c>
      <c r="B4617" s="2" t="s">
        <v>4629</v>
      </c>
      <c r="C4617" s="2"/>
      <c r="D4617" s="2" t="s">
        <v>37</v>
      </c>
      <c r="E4617" s="2">
        <v>10.0</v>
      </c>
      <c r="F4617" s="2" t="s">
        <v>12</v>
      </c>
      <c r="G4617" s="2"/>
      <c r="H4617" s="2"/>
      <c r="I4617" s="2"/>
    </row>
    <row r="4618">
      <c r="A4618" s="1" t="s">
        <v>4678</v>
      </c>
      <c r="B4618" s="2" t="s">
        <v>4629</v>
      </c>
      <c r="C4618" s="2"/>
      <c r="D4618" s="2" t="s">
        <v>37</v>
      </c>
      <c r="E4618" s="2">
        <v>10.0</v>
      </c>
      <c r="F4618" s="2" t="s">
        <v>12</v>
      </c>
      <c r="G4618" s="2"/>
      <c r="H4618" s="2"/>
      <c r="I4618" s="2"/>
    </row>
    <row r="4619">
      <c r="A4619" s="1" t="s">
        <v>4679</v>
      </c>
      <c r="B4619" s="2" t="s">
        <v>4629</v>
      </c>
      <c r="C4619" s="2"/>
      <c r="D4619" s="2" t="s">
        <v>11</v>
      </c>
      <c r="E4619" s="2">
        <v>10.0</v>
      </c>
      <c r="F4619" s="2" t="s">
        <v>12</v>
      </c>
      <c r="G4619" s="2"/>
      <c r="H4619" s="2"/>
      <c r="I4619" s="2"/>
    </row>
    <row r="4620">
      <c r="A4620" s="1" t="s">
        <v>4680</v>
      </c>
      <c r="B4620" s="2" t="s">
        <v>4629</v>
      </c>
      <c r="C4620" s="2"/>
      <c r="D4620" s="2" t="s">
        <v>11</v>
      </c>
      <c r="E4620" s="2">
        <v>10.0</v>
      </c>
      <c r="F4620" s="2" t="s">
        <v>12</v>
      </c>
      <c r="G4620" s="2"/>
      <c r="H4620" s="2"/>
      <c r="I4620" s="2"/>
    </row>
    <row r="4621">
      <c r="A4621" s="1" t="s">
        <v>4681</v>
      </c>
      <c r="B4621" s="2" t="s">
        <v>4629</v>
      </c>
      <c r="C4621" s="2"/>
      <c r="D4621" s="2" t="s">
        <v>11</v>
      </c>
      <c r="E4621" s="2">
        <v>10.0</v>
      </c>
      <c r="F4621" s="2" t="s">
        <v>12</v>
      </c>
      <c r="G4621" s="2"/>
      <c r="H4621" s="2"/>
      <c r="I4621" s="2"/>
    </row>
    <row r="4622">
      <c r="A4622" s="1" t="s">
        <v>4682</v>
      </c>
      <c r="B4622" s="2" t="s">
        <v>4629</v>
      </c>
      <c r="C4622" s="2"/>
      <c r="D4622" s="2" t="s">
        <v>11</v>
      </c>
      <c r="E4622" s="2">
        <v>10.0</v>
      </c>
      <c r="F4622" s="2" t="s">
        <v>12</v>
      </c>
      <c r="G4622" s="2"/>
      <c r="H4622" s="2"/>
      <c r="I4622" s="2"/>
    </row>
    <row r="4623">
      <c r="A4623" s="2" t="s">
        <v>4683</v>
      </c>
      <c r="B4623" s="2" t="s">
        <v>4629</v>
      </c>
      <c r="C4623" s="2"/>
      <c r="D4623" s="2" t="s">
        <v>11</v>
      </c>
      <c r="E4623" s="2">
        <v>10.0</v>
      </c>
      <c r="F4623" s="2" t="s">
        <v>12</v>
      </c>
      <c r="G4623" s="2"/>
      <c r="H4623" s="2"/>
      <c r="I4623" s="2"/>
    </row>
    <row r="4624">
      <c r="A4624" s="2" t="s">
        <v>4684</v>
      </c>
      <c r="B4624" s="2" t="s">
        <v>4629</v>
      </c>
      <c r="C4624" s="2"/>
      <c r="D4624" s="2" t="s">
        <v>11</v>
      </c>
      <c r="E4624" s="2">
        <v>10.0</v>
      </c>
      <c r="F4624" s="2" t="s">
        <v>12</v>
      </c>
      <c r="G4624" s="2"/>
      <c r="H4624" s="2"/>
      <c r="I4624" s="2"/>
    </row>
    <row r="4625">
      <c r="A4625" s="1" t="s">
        <v>4685</v>
      </c>
      <c r="B4625" s="2" t="s">
        <v>4629</v>
      </c>
      <c r="C4625" s="2"/>
      <c r="D4625" s="2" t="s">
        <v>11</v>
      </c>
      <c r="E4625" s="2">
        <v>10.0</v>
      </c>
      <c r="F4625" s="2" t="s">
        <v>12</v>
      </c>
      <c r="G4625" s="2"/>
      <c r="H4625" s="2"/>
      <c r="I4625" s="2"/>
    </row>
    <row r="4626">
      <c r="A4626" s="2" t="s">
        <v>4686</v>
      </c>
      <c r="B4626" s="2" t="s">
        <v>4629</v>
      </c>
      <c r="C4626" s="1"/>
      <c r="D4626" s="2"/>
      <c r="E4626" s="2"/>
      <c r="F4626" s="2"/>
      <c r="G4626" s="2"/>
      <c r="H4626" s="2"/>
      <c r="I4626" s="2"/>
    </row>
    <row r="4627">
      <c r="A4627" s="2" t="s">
        <v>4687</v>
      </c>
      <c r="B4627" s="2" t="s">
        <v>4629</v>
      </c>
      <c r="C4627" s="2"/>
      <c r="D4627" s="2" t="s">
        <v>11</v>
      </c>
      <c r="E4627" s="2">
        <v>10.0</v>
      </c>
      <c r="F4627" s="2" t="s">
        <v>12</v>
      </c>
      <c r="G4627" s="2"/>
      <c r="H4627" s="2"/>
      <c r="I4627" s="2"/>
    </row>
    <row r="4628">
      <c r="A4628" s="1" t="s">
        <v>4688</v>
      </c>
      <c r="B4628" s="2" t="s">
        <v>4629</v>
      </c>
      <c r="C4628" s="2"/>
      <c r="D4628" s="2" t="s">
        <v>11</v>
      </c>
      <c r="E4628" s="2">
        <v>10.0</v>
      </c>
      <c r="F4628" s="2" t="s">
        <v>12</v>
      </c>
      <c r="G4628" s="2"/>
      <c r="H4628" s="2"/>
      <c r="I4628" s="2"/>
    </row>
    <row r="4629">
      <c r="A4629" s="1" t="s">
        <v>4689</v>
      </c>
      <c r="B4629" s="2" t="s">
        <v>4629</v>
      </c>
      <c r="C4629" s="2"/>
      <c r="D4629" s="2" t="s">
        <v>11</v>
      </c>
      <c r="E4629" s="2">
        <v>10.0</v>
      </c>
      <c r="F4629" s="2" t="s">
        <v>12</v>
      </c>
      <c r="G4629" s="2"/>
      <c r="H4629" s="2"/>
      <c r="I4629" s="2"/>
    </row>
    <row r="4630">
      <c r="A4630" s="1" t="s">
        <v>4690</v>
      </c>
      <c r="B4630" s="2" t="s">
        <v>4629</v>
      </c>
      <c r="C4630" s="2"/>
      <c r="D4630" s="2" t="s">
        <v>11</v>
      </c>
      <c r="E4630" s="2">
        <v>10.0</v>
      </c>
      <c r="F4630" s="2" t="s">
        <v>12</v>
      </c>
      <c r="G4630" s="2"/>
      <c r="H4630" s="2"/>
      <c r="I4630" s="2"/>
    </row>
    <row r="4631">
      <c r="A4631" s="1" t="s">
        <v>4691</v>
      </c>
      <c r="B4631" s="2" t="s">
        <v>4629</v>
      </c>
      <c r="C4631" s="2"/>
      <c r="D4631" s="2" t="s">
        <v>11</v>
      </c>
      <c r="E4631" s="2">
        <v>10.0</v>
      </c>
      <c r="F4631" s="2" t="s">
        <v>12</v>
      </c>
      <c r="G4631" s="2"/>
      <c r="H4631" s="2"/>
      <c r="I4631" s="2"/>
    </row>
    <row r="4632">
      <c r="A4632" s="1" t="s">
        <v>4692</v>
      </c>
      <c r="B4632" s="2" t="s">
        <v>4693</v>
      </c>
      <c r="C4632" s="2"/>
      <c r="D4632" s="2" t="s">
        <v>11</v>
      </c>
      <c r="E4632" s="2">
        <v>10.0</v>
      </c>
      <c r="F4632" s="2" t="s">
        <v>12</v>
      </c>
      <c r="G4632" s="2"/>
      <c r="H4632" s="2"/>
      <c r="I4632" s="2"/>
    </row>
    <row r="4633">
      <c r="A4633" s="1" t="s">
        <v>4694</v>
      </c>
      <c r="B4633" s="2" t="s">
        <v>4693</v>
      </c>
      <c r="C4633" s="2"/>
      <c r="D4633" s="2" t="s">
        <v>11</v>
      </c>
      <c r="E4633" s="2">
        <v>10.0</v>
      </c>
      <c r="F4633" s="2" t="s">
        <v>12</v>
      </c>
      <c r="G4633" s="2"/>
      <c r="H4633" s="2"/>
      <c r="I4633" s="2"/>
    </row>
    <row r="4634">
      <c r="A4634" s="1" t="s">
        <v>4695</v>
      </c>
      <c r="B4634" s="2" t="s">
        <v>4693</v>
      </c>
      <c r="C4634" s="2"/>
      <c r="D4634" s="2" t="s">
        <v>11</v>
      </c>
      <c r="E4634" s="2">
        <v>10.0</v>
      </c>
      <c r="F4634" s="2" t="s">
        <v>12</v>
      </c>
      <c r="G4634" s="2"/>
      <c r="H4634" s="2"/>
      <c r="I4634" s="2"/>
    </row>
    <row r="4635">
      <c r="A4635" s="1" t="s">
        <v>4696</v>
      </c>
      <c r="B4635" s="2" t="s">
        <v>4693</v>
      </c>
      <c r="C4635" s="2"/>
      <c r="D4635" s="2" t="s">
        <v>11</v>
      </c>
      <c r="E4635" s="2">
        <v>10.0</v>
      </c>
      <c r="F4635" s="2" t="s">
        <v>12</v>
      </c>
      <c r="G4635" s="2"/>
      <c r="H4635" s="2"/>
      <c r="I4635" s="2"/>
    </row>
    <row r="4636">
      <c r="A4636" s="2" t="s">
        <v>4697</v>
      </c>
      <c r="B4636" s="2" t="s">
        <v>4693</v>
      </c>
      <c r="C4636" s="2"/>
      <c r="D4636" s="2" t="s">
        <v>11</v>
      </c>
      <c r="E4636" s="2">
        <v>10.0</v>
      </c>
      <c r="F4636" s="2" t="s">
        <v>12</v>
      </c>
      <c r="G4636" s="2"/>
      <c r="H4636" s="2"/>
      <c r="I4636" s="2"/>
    </row>
    <row r="4637">
      <c r="A4637" s="2" t="s">
        <v>4698</v>
      </c>
      <c r="B4637" s="2" t="s">
        <v>4693</v>
      </c>
      <c r="C4637" s="1"/>
      <c r="D4637" s="2"/>
      <c r="E4637" s="2"/>
      <c r="F4637" s="2"/>
      <c r="G4637" s="2"/>
      <c r="H4637" s="2"/>
      <c r="I4637" s="2"/>
    </row>
    <row r="4638">
      <c r="A4638" s="1" t="s">
        <v>4699</v>
      </c>
      <c r="B4638" s="2" t="s">
        <v>4693</v>
      </c>
      <c r="C4638" s="2"/>
      <c r="D4638" s="2" t="s">
        <v>11</v>
      </c>
      <c r="E4638" s="2">
        <v>10.0</v>
      </c>
      <c r="F4638" s="2" t="s">
        <v>12</v>
      </c>
      <c r="G4638" s="2"/>
      <c r="H4638" s="2"/>
      <c r="I4638" s="2"/>
    </row>
    <row r="4639">
      <c r="A4639" s="1" t="s">
        <v>4700</v>
      </c>
      <c r="B4639" s="2" t="s">
        <v>4693</v>
      </c>
      <c r="C4639" s="2"/>
      <c r="D4639" s="2" t="s">
        <v>37</v>
      </c>
      <c r="E4639" s="2">
        <v>10.0</v>
      </c>
      <c r="F4639" s="2" t="s">
        <v>12</v>
      </c>
      <c r="G4639" s="2"/>
      <c r="H4639" s="2"/>
      <c r="I4639" s="2"/>
    </row>
    <row r="4640">
      <c r="A4640" s="1" t="s">
        <v>4701</v>
      </c>
      <c r="B4640" s="2" t="s">
        <v>4693</v>
      </c>
      <c r="C4640" s="2"/>
      <c r="D4640" s="2" t="s">
        <v>37</v>
      </c>
      <c r="E4640" s="2">
        <v>10.0</v>
      </c>
      <c r="F4640" s="2" t="s">
        <v>12</v>
      </c>
      <c r="G4640" s="2"/>
      <c r="H4640" s="2"/>
      <c r="I4640" s="2"/>
    </row>
    <row r="4641">
      <c r="A4641" s="1" t="s">
        <v>4702</v>
      </c>
      <c r="B4641" s="2" t="s">
        <v>4693</v>
      </c>
      <c r="C4641" s="2"/>
      <c r="D4641" s="2" t="s">
        <v>37</v>
      </c>
      <c r="E4641" s="2">
        <v>10.0</v>
      </c>
      <c r="F4641" s="2" t="s">
        <v>12</v>
      </c>
      <c r="G4641" s="2"/>
      <c r="H4641" s="2"/>
      <c r="I4641" s="2"/>
    </row>
    <row r="4642">
      <c r="A4642" s="1" t="s">
        <v>4703</v>
      </c>
      <c r="B4642" s="2" t="s">
        <v>4693</v>
      </c>
      <c r="C4642" s="2"/>
      <c r="D4642" s="2" t="s">
        <v>11</v>
      </c>
      <c r="E4642" s="2">
        <v>10.0</v>
      </c>
      <c r="F4642" s="2" t="s">
        <v>12</v>
      </c>
      <c r="G4642" s="2"/>
      <c r="H4642" s="2"/>
      <c r="I4642" s="2"/>
    </row>
    <row r="4643">
      <c r="A4643" s="1" t="s">
        <v>4704</v>
      </c>
      <c r="B4643" s="2" t="s">
        <v>4693</v>
      </c>
      <c r="C4643" s="2"/>
      <c r="D4643" s="2" t="s">
        <v>11</v>
      </c>
      <c r="E4643" s="2">
        <v>10.0</v>
      </c>
      <c r="F4643" s="2" t="s">
        <v>12</v>
      </c>
      <c r="G4643" s="2"/>
      <c r="H4643" s="2"/>
      <c r="I4643" s="2"/>
    </row>
    <row r="4644">
      <c r="A4644" s="1" t="s">
        <v>4705</v>
      </c>
      <c r="B4644" s="2" t="s">
        <v>4693</v>
      </c>
      <c r="C4644" s="2"/>
      <c r="D4644" s="2" t="s">
        <v>11</v>
      </c>
      <c r="E4644" s="2">
        <v>10.0</v>
      </c>
      <c r="F4644" s="2" t="s">
        <v>12</v>
      </c>
      <c r="G4644" s="2"/>
      <c r="H4644" s="2"/>
      <c r="I4644" s="2"/>
    </row>
    <row r="4645">
      <c r="A4645" s="2" t="s">
        <v>4706</v>
      </c>
      <c r="B4645" s="2" t="s">
        <v>4693</v>
      </c>
      <c r="C4645" s="2"/>
      <c r="D4645" s="2" t="s">
        <v>11</v>
      </c>
      <c r="E4645" s="2">
        <v>10.0</v>
      </c>
      <c r="F4645" s="2" t="s">
        <v>12</v>
      </c>
      <c r="G4645" s="2"/>
      <c r="H4645" s="2"/>
      <c r="I4645" s="2"/>
    </row>
    <row r="4646">
      <c r="A4646" s="1" t="s">
        <v>4707</v>
      </c>
      <c r="B4646" s="2" t="s">
        <v>4693</v>
      </c>
      <c r="C4646" s="2"/>
      <c r="D4646" s="2" t="s">
        <v>11</v>
      </c>
      <c r="E4646" s="2">
        <v>10.0</v>
      </c>
      <c r="F4646" s="2" t="s">
        <v>12</v>
      </c>
      <c r="G4646" s="2"/>
      <c r="H4646" s="2"/>
      <c r="I4646" s="2"/>
    </row>
    <row r="4647">
      <c r="A4647" s="1" t="s">
        <v>4708</v>
      </c>
      <c r="B4647" s="2" t="s">
        <v>4693</v>
      </c>
      <c r="C4647" s="2"/>
      <c r="D4647" s="2" t="s">
        <v>11</v>
      </c>
      <c r="E4647" s="2">
        <v>10.0</v>
      </c>
      <c r="F4647" s="2" t="s">
        <v>12</v>
      </c>
      <c r="G4647" s="2"/>
      <c r="H4647" s="2"/>
      <c r="I4647" s="2"/>
    </row>
    <row r="4648">
      <c r="A4648" s="1" t="s">
        <v>4709</v>
      </c>
      <c r="B4648" s="2" t="s">
        <v>4693</v>
      </c>
      <c r="C4648" s="2"/>
      <c r="D4648" s="1" t="s">
        <v>11</v>
      </c>
      <c r="E4648" s="2">
        <v>4.0</v>
      </c>
      <c r="F4648" s="2" t="s">
        <v>12</v>
      </c>
      <c r="G4648" s="2"/>
      <c r="H4648" s="2"/>
      <c r="I4648" s="2"/>
    </row>
    <row r="4649">
      <c r="A4649" s="2" t="s">
        <v>4710</v>
      </c>
      <c r="B4649" s="2" t="s">
        <v>4693</v>
      </c>
      <c r="C4649" s="2"/>
      <c r="D4649" s="2" t="s">
        <v>11</v>
      </c>
      <c r="E4649" s="2">
        <v>10.0</v>
      </c>
      <c r="F4649" s="2" t="s">
        <v>12</v>
      </c>
      <c r="G4649" s="2"/>
      <c r="H4649" s="2"/>
      <c r="I4649" s="2"/>
    </row>
    <row r="4650">
      <c r="A4650" s="2" t="s">
        <v>4711</v>
      </c>
      <c r="B4650" s="2" t="s">
        <v>4693</v>
      </c>
      <c r="C4650" s="1"/>
      <c r="D4650" s="2"/>
      <c r="E4650" s="2"/>
      <c r="F4650" s="2"/>
      <c r="G4650" s="2"/>
      <c r="H4650" s="2"/>
      <c r="I4650" s="2"/>
    </row>
    <row r="4651">
      <c r="A4651" s="2" t="s">
        <v>4712</v>
      </c>
      <c r="B4651" s="2" t="s">
        <v>4693</v>
      </c>
      <c r="C4651" s="2"/>
      <c r="D4651" s="2" t="s">
        <v>11</v>
      </c>
      <c r="E4651" s="2">
        <v>10.0</v>
      </c>
      <c r="F4651" s="2" t="s">
        <v>12</v>
      </c>
      <c r="G4651" s="2"/>
      <c r="H4651" s="2"/>
      <c r="I4651" s="2"/>
    </row>
    <row r="4652">
      <c r="A4652" s="1" t="s">
        <v>4713</v>
      </c>
      <c r="B4652" s="2" t="s">
        <v>4693</v>
      </c>
      <c r="C4652" s="2"/>
      <c r="D4652" s="2" t="s">
        <v>11</v>
      </c>
      <c r="E4652" s="2">
        <v>10.0</v>
      </c>
      <c r="F4652" s="2" t="s">
        <v>12</v>
      </c>
      <c r="G4652" s="2"/>
      <c r="H4652" s="2"/>
      <c r="I4652" s="2"/>
    </row>
    <row r="4653">
      <c r="A4653" s="2" t="s">
        <v>4714</v>
      </c>
      <c r="B4653" s="2" t="s">
        <v>4693</v>
      </c>
      <c r="C4653" s="2"/>
      <c r="D4653" s="2" t="s">
        <v>11</v>
      </c>
      <c r="E4653" s="2">
        <v>10.0</v>
      </c>
      <c r="F4653" s="2" t="s">
        <v>12</v>
      </c>
      <c r="G4653" s="2"/>
      <c r="H4653" s="2"/>
      <c r="I4653" s="2"/>
    </row>
    <row r="4654">
      <c r="A4654" s="2" t="s">
        <v>4715</v>
      </c>
      <c r="B4654" s="2" t="s">
        <v>4693</v>
      </c>
      <c r="C4654" s="2"/>
      <c r="D4654" s="2" t="s">
        <v>11</v>
      </c>
      <c r="E4654" s="2">
        <v>10.0</v>
      </c>
      <c r="F4654" s="2" t="s">
        <v>12</v>
      </c>
      <c r="G4654" s="2"/>
      <c r="H4654" s="2"/>
      <c r="I4654" s="2"/>
    </row>
    <row r="4655">
      <c r="A4655" s="1" t="s">
        <v>4716</v>
      </c>
      <c r="B4655" s="2" t="s">
        <v>4693</v>
      </c>
      <c r="C4655" s="2"/>
      <c r="D4655" s="2" t="s">
        <v>37</v>
      </c>
      <c r="E4655" s="2">
        <v>10.0</v>
      </c>
      <c r="F4655" s="2" t="s">
        <v>12</v>
      </c>
      <c r="G4655" s="2"/>
      <c r="H4655" s="2"/>
      <c r="I4655" s="2"/>
    </row>
    <row r="4656">
      <c r="A4656" s="2" t="s">
        <v>4717</v>
      </c>
      <c r="B4656" s="2" t="s">
        <v>4693</v>
      </c>
      <c r="C4656" s="2"/>
      <c r="D4656" s="2" t="s">
        <v>37</v>
      </c>
      <c r="E4656" s="2">
        <v>10.0</v>
      </c>
      <c r="F4656" s="2" t="s">
        <v>12</v>
      </c>
      <c r="G4656" s="2"/>
      <c r="H4656" s="2"/>
      <c r="I4656" s="2"/>
    </row>
    <row r="4657">
      <c r="A4657" s="2" t="s">
        <v>4718</v>
      </c>
      <c r="B4657" s="2" t="s">
        <v>4693</v>
      </c>
      <c r="C4657" s="2"/>
      <c r="D4657" s="2" t="s">
        <v>493</v>
      </c>
      <c r="E4657" s="2">
        <v>1.0</v>
      </c>
      <c r="F4657" s="2"/>
      <c r="G4657" s="2"/>
      <c r="H4657" s="2"/>
      <c r="I4657" s="2"/>
    </row>
    <row r="4658">
      <c r="A4658" s="2" t="s">
        <v>4719</v>
      </c>
      <c r="B4658" s="2" t="s">
        <v>4693</v>
      </c>
      <c r="C4658" s="1"/>
      <c r="D4658" s="2"/>
      <c r="E4658" s="2"/>
      <c r="F4658" s="2"/>
      <c r="G4658" s="2"/>
      <c r="H4658" s="2"/>
      <c r="I4658" s="2"/>
    </row>
    <row r="4659">
      <c r="A4659" s="2" t="s">
        <v>4720</v>
      </c>
      <c r="B4659" s="2" t="s">
        <v>4693</v>
      </c>
      <c r="C4659" s="2"/>
      <c r="D4659" s="2" t="s">
        <v>4721</v>
      </c>
      <c r="E4659" s="2">
        <v>1.0</v>
      </c>
      <c r="F4659" s="2"/>
      <c r="G4659" s="2"/>
      <c r="H4659" s="2"/>
      <c r="I4659" s="2"/>
    </row>
    <row r="4660">
      <c r="A4660" s="1" t="s">
        <v>4722</v>
      </c>
      <c r="B4660" s="2" t="s">
        <v>4693</v>
      </c>
      <c r="C4660" s="2"/>
      <c r="D4660" s="2" t="s">
        <v>11</v>
      </c>
      <c r="E4660" s="2">
        <v>10.0</v>
      </c>
      <c r="F4660" s="2" t="s">
        <v>12</v>
      </c>
      <c r="G4660" s="2"/>
      <c r="H4660" s="2"/>
      <c r="I4660" s="2"/>
    </row>
    <row r="4661">
      <c r="A4661" s="1" t="s">
        <v>4723</v>
      </c>
      <c r="B4661" s="2" t="s">
        <v>4693</v>
      </c>
      <c r="C4661" s="2"/>
      <c r="D4661" s="2" t="s">
        <v>11</v>
      </c>
      <c r="E4661" s="2">
        <v>10.0</v>
      </c>
      <c r="F4661" s="2" t="s">
        <v>12</v>
      </c>
      <c r="G4661" s="2"/>
      <c r="H4661" s="2"/>
      <c r="I4661" s="2"/>
    </row>
    <row r="4662">
      <c r="A4662" s="1" t="s">
        <v>4724</v>
      </c>
      <c r="B4662" s="2" t="s">
        <v>4693</v>
      </c>
      <c r="C4662" s="2"/>
      <c r="D4662" s="2" t="s">
        <v>11</v>
      </c>
      <c r="E4662" s="2">
        <v>10.0</v>
      </c>
      <c r="F4662" s="2" t="s">
        <v>12</v>
      </c>
      <c r="G4662" s="2"/>
      <c r="H4662" s="2"/>
      <c r="I4662" s="2"/>
    </row>
    <row r="4663">
      <c r="A4663" s="2" t="s">
        <v>4725</v>
      </c>
      <c r="B4663" s="2" t="s">
        <v>4693</v>
      </c>
      <c r="C4663" s="2"/>
      <c r="D4663" s="2" t="s">
        <v>37</v>
      </c>
      <c r="E4663" s="2">
        <v>10.0</v>
      </c>
      <c r="F4663" s="2" t="s">
        <v>12</v>
      </c>
      <c r="G4663" s="2"/>
      <c r="H4663" s="2"/>
      <c r="I4663" s="2"/>
    </row>
    <row r="4664">
      <c r="A4664" s="2" t="s">
        <v>4726</v>
      </c>
      <c r="B4664" s="2" t="s">
        <v>4693</v>
      </c>
      <c r="C4664" s="2"/>
      <c r="D4664" s="2" t="s">
        <v>37</v>
      </c>
      <c r="E4664" s="2">
        <v>10.0</v>
      </c>
      <c r="F4664" s="2" t="s">
        <v>12</v>
      </c>
      <c r="G4664" s="2"/>
      <c r="H4664" s="2"/>
      <c r="I4664" s="2"/>
    </row>
    <row r="4665">
      <c r="A4665" s="2" t="s">
        <v>4727</v>
      </c>
      <c r="B4665" s="2" t="s">
        <v>4693</v>
      </c>
      <c r="C4665" s="2"/>
      <c r="D4665" s="2" t="s">
        <v>11</v>
      </c>
      <c r="E4665" s="2">
        <v>10.0</v>
      </c>
      <c r="F4665" s="2" t="s">
        <v>12</v>
      </c>
      <c r="G4665" s="2"/>
      <c r="H4665" s="2"/>
      <c r="I4665" s="2"/>
    </row>
    <row r="4666">
      <c r="A4666" s="1" t="s">
        <v>4728</v>
      </c>
      <c r="B4666" s="2" t="s">
        <v>4693</v>
      </c>
      <c r="C4666" s="2"/>
      <c r="D4666" s="2" t="s">
        <v>11</v>
      </c>
      <c r="E4666" s="2">
        <v>15.0</v>
      </c>
      <c r="F4666" s="2" t="s">
        <v>12</v>
      </c>
      <c r="G4666" s="2"/>
      <c r="H4666" s="2"/>
      <c r="I4666" s="2"/>
    </row>
    <row r="4667">
      <c r="A4667" s="1" t="s">
        <v>4729</v>
      </c>
      <c r="B4667" s="2" t="s">
        <v>4693</v>
      </c>
      <c r="C4667" s="2"/>
      <c r="D4667" s="2" t="s">
        <v>11</v>
      </c>
      <c r="E4667" s="2">
        <v>15.0</v>
      </c>
      <c r="F4667" s="2" t="s">
        <v>12</v>
      </c>
      <c r="G4667" s="2"/>
      <c r="H4667" s="2"/>
      <c r="I4667" s="2"/>
    </row>
    <row r="4668">
      <c r="A4668" s="1" t="s">
        <v>4730</v>
      </c>
      <c r="B4668" s="2" t="s">
        <v>4693</v>
      </c>
      <c r="C4668" s="2"/>
      <c r="D4668" s="2" t="s">
        <v>37</v>
      </c>
      <c r="E4668" s="2">
        <v>10.0</v>
      </c>
      <c r="F4668" s="2" t="s">
        <v>12</v>
      </c>
      <c r="G4668" s="2"/>
      <c r="H4668" s="2"/>
      <c r="I4668" s="2"/>
    </row>
    <row r="4669">
      <c r="A4669" s="1" t="s">
        <v>4730</v>
      </c>
      <c r="B4669" s="2" t="s">
        <v>4693</v>
      </c>
      <c r="C4669" s="2"/>
      <c r="D4669" s="2" t="s">
        <v>37</v>
      </c>
      <c r="E4669" s="2">
        <v>15.0</v>
      </c>
      <c r="F4669" s="2" t="s">
        <v>12</v>
      </c>
      <c r="G4669" s="2"/>
      <c r="H4669" s="2"/>
      <c r="I4669" s="2"/>
    </row>
    <row r="4670">
      <c r="A4670" s="1" t="s">
        <v>4731</v>
      </c>
      <c r="B4670" s="2" t="s">
        <v>4693</v>
      </c>
      <c r="C4670" s="2"/>
      <c r="D4670" s="2" t="s">
        <v>37</v>
      </c>
      <c r="E4670" s="2">
        <v>10.0</v>
      </c>
      <c r="F4670" s="2" t="s">
        <v>12</v>
      </c>
      <c r="G4670" s="2"/>
      <c r="H4670" s="2"/>
      <c r="I4670" s="2"/>
    </row>
    <row r="4671">
      <c r="A4671" s="1" t="s">
        <v>4731</v>
      </c>
      <c r="B4671" s="2" t="s">
        <v>4693</v>
      </c>
      <c r="C4671" s="2"/>
      <c r="D4671" s="2" t="s">
        <v>37</v>
      </c>
      <c r="E4671" s="2">
        <v>15.0</v>
      </c>
      <c r="F4671" s="2" t="s">
        <v>12</v>
      </c>
      <c r="G4671" s="2"/>
      <c r="H4671" s="2"/>
      <c r="I4671" s="2"/>
    </row>
    <row r="4672">
      <c r="A4672" s="2" t="s">
        <v>4732</v>
      </c>
      <c r="B4672" s="2" t="s">
        <v>4693</v>
      </c>
      <c r="C4672" s="2"/>
      <c r="D4672" s="2" t="s">
        <v>11</v>
      </c>
      <c r="E4672" s="2">
        <v>6.0</v>
      </c>
      <c r="F4672" s="2" t="s">
        <v>12</v>
      </c>
      <c r="G4672" s="2"/>
      <c r="H4672" s="2"/>
      <c r="I4672" s="2"/>
    </row>
    <row r="4673">
      <c r="A4673" s="2" t="s">
        <v>4733</v>
      </c>
      <c r="B4673" s="2" t="s">
        <v>4693</v>
      </c>
      <c r="C4673" s="2"/>
      <c r="D4673" s="2" t="s">
        <v>11</v>
      </c>
      <c r="E4673" s="2">
        <v>10.0</v>
      </c>
      <c r="F4673" s="2" t="s">
        <v>12</v>
      </c>
      <c r="G4673" s="2"/>
      <c r="H4673" s="2"/>
      <c r="I4673" s="2"/>
    </row>
    <row r="4674">
      <c r="A4674" s="2" t="s">
        <v>4734</v>
      </c>
      <c r="B4674" s="2" t="s">
        <v>4693</v>
      </c>
      <c r="C4674" s="2"/>
      <c r="D4674" s="2" t="s">
        <v>37</v>
      </c>
      <c r="E4674" s="2">
        <v>10.0</v>
      </c>
      <c r="F4674" s="2" t="s">
        <v>12</v>
      </c>
      <c r="G4674" s="2"/>
      <c r="H4674" s="2"/>
      <c r="I4674" s="2"/>
    </row>
    <row r="4675">
      <c r="A4675" s="1" t="s">
        <v>4735</v>
      </c>
      <c r="B4675" s="2" t="s">
        <v>4693</v>
      </c>
      <c r="C4675" s="2"/>
      <c r="D4675" s="2" t="s">
        <v>37</v>
      </c>
      <c r="E4675" s="2">
        <v>10.0</v>
      </c>
      <c r="F4675" s="2" t="s">
        <v>12</v>
      </c>
      <c r="G4675" s="2"/>
      <c r="H4675" s="2"/>
      <c r="I4675" s="2"/>
    </row>
    <row r="4676">
      <c r="A4676" s="1" t="s">
        <v>4736</v>
      </c>
      <c r="B4676" s="2" t="s">
        <v>4693</v>
      </c>
      <c r="C4676" s="2"/>
      <c r="D4676" s="2" t="s">
        <v>37</v>
      </c>
      <c r="E4676" s="2">
        <v>10.0</v>
      </c>
      <c r="F4676" s="2" t="s">
        <v>12</v>
      </c>
      <c r="G4676" s="2"/>
      <c r="H4676" s="2"/>
      <c r="I4676" s="2"/>
    </row>
    <row r="4677">
      <c r="A4677" s="1" t="s">
        <v>4737</v>
      </c>
      <c r="B4677" s="2" t="s">
        <v>4693</v>
      </c>
      <c r="C4677" s="2"/>
      <c r="D4677" s="2" t="s">
        <v>37</v>
      </c>
      <c r="E4677" s="2">
        <v>10.0</v>
      </c>
      <c r="F4677" s="2" t="s">
        <v>12</v>
      </c>
      <c r="G4677" s="2"/>
      <c r="H4677" s="2"/>
      <c r="I4677" s="2"/>
    </row>
    <row r="4678">
      <c r="A4678" s="1" t="s">
        <v>4738</v>
      </c>
      <c r="B4678" s="2" t="s">
        <v>4693</v>
      </c>
      <c r="C4678" s="2"/>
      <c r="D4678" s="2" t="s">
        <v>37</v>
      </c>
      <c r="E4678" s="2">
        <v>10.0</v>
      </c>
      <c r="F4678" s="2" t="s">
        <v>12</v>
      </c>
      <c r="G4678" s="2"/>
      <c r="H4678" s="2"/>
      <c r="I4678" s="2"/>
    </row>
    <row r="4679">
      <c r="A4679" s="2" t="s">
        <v>4739</v>
      </c>
      <c r="B4679" s="2" t="s">
        <v>4740</v>
      </c>
      <c r="C4679" s="1"/>
      <c r="D4679" s="2"/>
      <c r="E4679" s="2"/>
      <c r="F4679" s="2"/>
      <c r="G4679" s="2"/>
      <c r="H4679" s="2"/>
      <c r="I4679" s="2"/>
    </row>
    <row r="4680">
      <c r="A4680" s="2" t="s">
        <v>4741</v>
      </c>
      <c r="B4680" s="2" t="s">
        <v>4740</v>
      </c>
      <c r="C4680" s="1"/>
      <c r="D4680" s="2"/>
      <c r="E4680" s="2"/>
      <c r="F4680" s="2"/>
      <c r="G4680" s="2"/>
      <c r="H4680" s="2"/>
      <c r="I4680" s="2"/>
    </row>
    <row r="4681">
      <c r="A4681" s="1" t="s">
        <v>4742</v>
      </c>
      <c r="B4681" s="2" t="s">
        <v>4740</v>
      </c>
      <c r="C4681" s="2"/>
      <c r="D4681" s="2" t="s">
        <v>37</v>
      </c>
      <c r="E4681" s="2">
        <v>20.0</v>
      </c>
      <c r="F4681" s="2" t="s">
        <v>12</v>
      </c>
      <c r="G4681" s="2"/>
      <c r="H4681" s="2"/>
      <c r="I4681" s="2"/>
    </row>
    <row r="4682">
      <c r="A4682" s="1" t="s">
        <v>4743</v>
      </c>
      <c r="B4682" s="2" t="s">
        <v>4740</v>
      </c>
      <c r="C4682" s="2"/>
      <c r="D4682" s="2" t="s">
        <v>37</v>
      </c>
      <c r="E4682" s="2">
        <v>20.0</v>
      </c>
      <c r="F4682" s="2" t="s">
        <v>12</v>
      </c>
      <c r="G4682" s="2"/>
      <c r="H4682" s="2"/>
      <c r="I4682" s="2"/>
    </row>
    <row r="4683">
      <c r="A4683" s="2" t="s">
        <v>4744</v>
      </c>
      <c r="B4683" s="2" t="s">
        <v>4740</v>
      </c>
      <c r="C4683" s="1"/>
      <c r="D4683" s="2"/>
      <c r="E4683" s="2"/>
      <c r="F4683" s="2"/>
      <c r="G4683" s="2"/>
      <c r="H4683" s="2"/>
      <c r="I4683" s="2"/>
    </row>
    <row r="4684">
      <c r="A4684" s="2" t="s">
        <v>4745</v>
      </c>
      <c r="B4684" s="2" t="s">
        <v>4740</v>
      </c>
      <c r="C4684" s="1"/>
      <c r="D4684" s="2"/>
      <c r="E4684" s="2"/>
      <c r="F4684" s="2"/>
      <c r="G4684" s="2"/>
      <c r="H4684" s="2"/>
      <c r="I4684" s="2"/>
    </row>
    <row r="4685">
      <c r="A4685" s="2" t="s">
        <v>4746</v>
      </c>
      <c r="B4685" s="2" t="s">
        <v>4740</v>
      </c>
      <c r="C4685" s="1"/>
      <c r="D4685" s="2"/>
      <c r="E4685" s="2"/>
      <c r="F4685" s="2"/>
      <c r="G4685" s="2"/>
      <c r="H4685" s="2"/>
      <c r="I4685" s="2"/>
    </row>
    <row r="4686">
      <c r="A4686" s="2" t="s">
        <v>4747</v>
      </c>
      <c r="B4686" s="2" t="s">
        <v>4740</v>
      </c>
      <c r="C4686" s="1"/>
      <c r="D4686" s="2"/>
      <c r="E4686" s="2"/>
      <c r="F4686" s="2"/>
      <c r="G4686" s="2"/>
      <c r="H4686" s="2"/>
      <c r="I4686" s="2"/>
    </row>
    <row r="4687">
      <c r="A4687" s="2" t="s">
        <v>4748</v>
      </c>
      <c r="B4687" s="2" t="s">
        <v>4740</v>
      </c>
      <c r="C4687" s="1"/>
      <c r="D4687" s="2"/>
      <c r="E4687" s="2"/>
      <c r="F4687" s="2"/>
      <c r="G4687" s="2"/>
      <c r="H4687" s="2"/>
      <c r="I4687" s="2"/>
    </row>
    <row r="4688">
      <c r="A4688" s="2" t="s">
        <v>4749</v>
      </c>
      <c r="B4688" s="2" t="s">
        <v>4740</v>
      </c>
      <c r="C4688" s="1"/>
      <c r="D4688" s="2"/>
      <c r="E4688" s="2"/>
      <c r="F4688" s="2"/>
      <c r="G4688" s="2"/>
      <c r="H4688" s="2"/>
      <c r="I4688" s="2"/>
    </row>
    <row r="4689">
      <c r="A4689" s="2" t="s">
        <v>4750</v>
      </c>
      <c r="B4689" s="2" t="s">
        <v>4740</v>
      </c>
      <c r="C4689" s="1"/>
      <c r="D4689" s="2"/>
      <c r="E4689" s="2"/>
      <c r="F4689" s="2"/>
      <c r="G4689" s="2"/>
      <c r="H4689" s="2"/>
      <c r="I4689" s="2"/>
    </row>
    <row r="4690">
      <c r="A4690" s="2" t="s">
        <v>4751</v>
      </c>
      <c r="B4690" s="2" t="s">
        <v>4740</v>
      </c>
      <c r="C4690" s="1"/>
      <c r="D4690" s="2"/>
      <c r="E4690" s="2"/>
      <c r="F4690" s="2"/>
      <c r="G4690" s="2"/>
      <c r="H4690" s="2"/>
      <c r="I4690" s="2"/>
    </row>
    <row r="4691">
      <c r="A4691" s="2" t="s">
        <v>4752</v>
      </c>
      <c r="B4691" s="2" t="s">
        <v>4740</v>
      </c>
      <c r="C4691" s="1"/>
      <c r="D4691" s="2"/>
      <c r="E4691" s="2"/>
      <c r="F4691" s="2"/>
      <c r="G4691" s="2"/>
      <c r="H4691" s="2"/>
      <c r="I4691" s="2"/>
    </row>
    <row r="4692">
      <c r="A4692" s="2" t="s">
        <v>4753</v>
      </c>
      <c r="B4692" s="2" t="s">
        <v>4740</v>
      </c>
      <c r="C4692" s="1"/>
      <c r="D4692" s="2"/>
      <c r="E4692" s="2"/>
      <c r="F4692" s="2"/>
      <c r="G4692" s="2"/>
      <c r="H4692" s="2"/>
      <c r="I4692" s="2"/>
    </row>
    <row r="4693">
      <c r="A4693" s="2" t="s">
        <v>4754</v>
      </c>
      <c r="B4693" s="2" t="s">
        <v>4740</v>
      </c>
      <c r="C4693" s="1"/>
      <c r="D4693" s="2"/>
      <c r="E4693" s="2"/>
      <c r="F4693" s="2"/>
      <c r="G4693" s="2"/>
      <c r="H4693" s="2"/>
      <c r="I4693" s="2"/>
    </row>
    <row r="4694">
      <c r="A4694" s="2" t="s">
        <v>4755</v>
      </c>
      <c r="B4694" s="2" t="s">
        <v>4740</v>
      </c>
      <c r="C4694" s="1"/>
      <c r="D4694" s="2"/>
      <c r="E4694" s="2"/>
      <c r="F4694" s="2"/>
      <c r="G4694" s="2"/>
      <c r="H4694" s="2"/>
      <c r="I4694" s="2"/>
    </row>
    <row r="4695">
      <c r="A4695" s="2" t="s">
        <v>4756</v>
      </c>
      <c r="B4695" s="2" t="s">
        <v>4740</v>
      </c>
      <c r="C4695" s="1"/>
      <c r="D4695" s="2"/>
      <c r="E4695" s="2"/>
      <c r="F4695" s="2"/>
      <c r="G4695" s="2"/>
      <c r="H4695" s="2"/>
      <c r="I4695" s="2"/>
    </row>
    <row r="4696">
      <c r="A4696" s="2" t="s">
        <v>4757</v>
      </c>
      <c r="B4696" s="2" t="s">
        <v>4740</v>
      </c>
      <c r="C4696" s="1"/>
      <c r="D4696" s="2"/>
      <c r="E4696" s="2"/>
      <c r="F4696" s="2"/>
      <c r="G4696" s="2"/>
      <c r="H4696" s="2"/>
      <c r="I4696" s="2"/>
    </row>
    <row r="4697">
      <c r="A4697" s="2" t="s">
        <v>4758</v>
      </c>
      <c r="B4697" s="2" t="s">
        <v>4740</v>
      </c>
      <c r="C4697" s="1"/>
      <c r="D4697" s="2"/>
      <c r="E4697" s="2"/>
      <c r="F4697" s="2"/>
      <c r="G4697" s="2"/>
      <c r="H4697" s="2"/>
      <c r="I4697" s="2"/>
    </row>
    <row r="4698">
      <c r="A4698" s="2" t="s">
        <v>4759</v>
      </c>
      <c r="B4698" s="2" t="s">
        <v>4740</v>
      </c>
      <c r="C4698" s="1"/>
      <c r="D4698" s="1" t="s">
        <v>300</v>
      </c>
      <c r="E4698" s="1" t="s">
        <v>2290</v>
      </c>
      <c r="F4698" s="1" t="s">
        <v>302</v>
      </c>
      <c r="G4698" s="2"/>
      <c r="H4698" s="2"/>
      <c r="I4698" s="2"/>
    </row>
    <row r="4699">
      <c r="A4699" s="2" t="s">
        <v>4760</v>
      </c>
      <c r="B4699" s="2" t="s">
        <v>4740</v>
      </c>
      <c r="C4699" s="1"/>
      <c r="D4699" s="1" t="s">
        <v>300</v>
      </c>
      <c r="E4699" s="1" t="s">
        <v>731</v>
      </c>
      <c r="F4699" s="1" t="s">
        <v>302</v>
      </c>
      <c r="G4699" s="2"/>
      <c r="H4699" s="2"/>
      <c r="I4699" s="2"/>
    </row>
    <row r="4700">
      <c r="A4700" s="2" t="s">
        <v>4761</v>
      </c>
      <c r="B4700" s="2" t="s">
        <v>4740</v>
      </c>
      <c r="C4700" s="1"/>
      <c r="D4700" s="2"/>
      <c r="E4700" s="2"/>
      <c r="F4700" s="2"/>
      <c r="G4700" s="2"/>
      <c r="H4700" s="2"/>
      <c r="I4700" s="2"/>
    </row>
    <row r="4701">
      <c r="A4701" s="2" t="s">
        <v>4762</v>
      </c>
      <c r="B4701" s="2" t="s">
        <v>4740</v>
      </c>
      <c r="C4701" s="1"/>
      <c r="D4701" s="2"/>
      <c r="E4701" s="2"/>
      <c r="F4701" s="2"/>
      <c r="G4701" s="2"/>
      <c r="H4701" s="2"/>
      <c r="I4701" s="2"/>
    </row>
    <row r="4702">
      <c r="A4702" s="1" t="s">
        <v>4763</v>
      </c>
      <c r="B4702" s="2" t="s">
        <v>4740</v>
      </c>
      <c r="C4702" s="2"/>
      <c r="D4702" s="2" t="s">
        <v>11</v>
      </c>
      <c r="E4702" s="2">
        <v>2.0</v>
      </c>
      <c r="F4702" s="2" t="s">
        <v>12</v>
      </c>
      <c r="G4702" s="2"/>
      <c r="H4702" s="2"/>
      <c r="I4702" s="2"/>
    </row>
    <row r="4703">
      <c r="A4703" s="2" t="s">
        <v>4764</v>
      </c>
      <c r="B4703" s="2" t="s">
        <v>4740</v>
      </c>
      <c r="C4703" s="1"/>
      <c r="D4703" s="2"/>
      <c r="E4703" s="2"/>
      <c r="F4703" s="2"/>
      <c r="G4703" s="2"/>
      <c r="H4703" s="2"/>
      <c r="I4703" s="2"/>
    </row>
    <row r="4704">
      <c r="A4704" s="2" t="s">
        <v>4765</v>
      </c>
      <c r="B4704" s="2" t="s">
        <v>4740</v>
      </c>
      <c r="C4704" s="1"/>
      <c r="D4704" s="2"/>
      <c r="E4704" s="2"/>
      <c r="F4704" s="2"/>
      <c r="G4704" s="2"/>
      <c r="H4704" s="2"/>
      <c r="I4704" s="2"/>
    </row>
    <row r="4705">
      <c r="A4705" s="2" t="s">
        <v>4766</v>
      </c>
      <c r="B4705" s="2" t="s">
        <v>4740</v>
      </c>
      <c r="C4705" s="1"/>
      <c r="D4705" s="2"/>
      <c r="E4705" s="2"/>
      <c r="F4705" s="2"/>
      <c r="G4705" s="2"/>
      <c r="H4705" s="2"/>
      <c r="I4705" s="2"/>
    </row>
    <row r="4706">
      <c r="A4706" s="2" t="s">
        <v>4767</v>
      </c>
      <c r="B4706" s="2" t="s">
        <v>4740</v>
      </c>
      <c r="C4706" s="1"/>
      <c r="D4706" s="2"/>
      <c r="E4706" s="2"/>
      <c r="F4706" s="2"/>
      <c r="G4706" s="2"/>
      <c r="H4706" s="2"/>
      <c r="I4706" s="2"/>
    </row>
    <row r="4707">
      <c r="A4707" s="2" t="s">
        <v>4768</v>
      </c>
      <c r="B4707" s="2" t="s">
        <v>4740</v>
      </c>
      <c r="C4707" s="1"/>
      <c r="D4707" s="2"/>
      <c r="E4707" s="2"/>
      <c r="F4707" s="2"/>
      <c r="G4707" s="2"/>
      <c r="H4707" s="2"/>
      <c r="I4707" s="2"/>
    </row>
    <row r="4708">
      <c r="A4708" s="2" t="s">
        <v>4769</v>
      </c>
      <c r="B4708" s="2" t="s">
        <v>4740</v>
      </c>
      <c r="C4708" s="1"/>
      <c r="D4708" s="2"/>
      <c r="E4708" s="2"/>
      <c r="F4708" s="2"/>
      <c r="G4708" s="2"/>
      <c r="H4708" s="2"/>
      <c r="I4708" s="2"/>
    </row>
    <row r="4709">
      <c r="A4709" s="2" t="s">
        <v>4770</v>
      </c>
      <c r="B4709" s="2" t="s">
        <v>4740</v>
      </c>
      <c r="C4709" s="1"/>
      <c r="D4709" s="2"/>
      <c r="E4709" s="2"/>
      <c r="F4709" s="2"/>
      <c r="G4709" s="2"/>
      <c r="H4709" s="2"/>
      <c r="I4709" s="2"/>
    </row>
    <row r="4710">
      <c r="A4710" s="2" t="s">
        <v>4771</v>
      </c>
      <c r="B4710" s="2" t="s">
        <v>4740</v>
      </c>
      <c r="C4710" s="1"/>
      <c r="D4710" s="2"/>
      <c r="E4710" s="2"/>
      <c r="F4710" s="2"/>
      <c r="G4710" s="2"/>
      <c r="H4710" s="2"/>
      <c r="I4710" s="2"/>
    </row>
    <row r="4711">
      <c r="A4711" s="2" t="s">
        <v>4772</v>
      </c>
      <c r="B4711" s="2" t="s">
        <v>4740</v>
      </c>
      <c r="C4711" s="1"/>
      <c r="D4711" s="2"/>
      <c r="E4711" s="2"/>
      <c r="F4711" s="2"/>
      <c r="G4711" s="2"/>
      <c r="H4711" s="2"/>
      <c r="I4711" s="2"/>
    </row>
    <row r="4712">
      <c r="A4712" s="2" t="s">
        <v>4773</v>
      </c>
      <c r="B4712" s="2" t="s">
        <v>4740</v>
      </c>
      <c r="C4712" s="2"/>
      <c r="D4712" s="2" t="s">
        <v>11</v>
      </c>
      <c r="E4712" s="2">
        <v>10.0</v>
      </c>
      <c r="F4712" s="2" t="s">
        <v>12</v>
      </c>
      <c r="G4712" s="2"/>
      <c r="H4712" s="2"/>
      <c r="I4712" s="2"/>
    </row>
    <row r="4713">
      <c r="A4713" s="2" t="s">
        <v>4774</v>
      </c>
      <c r="B4713" s="2" t="s">
        <v>4740</v>
      </c>
      <c r="C4713" s="2"/>
      <c r="D4713" s="2" t="s">
        <v>11</v>
      </c>
      <c r="E4713" s="2">
        <v>10.0</v>
      </c>
      <c r="F4713" s="2" t="s">
        <v>12</v>
      </c>
      <c r="G4713" s="2"/>
      <c r="H4713" s="2"/>
      <c r="I4713" s="2"/>
    </row>
    <row r="4714">
      <c r="A4714" s="1" t="s">
        <v>4775</v>
      </c>
      <c r="B4714" s="2" t="s">
        <v>4740</v>
      </c>
      <c r="C4714" s="2"/>
      <c r="D4714" s="2" t="s">
        <v>11</v>
      </c>
      <c r="E4714" s="2">
        <v>10.0</v>
      </c>
      <c r="F4714" s="2" t="s">
        <v>12</v>
      </c>
      <c r="G4714" s="2"/>
      <c r="H4714" s="2"/>
      <c r="I4714" s="2"/>
    </row>
    <row r="4715">
      <c r="A4715" s="1" t="s">
        <v>4776</v>
      </c>
      <c r="B4715" s="2" t="s">
        <v>4740</v>
      </c>
      <c r="C4715" s="2"/>
      <c r="D4715" s="2" t="s">
        <v>11</v>
      </c>
      <c r="E4715" s="2">
        <v>10.0</v>
      </c>
      <c r="F4715" s="2" t="s">
        <v>12</v>
      </c>
      <c r="G4715" s="2"/>
      <c r="H4715" s="2"/>
      <c r="I4715" s="2"/>
    </row>
    <row r="4716">
      <c r="A4716" s="1" t="s">
        <v>4777</v>
      </c>
      <c r="B4716" s="2" t="s">
        <v>4740</v>
      </c>
      <c r="C4716" s="2"/>
      <c r="D4716" s="2" t="s">
        <v>11</v>
      </c>
      <c r="E4716" s="2">
        <v>10.0</v>
      </c>
      <c r="F4716" s="2" t="s">
        <v>12</v>
      </c>
      <c r="G4716" s="2"/>
      <c r="H4716" s="2"/>
      <c r="I4716" s="2"/>
    </row>
    <row r="4717">
      <c r="A4717" s="1" t="s">
        <v>4778</v>
      </c>
      <c r="B4717" s="2" t="s">
        <v>4740</v>
      </c>
      <c r="C4717" s="2"/>
      <c r="D4717" s="2" t="s">
        <v>11</v>
      </c>
      <c r="E4717" s="2">
        <v>10.0</v>
      </c>
      <c r="F4717" s="2" t="s">
        <v>12</v>
      </c>
      <c r="G4717" s="2"/>
      <c r="H4717" s="2"/>
      <c r="I4717" s="2"/>
    </row>
    <row r="4718">
      <c r="A4718" s="2" t="s">
        <v>4779</v>
      </c>
      <c r="B4718" s="2" t="s">
        <v>4740</v>
      </c>
      <c r="C4718" s="1"/>
      <c r="D4718" s="2"/>
      <c r="E4718" s="2"/>
      <c r="F4718" s="2"/>
      <c r="G4718" s="2"/>
      <c r="H4718" s="2"/>
      <c r="I4718" s="2"/>
    </row>
    <row r="4719">
      <c r="A4719" s="2" t="s">
        <v>4780</v>
      </c>
      <c r="B4719" s="2" t="s">
        <v>4740</v>
      </c>
      <c r="C4719" s="1"/>
      <c r="D4719" s="2"/>
      <c r="E4719" s="2"/>
      <c r="F4719" s="2"/>
      <c r="G4719" s="2"/>
      <c r="H4719" s="2"/>
      <c r="I4719" s="2"/>
    </row>
    <row r="4720">
      <c r="A4720" s="2" t="s">
        <v>4781</v>
      </c>
      <c r="B4720" s="2" t="s">
        <v>4740</v>
      </c>
      <c r="C4720" s="1"/>
      <c r="D4720" s="2"/>
      <c r="E4720" s="2"/>
      <c r="F4720" s="2"/>
      <c r="G4720" s="2"/>
      <c r="H4720" s="2"/>
      <c r="I4720" s="2"/>
    </row>
    <row r="4721">
      <c r="A4721" s="1" t="s">
        <v>4782</v>
      </c>
      <c r="B4721" s="2" t="s">
        <v>4740</v>
      </c>
      <c r="C4721" s="2"/>
      <c r="D4721" s="2" t="s">
        <v>11</v>
      </c>
      <c r="E4721" s="2">
        <v>15.0</v>
      </c>
      <c r="F4721" s="2" t="s">
        <v>12</v>
      </c>
      <c r="G4721" s="2"/>
      <c r="H4721" s="2"/>
      <c r="I4721" s="2"/>
    </row>
    <row r="4722">
      <c r="A4722" s="1" t="s">
        <v>4783</v>
      </c>
      <c r="B4722" s="2" t="s">
        <v>4740</v>
      </c>
      <c r="C4722" s="2"/>
      <c r="D4722" s="2" t="s">
        <v>11</v>
      </c>
      <c r="E4722" s="2">
        <v>10.0</v>
      </c>
      <c r="F4722" s="2" t="s">
        <v>12</v>
      </c>
      <c r="G4722" s="2"/>
      <c r="H4722" s="2"/>
      <c r="I4722" s="2"/>
    </row>
    <row r="4723">
      <c r="A4723" s="2" t="s">
        <v>4784</v>
      </c>
      <c r="B4723" s="2" t="s">
        <v>4740</v>
      </c>
      <c r="C4723" s="1"/>
      <c r="D4723" s="2"/>
      <c r="E4723" s="2"/>
      <c r="F4723" s="2"/>
      <c r="G4723" s="2"/>
      <c r="H4723" s="2"/>
      <c r="I4723" s="2"/>
    </row>
    <row r="4724">
      <c r="A4724" s="2" t="s">
        <v>4785</v>
      </c>
      <c r="B4724" s="2" t="s">
        <v>4740</v>
      </c>
      <c r="C4724" s="2"/>
      <c r="D4724" s="2" t="s">
        <v>11</v>
      </c>
      <c r="E4724" s="2">
        <v>10.0</v>
      </c>
      <c r="F4724" s="2" t="s">
        <v>12</v>
      </c>
      <c r="G4724" s="2"/>
      <c r="H4724" s="2"/>
      <c r="I4724" s="2"/>
    </row>
    <row r="4725">
      <c r="A4725" s="2" t="s">
        <v>4786</v>
      </c>
      <c r="B4725" s="2" t="s">
        <v>4740</v>
      </c>
      <c r="C4725" s="1"/>
      <c r="D4725" s="2"/>
      <c r="E4725" s="2"/>
      <c r="F4725" s="2"/>
      <c r="G4725" s="2"/>
      <c r="H4725" s="2"/>
      <c r="I4725" s="2"/>
    </row>
    <row r="4726">
      <c r="A4726" s="2" t="s">
        <v>4787</v>
      </c>
      <c r="B4726" s="2" t="s">
        <v>4740</v>
      </c>
      <c r="C4726" s="1"/>
      <c r="D4726" s="2"/>
      <c r="E4726" s="2"/>
      <c r="F4726" s="2"/>
      <c r="G4726" s="2"/>
      <c r="H4726" s="2"/>
      <c r="I4726" s="2"/>
    </row>
    <row r="4727">
      <c r="A4727" s="1" t="s">
        <v>4788</v>
      </c>
      <c r="B4727" s="2" t="s">
        <v>4789</v>
      </c>
      <c r="C4727" s="2"/>
      <c r="D4727" s="2" t="s">
        <v>11</v>
      </c>
      <c r="E4727" s="2">
        <v>10.0</v>
      </c>
      <c r="F4727" s="2" t="s">
        <v>12</v>
      </c>
      <c r="G4727" s="2"/>
      <c r="H4727" s="2"/>
      <c r="I4727" s="2"/>
    </row>
    <row r="4728">
      <c r="A4728" s="2" t="s">
        <v>4790</v>
      </c>
      <c r="B4728" s="2" t="s">
        <v>4789</v>
      </c>
      <c r="C4728" s="2"/>
      <c r="D4728" s="2" t="s">
        <v>11</v>
      </c>
      <c r="E4728" s="2">
        <v>10.0</v>
      </c>
      <c r="F4728" s="2" t="s">
        <v>12</v>
      </c>
      <c r="G4728" s="2"/>
      <c r="H4728" s="2"/>
      <c r="I4728" s="2"/>
    </row>
    <row r="4729">
      <c r="A4729" s="1" t="s">
        <v>4791</v>
      </c>
      <c r="B4729" s="2" t="s">
        <v>4789</v>
      </c>
      <c r="C4729" s="2"/>
      <c r="D4729" s="2" t="s">
        <v>11</v>
      </c>
      <c r="E4729" s="2">
        <v>10.0</v>
      </c>
      <c r="F4729" s="2" t="s">
        <v>12</v>
      </c>
      <c r="G4729" s="2"/>
      <c r="H4729" s="2"/>
      <c r="I4729" s="2"/>
    </row>
    <row r="4730">
      <c r="A4730" s="1" t="s">
        <v>4792</v>
      </c>
      <c r="B4730" s="2" t="s">
        <v>4789</v>
      </c>
      <c r="C4730" s="2"/>
      <c r="D4730" s="2" t="s">
        <v>11</v>
      </c>
      <c r="E4730" s="2">
        <v>10.0</v>
      </c>
      <c r="F4730" s="2" t="s">
        <v>12</v>
      </c>
      <c r="G4730" s="2"/>
      <c r="H4730" s="2"/>
      <c r="I4730" s="2"/>
    </row>
    <row r="4731">
      <c r="A4731" s="2" t="s">
        <v>4793</v>
      </c>
      <c r="B4731" s="2" t="s">
        <v>4789</v>
      </c>
      <c r="C4731" s="1"/>
      <c r="D4731" s="2"/>
      <c r="E4731" s="2"/>
      <c r="F4731" s="2"/>
      <c r="G4731" s="2"/>
      <c r="H4731" s="2"/>
      <c r="I4731" s="2"/>
    </row>
    <row r="4732">
      <c r="A4732" s="1" t="s">
        <v>4794</v>
      </c>
      <c r="B4732" s="2" t="s">
        <v>4789</v>
      </c>
      <c r="C4732" s="2"/>
      <c r="D4732" s="2" t="s">
        <v>11</v>
      </c>
      <c r="E4732" s="2">
        <v>10.0</v>
      </c>
      <c r="F4732" s="2" t="s">
        <v>12</v>
      </c>
      <c r="G4732" s="2"/>
      <c r="H4732" s="2"/>
      <c r="I4732" s="2"/>
    </row>
    <row r="4733">
      <c r="A4733" s="1" t="s">
        <v>4795</v>
      </c>
      <c r="B4733" s="2" t="s">
        <v>4789</v>
      </c>
      <c r="C4733" s="2"/>
      <c r="D4733" s="2" t="s">
        <v>11</v>
      </c>
      <c r="E4733" s="2">
        <v>10.0</v>
      </c>
      <c r="F4733" s="2" t="s">
        <v>12</v>
      </c>
      <c r="G4733" s="2"/>
      <c r="H4733" s="2"/>
      <c r="I4733" s="2"/>
    </row>
    <row r="4734">
      <c r="A4734" s="1" t="s">
        <v>4796</v>
      </c>
      <c r="B4734" s="2" t="s">
        <v>4789</v>
      </c>
      <c r="C4734" s="2"/>
      <c r="D4734" s="2" t="s">
        <v>1023</v>
      </c>
      <c r="E4734" s="2">
        <v>4.0</v>
      </c>
      <c r="F4734" s="2"/>
      <c r="G4734" s="2"/>
      <c r="H4734" s="2"/>
      <c r="I4734" s="2"/>
    </row>
    <row r="4735">
      <c r="A4735" s="1" t="s">
        <v>4797</v>
      </c>
      <c r="B4735" s="2" t="s">
        <v>4789</v>
      </c>
      <c r="C4735" s="2"/>
      <c r="D4735" s="2" t="s">
        <v>37</v>
      </c>
      <c r="E4735" s="2">
        <v>10.0</v>
      </c>
      <c r="F4735" s="2" t="s">
        <v>12</v>
      </c>
      <c r="G4735" s="2"/>
      <c r="H4735" s="2"/>
      <c r="I4735" s="2"/>
    </row>
    <row r="4736">
      <c r="A4736" s="2" t="s">
        <v>4798</v>
      </c>
      <c r="B4736" s="2" t="s">
        <v>4789</v>
      </c>
      <c r="C4736" s="2"/>
      <c r="D4736" s="2" t="s">
        <v>37</v>
      </c>
      <c r="E4736" s="2">
        <v>15.0</v>
      </c>
      <c r="F4736" s="2" t="s">
        <v>12</v>
      </c>
      <c r="G4736" s="2"/>
      <c r="H4736" s="2"/>
      <c r="I4736" s="2"/>
    </row>
    <row r="4737">
      <c r="A4737" s="2" t="s">
        <v>4799</v>
      </c>
      <c r="B4737" s="2" t="s">
        <v>4789</v>
      </c>
      <c r="C4737" s="1"/>
      <c r="D4737" s="2"/>
      <c r="E4737" s="2"/>
      <c r="F4737" s="2"/>
      <c r="G4737" s="2"/>
      <c r="H4737" s="2"/>
      <c r="I4737" s="2"/>
    </row>
    <row r="4738">
      <c r="A4738" s="2" t="s">
        <v>4800</v>
      </c>
      <c r="B4738" s="2" t="s">
        <v>4789</v>
      </c>
      <c r="C4738" s="1"/>
      <c r="D4738" s="2"/>
      <c r="E4738" s="2"/>
      <c r="F4738" s="2"/>
      <c r="G4738" s="2"/>
      <c r="H4738" s="2"/>
      <c r="I4738" s="2"/>
    </row>
    <row r="4739">
      <c r="A4739" s="2" t="s">
        <v>4801</v>
      </c>
      <c r="B4739" s="2" t="s">
        <v>4789</v>
      </c>
      <c r="C4739" s="1"/>
      <c r="D4739" s="2"/>
      <c r="E4739" s="2"/>
      <c r="F4739" s="2"/>
      <c r="G4739" s="2"/>
      <c r="H4739" s="2"/>
      <c r="I4739" s="2"/>
    </row>
    <row r="4740">
      <c r="A4740" s="2" t="s">
        <v>4802</v>
      </c>
      <c r="B4740" s="2" t="s">
        <v>4789</v>
      </c>
      <c r="C4740" s="1"/>
      <c r="D4740" s="2"/>
      <c r="E4740" s="2"/>
      <c r="F4740" s="2"/>
      <c r="G4740" s="2"/>
      <c r="H4740" s="2"/>
      <c r="I4740" s="2"/>
    </row>
    <row r="4741">
      <c r="A4741" s="2" t="s">
        <v>4803</v>
      </c>
      <c r="B4741" s="2" t="s">
        <v>4789</v>
      </c>
      <c r="C4741" s="1"/>
      <c r="D4741" s="2"/>
      <c r="E4741" s="2"/>
      <c r="F4741" s="2"/>
      <c r="G4741" s="2"/>
      <c r="H4741" s="2"/>
      <c r="I4741" s="2"/>
    </row>
    <row r="4742">
      <c r="A4742" s="2" t="s">
        <v>4804</v>
      </c>
      <c r="B4742" s="2" t="s">
        <v>4789</v>
      </c>
      <c r="C4742" s="1"/>
      <c r="D4742" s="2"/>
      <c r="E4742" s="2"/>
      <c r="F4742" s="2"/>
      <c r="G4742" s="2"/>
      <c r="H4742" s="2"/>
      <c r="I4742" s="2"/>
    </row>
    <row r="4743">
      <c r="A4743" s="2" t="s">
        <v>4805</v>
      </c>
      <c r="B4743" s="2" t="s">
        <v>4789</v>
      </c>
      <c r="C4743" s="1"/>
      <c r="D4743" s="2"/>
      <c r="E4743" s="2"/>
      <c r="F4743" s="2"/>
      <c r="G4743" s="2"/>
      <c r="H4743" s="2"/>
      <c r="I4743" s="2"/>
    </row>
    <row r="4744">
      <c r="A4744" s="2" t="s">
        <v>4806</v>
      </c>
      <c r="B4744" s="2" t="s">
        <v>4789</v>
      </c>
      <c r="C4744" s="1"/>
      <c r="D4744" s="2"/>
      <c r="E4744" s="2"/>
      <c r="F4744" s="2"/>
      <c r="G4744" s="2"/>
      <c r="H4744" s="2"/>
      <c r="I4744" s="2"/>
    </row>
    <row r="4745">
      <c r="A4745" s="2" t="s">
        <v>4807</v>
      </c>
      <c r="B4745" s="2" t="s">
        <v>4789</v>
      </c>
      <c r="C4745" s="1"/>
      <c r="D4745" s="2"/>
      <c r="E4745" s="2"/>
      <c r="F4745" s="2"/>
      <c r="G4745" s="2"/>
      <c r="H4745" s="2"/>
      <c r="I4745" s="2"/>
    </row>
    <row r="4746">
      <c r="A4746" s="2" t="s">
        <v>4808</v>
      </c>
      <c r="B4746" s="2" t="s">
        <v>4789</v>
      </c>
      <c r="C4746" s="1"/>
      <c r="D4746" s="2"/>
      <c r="E4746" s="2"/>
      <c r="F4746" s="2"/>
      <c r="G4746" s="2"/>
      <c r="H4746" s="2"/>
      <c r="I4746" s="2"/>
    </row>
    <row r="4747">
      <c r="A4747" s="2" t="s">
        <v>4809</v>
      </c>
      <c r="B4747" s="2" t="s">
        <v>4789</v>
      </c>
      <c r="C4747" s="1"/>
      <c r="D4747" s="2"/>
      <c r="E4747" s="2"/>
      <c r="F4747" s="2"/>
      <c r="G4747" s="2"/>
      <c r="H4747" s="2"/>
      <c r="I4747" s="2"/>
    </row>
    <row r="4748">
      <c r="A4748" s="2" t="s">
        <v>4810</v>
      </c>
      <c r="B4748" s="2" t="s">
        <v>4789</v>
      </c>
      <c r="C4748" s="1"/>
      <c r="D4748" s="2"/>
      <c r="E4748" s="2"/>
      <c r="F4748" s="2"/>
      <c r="G4748" s="2"/>
      <c r="H4748" s="2"/>
      <c r="I4748" s="2"/>
    </row>
    <row r="4749">
      <c r="A4749" s="2" t="s">
        <v>4811</v>
      </c>
      <c r="B4749" s="2" t="s">
        <v>4789</v>
      </c>
      <c r="C4749" s="1"/>
      <c r="D4749" s="2"/>
      <c r="E4749" s="2"/>
      <c r="F4749" s="2"/>
      <c r="G4749" s="2"/>
      <c r="H4749" s="2"/>
      <c r="I4749" s="2"/>
    </row>
    <row r="4750">
      <c r="A4750" s="2" t="s">
        <v>4812</v>
      </c>
      <c r="B4750" s="2" t="s">
        <v>4789</v>
      </c>
      <c r="C4750" s="1"/>
      <c r="D4750" s="2"/>
      <c r="E4750" s="2"/>
      <c r="F4750" s="2"/>
      <c r="G4750" s="2"/>
      <c r="H4750" s="2"/>
      <c r="I4750" s="2"/>
    </row>
    <row r="4751">
      <c r="A4751" s="2" t="s">
        <v>4813</v>
      </c>
      <c r="B4751" s="2" t="s">
        <v>4789</v>
      </c>
      <c r="C4751" s="1"/>
      <c r="D4751" s="2"/>
      <c r="E4751" s="2"/>
      <c r="F4751" s="2"/>
      <c r="G4751" s="2"/>
      <c r="H4751" s="2"/>
      <c r="I4751" s="2"/>
    </row>
    <row r="4752">
      <c r="A4752" s="1" t="s">
        <v>4814</v>
      </c>
      <c r="B4752" s="2" t="s">
        <v>4815</v>
      </c>
      <c r="C4752" s="2"/>
      <c r="D4752" s="1" t="s">
        <v>11</v>
      </c>
      <c r="E4752" s="2">
        <v>4.0</v>
      </c>
      <c r="F4752" s="2" t="s">
        <v>12</v>
      </c>
      <c r="G4752" s="2"/>
      <c r="H4752" s="2"/>
      <c r="I4752" s="2"/>
    </row>
    <row r="4753">
      <c r="A4753" s="1" t="s">
        <v>4816</v>
      </c>
      <c r="B4753" s="2" t="s">
        <v>4815</v>
      </c>
      <c r="C4753" s="2"/>
      <c r="D4753" s="1" t="s">
        <v>11</v>
      </c>
      <c r="E4753" s="2">
        <v>4.0</v>
      </c>
      <c r="F4753" s="2" t="s">
        <v>12</v>
      </c>
      <c r="G4753" s="2"/>
      <c r="H4753" s="2"/>
      <c r="I4753" s="2"/>
    </row>
    <row r="4754">
      <c r="A4754" s="2" t="s">
        <v>4817</v>
      </c>
      <c r="B4754" s="2" t="s">
        <v>4815</v>
      </c>
      <c r="C4754" s="1"/>
      <c r="D4754" s="2"/>
      <c r="E4754" s="2"/>
      <c r="F4754" s="2"/>
      <c r="G4754" s="2"/>
      <c r="H4754" s="2"/>
      <c r="I4754" s="2"/>
    </row>
    <row r="4755">
      <c r="A4755" s="2" t="s">
        <v>4818</v>
      </c>
      <c r="B4755" s="2" t="s">
        <v>4815</v>
      </c>
      <c r="C4755" s="1"/>
      <c r="D4755" s="2"/>
      <c r="E4755" s="2"/>
      <c r="F4755" s="2"/>
      <c r="G4755" s="2"/>
      <c r="H4755" s="2"/>
      <c r="I4755" s="2"/>
    </row>
    <row r="4756">
      <c r="A4756" s="2" t="s">
        <v>4819</v>
      </c>
      <c r="B4756" s="2" t="s">
        <v>4815</v>
      </c>
      <c r="C4756" s="1"/>
      <c r="D4756" s="2"/>
      <c r="E4756" s="2"/>
      <c r="F4756" s="2"/>
      <c r="G4756" s="2"/>
      <c r="H4756" s="2"/>
      <c r="I4756" s="2"/>
    </row>
    <row r="4757">
      <c r="A4757" s="2" t="s">
        <v>4820</v>
      </c>
      <c r="B4757" s="2" t="s">
        <v>4815</v>
      </c>
      <c r="C4757" s="2"/>
      <c r="D4757" s="2" t="s">
        <v>37</v>
      </c>
      <c r="E4757" s="2">
        <v>10.0</v>
      </c>
      <c r="F4757" s="2" t="s">
        <v>12</v>
      </c>
      <c r="G4757" s="2"/>
      <c r="H4757" s="2"/>
      <c r="I4757" s="2"/>
    </row>
    <row r="4758">
      <c r="A4758" s="2" t="s">
        <v>4821</v>
      </c>
      <c r="B4758" s="2" t="s">
        <v>4815</v>
      </c>
      <c r="C4758" s="2"/>
      <c r="D4758" s="2" t="s">
        <v>11</v>
      </c>
      <c r="E4758" s="2">
        <v>10.0</v>
      </c>
      <c r="F4758" s="2" t="s">
        <v>12</v>
      </c>
      <c r="G4758" s="2"/>
      <c r="H4758" s="2"/>
      <c r="I4758" s="2"/>
    </row>
    <row r="4759">
      <c r="A4759" s="2" t="s">
        <v>4822</v>
      </c>
      <c r="B4759" s="2" t="s">
        <v>4815</v>
      </c>
      <c r="C4759" s="1"/>
      <c r="D4759" s="2"/>
      <c r="E4759" s="2"/>
      <c r="F4759" s="2"/>
      <c r="G4759" s="2"/>
      <c r="H4759" s="2"/>
      <c r="I4759" s="2"/>
    </row>
    <row r="4760">
      <c r="A4760" s="2" t="s">
        <v>4823</v>
      </c>
      <c r="B4760" s="2" t="s">
        <v>4815</v>
      </c>
      <c r="C4760" s="1"/>
      <c r="D4760" s="1" t="s">
        <v>300</v>
      </c>
      <c r="E4760" s="1" t="s">
        <v>301</v>
      </c>
      <c r="F4760" s="1" t="s">
        <v>302</v>
      </c>
      <c r="G4760" s="2"/>
      <c r="H4760" s="2"/>
      <c r="I4760" s="2"/>
    </row>
    <row r="4761">
      <c r="A4761" s="2" t="s">
        <v>4824</v>
      </c>
      <c r="B4761" s="2" t="s">
        <v>4815</v>
      </c>
      <c r="C4761" s="2"/>
      <c r="D4761" s="2" t="s">
        <v>11</v>
      </c>
      <c r="E4761" s="2">
        <v>10.0</v>
      </c>
      <c r="F4761" s="2" t="s">
        <v>12</v>
      </c>
      <c r="G4761" s="2"/>
      <c r="H4761" s="2"/>
      <c r="I4761" s="2"/>
    </row>
    <row r="4762">
      <c r="A4762" s="2" t="s">
        <v>4825</v>
      </c>
      <c r="B4762" s="2" t="s">
        <v>4815</v>
      </c>
      <c r="C4762" s="2"/>
      <c r="D4762" s="2"/>
      <c r="E4762" s="2"/>
      <c r="F4762" s="2"/>
      <c r="G4762" s="2"/>
      <c r="H4762" s="2"/>
      <c r="I4762" s="2"/>
    </row>
    <row r="4763">
      <c r="A4763" s="1" t="s">
        <v>4826</v>
      </c>
      <c r="B4763" s="2" t="s">
        <v>4815</v>
      </c>
      <c r="C4763" s="2"/>
      <c r="D4763" s="2" t="s">
        <v>11</v>
      </c>
      <c r="E4763" s="2">
        <v>10.0</v>
      </c>
      <c r="F4763" s="2" t="s">
        <v>12</v>
      </c>
      <c r="G4763" s="2"/>
      <c r="H4763" s="2"/>
      <c r="I4763" s="2"/>
    </row>
    <row r="4764">
      <c r="A4764" s="2" t="s">
        <v>4827</v>
      </c>
      <c r="B4764" s="2" t="s">
        <v>4815</v>
      </c>
      <c r="C4764" s="2"/>
      <c r="D4764" s="2" t="s">
        <v>11</v>
      </c>
      <c r="E4764" s="2">
        <v>10.0</v>
      </c>
      <c r="F4764" s="2" t="s">
        <v>12</v>
      </c>
      <c r="G4764" s="2"/>
      <c r="H4764" s="2"/>
      <c r="I4764" s="2"/>
    </row>
    <row r="4765">
      <c r="A4765" s="2" t="s">
        <v>4828</v>
      </c>
      <c r="B4765" s="2" t="s">
        <v>4815</v>
      </c>
      <c r="C4765" s="1"/>
      <c r="D4765" s="2"/>
      <c r="E4765" s="2"/>
      <c r="F4765" s="2"/>
      <c r="G4765" s="2"/>
      <c r="H4765" s="2"/>
      <c r="I4765" s="2"/>
    </row>
    <row r="4766">
      <c r="A4766" s="2" t="s">
        <v>4829</v>
      </c>
      <c r="B4766" s="2" t="s">
        <v>4815</v>
      </c>
      <c r="C4766" s="1"/>
      <c r="D4766" s="2"/>
      <c r="E4766" s="2"/>
      <c r="F4766" s="2"/>
      <c r="G4766" s="2"/>
      <c r="H4766" s="2"/>
      <c r="I4766" s="2"/>
    </row>
    <row r="4767">
      <c r="A4767" s="2" t="s">
        <v>4830</v>
      </c>
      <c r="B4767" s="2" t="s">
        <v>4815</v>
      </c>
      <c r="C4767" s="2"/>
      <c r="D4767" s="2" t="s">
        <v>11</v>
      </c>
      <c r="E4767" s="2">
        <v>10.0</v>
      </c>
      <c r="F4767" s="2" t="s">
        <v>12</v>
      </c>
      <c r="G4767" s="2"/>
      <c r="H4767" s="2"/>
      <c r="I4767" s="2"/>
    </row>
    <row r="4768">
      <c r="A4768" s="1" t="s">
        <v>4831</v>
      </c>
      <c r="B4768" s="2" t="s">
        <v>4815</v>
      </c>
      <c r="C4768" s="2"/>
      <c r="D4768" s="2" t="s">
        <v>11</v>
      </c>
      <c r="E4768" s="2">
        <v>10.0</v>
      </c>
      <c r="F4768" s="2" t="s">
        <v>12</v>
      </c>
      <c r="G4768" s="2"/>
      <c r="H4768" s="2"/>
      <c r="I4768" s="2"/>
    </row>
    <row r="4769">
      <c r="A4769" s="2" t="s">
        <v>4832</v>
      </c>
      <c r="B4769" s="2" t="s">
        <v>4815</v>
      </c>
      <c r="C4769" s="2"/>
      <c r="D4769" s="2" t="s">
        <v>11</v>
      </c>
      <c r="E4769" s="2">
        <v>10.0</v>
      </c>
      <c r="F4769" s="2" t="s">
        <v>12</v>
      </c>
      <c r="G4769" s="2"/>
      <c r="H4769" s="2"/>
      <c r="I4769" s="2"/>
    </row>
    <row r="4770">
      <c r="A4770" s="1" t="s">
        <v>4833</v>
      </c>
      <c r="B4770" s="2" t="s">
        <v>4815</v>
      </c>
      <c r="C4770" s="2"/>
      <c r="D4770" s="2" t="s">
        <v>11</v>
      </c>
      <c r="E4770" s="2">
        <v>10.0</v>
      </c>
      <c r="F4770" s="2" t="s">
        <v>12</v>
      </c>
      <c r="G4770" s="2"/>
      <c r="H4770" s="2"/>
      <c r="I4770" s="2"/>
    </row>
    <row r="4771">
      <c r="A4771" s="1" t="s">
        <v>4834</v>
      </c>
      <c r="B4771" s="2" t="s">
        <v>4815</v>
      </c>
      <c r="C4771" s="2"/>
      <c r="D4771" s="2" t="s">
        <v>11</v>
      </c>
      <c r="E4771" s="2">
        <v>10.0</v>
      </c>
      <c r="F4771" s="2" t="s">
        <v>12</v>
      </c>
      <c r="G4771" s="2"/>
      <c r="H4771" s="2"/>
      <c r="I4771" s="2"/>
    </row>
    <row r="4772">
      <c r="A4772" s="2" t="s">
        <v>4835</v>
      </c>
      <c r="B4772" s="2" t="s">
        <v>4815</v>
      </c>
      <c r="C4772" s="2"/>
      <c r="D4772" s="2" t="s">
        <v>11</v>
      </c>
      <c r="E4772" s="2">
        <v>10.0</v>
      </c>
      <c r="F4772" s="2" t="s">
        <v>12</v>
      </c>
      <c r="G4772" s="2"/>
      <c r="H4772" s="2"/>
      <c r="I4772" s="2"/>
    </row>
    <row r="4773">
      <c r="A4773" s="1" t="s">
        <v>4836</v>
      </c>
      <c r="B4773" s="2" t="s">
        <v>4815</v>
      </c>
      <c r="C4773" s="2"/>
      <c r="D4773" s="2" t="s">
        <v>11</v>
      </c>
      <c r="E4773" s="2">
        <v>10.0</v>
      </c>
      <c r="F4773" s="2" t="s">
        <v>12</v>
      </c>
      <c r="G4773" s="2"/>
      <c r="H4773" s="2"/>
      <c r="I4773" s="2"/>
    </row>
    <row r="4774">
      <c r="A4774" s="1" t="s">
        <v>4837</v>
      </c>
      <c r="B4774" s="2" t="s">
        <v>4815</v>
      </c>
      <c r="C4774" s="2"/>
      <c r="D4774" s="2" t="s">
        <v>11</v>
      </c>
      <c r="E4774" s="2">
        <v>10.0</v>
      </c>
      <c r="F4774" s="2" t="s">
        <v>12</v>
      </c>
      <c r="G4774" s="2"/>
      <c r="H4774" s="2"/>
      <c r="I4774" s="2"/>
    </row>
    <row r="4775">
      <c r="A4775" s="2" t="s">
        <v>4838</v>
      </c>
      <c r="B4775" s="2" t="s">
        <v>4815</v>
      </c>
      <c r="C4775" s="2"/>
      <c r="D4775" s="2" t="s">
        <v>11</v>
      </c>
      <c r="E4775" s="2">
        <v>10.0</v>
      </c>
      <c r="F4775" s="2" t="s">
        <v>12</v>
      </c>
      <c r="G4775" s="2"/>
      <c r="H4775" s="2"/>
      <c r="I4775" s="2"/>
    </row>
    <row r="4776">
      <c r="A4776" s="2" t="s">
        <v>4839</v>
      </c>
      <c r="B4776" s="2" t="s">
        <v>4815</v>
      </c>
      <c r="C4776" s="2"/>
      <c r="D4776" s="2" t="s">
        <v>11</v>
      </c>
      <c r="E4776" s="2">
        <v>10.0</v>
      </c>
      <c r="F4776" s="2" t="s">
        <v>12</v>
      </c>
      <c r="G4776" s="2"/>
      <c r="H4776" s="2"/>
      <c r="I4776" s="2"/>
    </row>
    <row r="4777">
      <c r="A4777" s="1" t="s">
        <v>4840</v>
      </c>
      <c r="B4777" s="2" t="s">
        <v>4841</v>
      </c>
      <c r="C4777" s="2"/>
      <c r="D4777" s="2" t="s">
        <v>11</v>
      </c>
      <c r="E4777" s="2">
        <v>10.0</v>
      </c>
      <c r="F4777" s="2" t="s">
        <v>12</v>
      </c>
      <c r="G4777" s="2"/>
      <c r="H4777" s="2"/>
      <c r="I4777" s="2"/>
    </row>
    <row r="4778">
      <c r="A4778" s="1" t="s">
        <v>4842</v>
      </c>
      <c r="B4778" s="2" t="s">
        <v>4841</v>
      </c>
      <c r="C4778" s="2"/>
      <c r="D4778" s="2" t="s">
        <v>11</v>
      </c>
      <c r="E4778" s="2">
        <v>10.0</v>
      </c>
      <c r="F4778" s="2" t="s">
        <v>12</v>
      </c>
      <c r="G4778" s="2"/>
      <c r="H4778" s="2"/>
      <c r="I4778" s="2"/>
    </row>
    <row r="4779">
      <c r="A4779" s="2" t="s">
        <v>4843</v>
      </c>
      <c r="B4779" s="2" t="s">
        <v>4841</v>
      </c>
      <c r="C4779" s="2"/>
      <c r="D4779" s="2" t="s">
        <v>11</v>
      </c>
      <c r="E4779" s="2">
        <v>10.0</v>
      </c>
      <c r="F4779" s="2" t="s">
        <v>12</v>
      </c>
      <c r="G4779" s="2"/>
      <c r="H4779" s="2"/>
      <c r="I4779" s="2"/>
    </row>
    <row r="4780">
      <c r="A4780" s="2" t="s">
        <v>4844</v>
      </c>
      <c r="B4780" s="2" t="s">
        <v>4841</v>
      </c>
      <c r="C4780" s="2"/>
      <c r="D4780" s="2" t="s">
        <v>11</v>
      </c>
      <c r="E4780" s="2">
        <v>10.0</v>
      </c>
      <c r="F4780" s="2" t="s">
        <v>12</v>
      </c>
      <c r="G4780" s="2"/>
      <c r="H4780" s="2"/>
      <c r="I4780" s="2"/>
    </row>
    <row r="4781">
      <c r="A4781" s="1" t="s">
        <v>4845</v>
      </c>
      <c r="B4781" s="2" t="s">
        <v>4841</v>
      </c>
      <c r="C4781" s="2"/>
      <c r="D4781" s="2" t="s">
        <v>11</v>
      </c>
      <c r="E4781" s="2">
        <v>10.0</v>
      </c>
      <c r="F4781" s="2" t="s">
        <v>12</v>
      </c>
      <c r="G4781" s="2"/>
      <c r="H4781" s="2"/>
      <c r="I4781" s="2"/>
    </row>
    <row r="4782">
      <c r="A4782" s="2" t="s">
        <v>4846</v>
      </c>
      <c r="B4782" s="2" t="s">
        <v>4841</v>
      </c>
      <c r="C4782" s="2"/>
      <c r="D4782" s="2" t="s">
        <v>1023</v>
      </c>
      <c r="E4782" s="2">
        <v>4.0</v>
      </c>
      <c r="F4782" s="2"/>
      <c r="G4782" s="2"/>
      <c r="H4782" s="2"/>
      <c r="I4782" s="2"/>
    </row>
    <row r="4783">
      <c r="A4783" s="2" t="s">
        <v>4847</v>
      </c>
      <c r="B4783" s="2" t="s">
        <v>4841</v>
      </c>
      <c r="C4783" s="2"/>
      <c r="D4783" s="2" t="s">
        <v>11</v>
      </c>
      <c r="E4783" s="2"/>
      <c r="F4783" s="2"/>
      <c r="G4783" s="2"/>
      <c r="H4783" s="2"/>
      <c r="I4783" s="2"/>
    </row>
    <row r="4784">
      <c r="A4784" s="1" t="s">
        <v>4848</v>
      </c>
      <c r="B4784" s="2" t="s">
        <v>4841</v>
      </c>
      <c r="C4784" s="2"/>
      <c r="D4784" s="2" t="s">
        <v>11</v>
      </c>
      <c r="E4784" s="2">
        <v>25.0</v>
      </c>
      <c r="F4784" s="2" t="s">
        <v>12</v>
      </c>
      <c r="G4784" s="2"/>
      <c r="H4784" s="2"/>
      <c r="I4784" s="2"/>
    </row>
    <row r="4785">
      <c r="A4785" s="1" t="s">
        <v>4849</v>
      </c>
      <c r="B4785" s="2" t="s">
        <v>4841</v>
      </c>
      <c r="C4785" s="2"/>
      <c r="D4785" s="2" t="s">
        <v>11</v>
      </c>
      <c r="E4785" s="2">
        <v>25.0</v>
      </c>
      <c r="F4785" s="2" t="s">
        <v>12</v>
      </c>
      <c r="G4785" s="2"/>
      <c r="H4785" s="2"/>
      <c r="I4785" s="2"/>
    </row>
    <row r="4786">
      <c r="A4786" s="1" t="s">
        <v>4850</v>
      </c>
      <c r="B4786" s="2" t="s">
        <v>4841</v>
      </c>
      <c r="C4786" s="2"/>
      <c r="D4786" s="2" t="s">
        <v>37</v>
      </c>
      <c r="E4786" s="2">
        <v>10.0</v>
      </c>
      <c r="F4786" s="2" t="s">
        <v>12</v>
      </c>
      <c r="G4786" s="2"/>
      <c r="H4786" s="2"/>
      <c r="I4786" s="2"/>
    </row>
    <row r="4787">
      <c r="A4787" s="1" t="s">
        <v>4851</v>
      </c>
      <c r="B4787" s="2" t="s">
        <v>4841</v>
      </c>
      <c r="C4787" s="2"/>
      <c r="D4787" s="2" t="s">
        <v>37</v>
      </c>
      <c r="E4787" s="2">
        <v>10.0</v>
      </c>
      <c r="F4787" s="2" t="s">
        <v>12</v>
      </c>
      <c r="G4787" s="2"/>
      <c r="H4787" s="2"/>
      <c r="I4787" s="2"/>
    </row>
    <row r="4788">
      <c r="A4788" s="1" t="s">
        <v>4852</v>
      </c>
      <c r="B4788" s="2" t="s">
        <v>4841</v>
      </c>
      <c r="C4788" s="2"/>
      <c r="D4788" s="2" t="s">
        <v>11</v>
      </c>
      <c r="E4788" s="2">
        <v>10.0</v>
      </c>
      <c r="F4788" s="2" t="s">
        <v>12</v>
      </c>
      <c r="G4788" s="2"/>
      <c r="H4788" s="2"/>
      <c r="I4788" s="2"/>
    </row>
    <row r="4789">
      <c r="A4789" s="1" t="s">
        <v>4853</v>
      </c>
      <c r="B4789" s="2" t="s">
        <v>4841</v>
      </c>
      <c r="C4789" s="2"/>
      <c r="D4789" s="2" t="s">
        <v>11</v>
      </c>
      <c r="E4789" s="2">
        <v>10.0</v>
      </c>
      <c r="F4789" s="2" t="s">
        <v>12</v>
      </c>
      <c r="G4789" s="2"/>
      <c r="H4789" s="2"/>
      <c r="I4789" s="2"/>
    </row>
    <row r="4790">
      <c r="A4790" s="1" t="s">
        <v>4854</v>
      </c>
      <c r="B4790" s="2" t="s">
        <v>4841</v>
      </c>
      <c r="C4790" s="2"/>
      <c r="D4790" s="2" t="s">
        <v>11</v>
      </c>
      <c r="E4790" s="2">
        <v>10.0</v>
      </c>
      <c r="F4790" s="2" t="s">
        <v>12</v>
      </c>
      <c r="G4790" s="2"/>
      <c r="H4790" s="2"/>
      <c r="I4790" s="2"/>
    </row>
    <row r="4791">
      <c r="A4791" s="1" t="s">
        <v>4855</v>
      </c>
      <c r="B4791" s="2" t="s">
        <v>4841</v>
      </c>
      <c r="C4791" s="2"/>
      <c r="D4791" s="2" t="s">
        <v>11</v>
      </c>
      <c r="E4791" s="2">
        <v>10.0</v>
      </c>
      <c r="F4791" s="2" t="s">
        <v>12</v>
      </c>
      <c r="G4791" s="2"/>
      <c r="H4791" s="2"/>
      <c r="I4791" s="2"/>
    </row>
    <row r="4792">
      <c r="A4792" s="1" t="s">
        <v>4856</v>
      </c>
      <c r="B4792" s="2" t="s">
        <v>4841</v>
      </c>
      <c r="C4792" s="2"/>
      <c r="D4792" s="2" t="s">
        <v>37</v>
      </c>
      <c r="E4792" s="2">
        <v>10.0</v>
      </c>
      <c r="F4792" s="2" t="s">
        <v>12</v>
      </c>
      <c r="G4792" s="2"/>
      <c r="H4792" s="2"/>
      <c r="I4792" s="2"/>
    </row>
    <row r="4793">
      <c r="A4793" s="1" t="s">
        <v>4857</v>
      </c>
      <c r="B4793" s="2" t="s">
        <v>4841</v>
      </c>
      <c r="C4793" s="2"/>
      <c r="D4793" s="2" t="s">
        <v>37</v>
      </c>
      <c r="E4793" s="2">
        <v>10.0</v>
      </c>
      <c r="F4793" s="2" t="s">
        <v>12</v>
      </c>
      <c r="G4793" s="2"/>
      <c r="H4793" s="2"/>
      <c r="I4793" s="2"/>
    </row>
    <row r="4794">
      <c r="A4794" s="2" t="s">
        <v>4858</v>
      </c>
      <c r="B4794" s="2" t="s">
        <v>4841</v>
      </c>
      <c r="C4794" s="2"/>
      <c r="D4794" s="2" t="s">
        <v>11</v>
      </c>
      <c r="E4794" s="2">
        <v>10.0</v>
      </c>
      <c r="F4794" s="2" t="s">
        <v>12</v>
      </c>
      <c r="G4794" s="2"/>
      <c r="H4794" s="2"/>
      <c r="I4794" s="2"/>
    </row>
    <row r="4795">
      <c r="A4795" s="2" t="s">
        <v>4859</v>
      </c>
      <c r="B4795" s="2" t="s">
        <v>4841</v>
      </c>
      <c r="C4795" s="2"/>
      <c r="D4795" s="2" t="s">
        <v>37</v>
      </c>
      <c r="E4795" s="2">
        <v>10.0</v>
      </c>
      <c r="F4795" s="2" t="s">
        <v>12</v>
      </c>
      <c r="G4795" s="2"/>
      <c r="H4795" s="2"/>
      <c r="I4795" s="2"/>
    </row>
    <row r="4796">
      <c r="A4796" s="1" t="s">
        <v>4860</v>
      </c>
      <c r="B4796" s="2" t="s">
        <v>4841</v>
      </c>
      <c r="C4796" s="2"/>
      <c r="D4796" s="2" t="s">
        <v>11</v>
      </c>
      <c r="E4796" s="2">
        <v>10.0</v>
      </c>
      <c r="F4796" s="2" t="s">
        <v>12</v>
      </c>
      <c r="G4796" s="2"/>
      <c r="H4796" s="2"/>
      <c r="I4796" s="2"/>
    </row>
    <row r="4797">
      <c r="A4797" s="1" t="s">
        <v>4861</v>
      </c>
      <c r="B4797" s="2" t="s">
        <v>4841</v>
      </c>
      <c r="C4797" s="2"/>
      <c r="D4797" s="2" t="s">
        <v>11</v>
      </c>
      <c r="E4797" s="2">
        <v>10.0</v>
      </c>
      <c r="F4797" s="2" t="s">
        <v>12</v>
      </c>
      <c r="G4797" s="2"/>
      <c r="H4797" s="2"/>
      <c r="I4797" s="2"/>
    </row>
    <row r="4798">
      <c r="A4798" s="1" t="s">
        <v>4862</v>
      </c>
      <c r="B4798" s="2" t="s">
        <v>4841</v>
      </c>
      <c r="C4798" s="2"/>
      <c r="D4798" s="2" t="s">
        <v>11</v>
      </c>
      <c r="E4798" s="2">
        <v>10.0</v>
      </c>
      <c r="F4798" s="2" t="s">
        <v>12</v>
      </c>
      <c r="G4798" s="2"/>
      <c r="H4798" s="2"/>
      <c r="I4798" s="2"/>
    </row>
    <row r="4799">
      <c r="A4799" s="2" t="s">
        <v>4863</v>
      </c>
      <c r="B4799" s="2" t="s">
        <v>4841</v>
      </c>
      <c r="C4799" s="2"/>
      <c r="D4799" s="2" t="s">
        <v>11</v>
      </c>
      <c r="E4799" s="2">
        <v>10.0</v>
      </c>
      <c r="F4799" s="2" t="s">
        <v>12</v>
      </c>
      <c r="G4799" s="2"/>
      <c r="H4799" s="2"/>
      <c r="I4799" s="2"/>
    </row>
    <row r="4800">
      <c r="A4800" s="2" t="s">
        <v>4864</v>
      </c>
      <c r="B4800" s="2" t="s">
        <v>4841</v>
      </c>
      <c r="C4800" s="2"/>
      <c r="D4800" s="2" t="s">
        <v>11</v>
      </c>
      <c r="E4800" s="2">
        <v>10.0</v>
      </c>
      <c r="F4800" s="2" t="s">
        <v>12</v>
      </c>
      <c r="G4800" s="2"/>
      <c r="H4800" s="2"/>
      <c r="I4800" s="2"/>
    </row>
    <row r="4801">
      <c r="A4801" s="2" t="s">
        <v>4865</v>
      </c>
      <c r="B4801" s="2" t="s">
        <v>4841</v>
      </c>
      <c r="C4801" s="2"/>
      <c r="D4801" s="2" t="s">
        <v>11</v>
      </c>
      <c r="E4801" s="2">
        <v>10.0</v>
      </c>
      <c r="F4801" s="2" t="s">
        <v>12</v>
      </c>
      <c r="G4801" s="2"/>
      <c r="H4801" s="2"/>
      <c r="I4801" s="2"/>
    </row>
    <row r="4802">
      <c r="A4802" s="1" t="s">
        <v>4866</v>
      </c>
      <c r="B4802" s="2" t="s">
        <v>4841</v>
      </c>
      <c r="C4802" s="2"/>
      <c r="D4802" s="2" t="s">
        <v>11</v>
      </c>
      <c r="E4802" s="2">
        <v>10.0</v>
      </c>
      <c r="F4802" s="2" t="s">
        <v>12</v>
      </c>
      <c r="G4802" s="2"/>
      <c r="H4802" s="2"/>
      <c r="I4802" s="2"/>
    </row>
    <row r="4803">
      <c r="A4803" s="2" t="s">
        <v>4867</v>
      </c>
      <c r="B4803" s="2" t="s">
        <v>4841</v>
      </c>
      <c r="C4803" s="2"/>
      <c r="D4803" s="2" t="s">
        <v>11</v>
      </c>
      <c r="E4803" s="2">
        <v>10.0</v>
      </c>
      <c r="F4803" s="2" t="s">
        <v>12</v>
      </c>
      <c r="G4803" s="2"/>
      <c r="H4803" s="2"/>
      <c r="I4803" s="2"/>
    </row>
    <row r="4804">
      <c r="A4804" s="1" t="s">
        <v>4868</v>
      </c>
      <c r="B4804" s="2" t="s">
        <v>4841</v>
      </c>
      <c r="C4804" s="2"/>
      <c r="D4804" s="2" t="s">
        <v>11</v>
      </c>
      <c r="E4804" s="2">
        <v>10.0</v>
      </c>
      <c r="F4804" s="2" t="s">
        <v>12</v>
      </c>
      <c r="G4804" s="2"/>
      <c r="H4804" s="2"/>
      <c r="I4804" s="2"/>
    </row>
    <row r="4805">
      <c r="A4805" s="1" t="s">
        <v>4869</v>
      </c>
      <c r="B4805" s="2" t="s">
        <v>4841</v>
      </c>
      <c r="C4805" s="2"/>
      <c r="D4805" s="2" t="s">
        <v>11</v>
      </c>
      <c r="E4805" s="2">
        <v>10.0</v>
      </c>
      <c r="F4805" s="2" t="s">
        <v>12</v>
      </c>
      <c r="G4805" s="2"/>
      <c r="H4805" s="2"/>
      <c r="I4805" s="2"/>
    </row>
    <row r="4806">
      <c r="A4806" s="2" t="s">
        <v>4870</v>
      </c>
      <c r="B4806" s="2" t="s">
        <v>4841</v>
      </c>
      <c r="C4806" s="2"/>
      <c r="D4806" s="2" t="s">
        <v>11</v>
      </c>
      <c r="E4806" s="2">
        <v>10.0</v>
      </c>
      <c r="F4806" s="2" t="s">
        <v>12</v>
      </c>
      <c r="G4806" s="2"/>
      <c r="H4806" s="2"/>
      <c r="I4806" s="2"/>
    </row>
    <row r="4807">
      <c r="A4807" s="2" t="s">
        <v>4871</v>
      </c>
      <c r="B4807" s="2" t="s">
        <v>4841</v>
      </c>
      <c r="C4807" s="2"/>
      <c r="D4807" s="2" t="s">
        <v>11</v>
      </c>
      <c r="E4807" s="2">
        <v>10.0</v>
      </c>
      <c r="F4807" s="2" t="s">
        <v>12</v>
      </c>
      <c r="G4807" s="2"/>
      <c r="H4807" s="2"/>
      <c r="I4807" s="2"/>
    </row>
    <row r="4808">
      <c r="A4808" s="2" t="s">
        <v>4872</v>
      </c>
      <c r="B4808" s="2" t="s">
        <v>4841</v>
      </c>
      <c r="C4808" s="2"/>
      <c r="D4808" s="2" t="s">
        <v>37</v>
      </c>
      <c r="E4808" s="2">
        <v>10.0</v>
      </c>
      <c r="F4808" s="2" t="s">
        <v>12</v>
      </c>
      <c r="G4808" s="2"/>
      <c r="H4808" s="2"/>
      <c r="I4808" s="2"/>
    </row>
    <row r="4809">
      <c r="A4809" s="2" t="s">
        <v>4873</v>
      </c>
      <c r="B4809" s="2" t="s">
        <v>4841</v>
      </c>
      <c r="C4809" s="2"/>
      <c r="D4809" s="2" t="s">
        <v>11</v>
      </c>
      <c r="E4809" s="2">
        <v>10.0</v>
      </c>
      <c r="F4809" s="2" t="s">
        <v>12</v>
      </c>
      <c r="G4809" s="2"/>
      <c r="H4809" s="2"/>
      <c r="I4809" s="2"/>
    </row>
    <row r="4810">
      <c r="A4810" s="1" t="s">
        <v>4874</v>
      </c>
      <c r="B4810" s="2" t="s">
        <v>4841</v>
      </c>
      <c r="C4810" s="2"/>
      <c r="D4810" s="2" t="s">
        <v>11</v>
      </c>
      <c r="E4810" s="2">
        <v>10.0</v>
      </c>
      <c r="F4810" s="2" t="s">
        <v>12</v>
      </c>
      <c r="G4810" s="2"/>
      <c r="H4810" s="2"/>
      <c r="I4810" s="2"/>
    </row>
    <row r="4811">
      <c r="A4811" s="1" t="s">
        <v>4875</v>
      </c>
      <c r="B4811" s="2" t="s">
        <v>4841</v>
      </c>
      <c r="C4811" s="2"/>
      <c r="D4811" s="2" t="s">
        <v>11</v>
      </c>
      <c r="E4811" s="2">
        <v>10.0</v>
      </c>
      <c r="F4811" s="2" t="s">
        <v>12</v>
      </c>
      <c r="G4811" s="2"/>
      <c r="H4811" s="2"/>
      <c r="I4811" s="2"/>
    </row>
    <row r="4812">
      <c r="A4812" s="2" t="s">
        <v>4876</v>
      </c>
      <c r="B4812" s="2" t="s">
        <v>4841</v>
      </c>
      <c r="C4812" s="2"/>
      <c r="D4812" s="2" t="s">
        <v>11</v>
      </c>
      <c r="E4812" s="2">
        <v>10.0</v>
      </c>
      <c r="F4812" s="2" t="s">
        <v>12</v>
      </c>
      <c r="G4812" s="2"/>
      <c r="H4812" s="2"/>
      <c r="I4812" s="2"/>
    </row>
    <row r="4813">
      <c r="A4813" s="2" t="s">
        <v>4877</v>
      </c>
      <c r="B4813" s="2" t="s">
        <v>4878</v>
      </c>
      <c r="C4813" s="2"/>
      <c r="D4813" s="2" t="s">
        <v>11</v>
      </c>
      <c r="E4813" s="2">
        <v>10.0</v>
      </c>
      <c r="F4813" s="2" t="s">
        <v>12</v>
      </c>
      <c r="G4813" s="2"/>
      <c r="H4813" s="2"/>
      <c r="I4813" s="2"/>
    </row>
    <row r="4814">
      <c r="A4814" s="2" t="s">
        <v>4879</v>
      </c>
      <c r="B4814" s="2" t="s">
        <v>4878</v>
      </c>
      <c r="C4814" s="1"/>
      <c r="D4814" s="2"/>
      <c r="E4814" s="2"/>
      <c r="F4814" s="2"/>
      <c r="G4814" s="2"/>
      <c r="H4814" s="2"/>
      <c r="I4814" s="2"/>
    </row>
    <row r="4815">
      <c r="A4815" s="2" t="s">
        <v>4880</v>
      </c>
      <c r="B4815" s="2" t="s">
        <v>4878</v>
      </c>
      <c r="C4815" s="1"/>
      <c r="D4815" s="2"/>
      <c r="E4815" s="2"/>
      <c r="F4815" s="2"/>
      <c r="G4815" s="2"/>
      <c r="H4815" s="2"/>
      <c r="I4815" s="2"/>
    </row>
    <row r="4816">
      <c r="A4816" s="1" t="s">
        <v>4881</v>
      </c>
      <c r="B4816" s="2" t="s">
        <v>4878</v>
      </c>
      <c r="C4816" s="2"/>
      <c r="D4816" s="2" t="s">
        <v>11</v>
      </c>
      <c r="E4816" s="2">
        <v>10.0</v>
      </c>
      <c r="F4816" s="2" t="s">
        <v>12</v>
      </c>
      <c r="G4816" s="2"/>
      <c r="H4816" s="2"/>
      <c r="I4816" s="2"/>
    </row>
    <row r="4817">
      <c r="A4817" s="2" t="s">
        <v>4882</v>
      </c>
      <c r="B4817" s="2" t="s">
        <v>4878</v>
      </c>
      <c r="C4817" s="2"/>
      <c r="D4817" s="2" t="s">
        <v>11</v>
      </c>
      <c r="E4817" s="2">
        <v>10.0</v>
      </c>
      <c r="F4817" s="2" t="s">
        <v>12</v>
      </c>
      <c r="G4817" s="2"/>
      <c r="H4817" s="2"/>
      <c r="I4817" s="2"/>
    </row>
    <row r="4818">
      <c r="A4818" s="2" t="s">
        <v>4883</v>
      </c>
      <c r="B4818" s="2" t="s">
        <v>4878</v>
      </c>
      <c r="C4818" s="1"/>
      <c r="D4818" s="2"/>
      <c r="E4818" s="2"/>
      <c r="F4818" s="2"/>
      <c r="G4818" s="2"/>
      <c r="H4818" s="2"/>
      <c r="I4818" s="2"/>
    </row>
    <row r="4819">
      <c r="A4819" s="2" t="s">
        <v>4884</v>
      </c>
      <c r="B4819" s="2" t="s">
        <v>4878</v>
      </c>
      <c r="C4819" s="1"/>
      <c r="D4819" s="2"/>
      <c r="E4819" s="2"/>
      <c r="F4819" s="2"/>
      <c r="G4819" s="2"/>
      <c r="H4819" s="2"/>
      <c r="I4819" s="2"/>
    </row>
    <row r="4820">
      <c r="A4820" s="2" t="s">
        <v>4885</v>
      </c>
      <c r="B4820" s="2" t="s">
        <v>4878</v>
      </c>
      <c r="C4820" s="1"/>
      <c r="D4820" s="2"/>
      <c r="E4820" s="2"/>
      <c r="F4820" s="2"/>
      <c r="G4820" s="2"/>
      <c r="H4820" s="2"/>
      <c r="I4820" s="2"/>
    </row>
    <row r="4821">
      <c r="A4821" s="1" t="s">
        <v>4886</v>
      </c>
      <c r="B4821" s="2" t="s">
        <v>4878</v>
      </c>
      <c r="C4821" s="2"/>
      <c r="D4821" s="2" t="s">
        <v>11</v>
      </c>
      <c r="E4821" s="2">
        <v>10.0</v>
      </c>
      <c r="F4821" s="2" t="s">
        <v>12</v>
      </c>
      <c r="G4821" s="2"/>
      <c r="H4821" s="2"/>
      <c r="I4821" s="2"/>
    </row>
    <row r="4822">
      <c r="A4822" s="1" t="s">
        <v>4887</v>
      </c>
      <c r="B4822" s="2" t="s">
        <v>4878</v>
      </c>
      <c r="C4822" s="2"/>
      <c r="D4822" s="2" t="s">
        <v>11</v>
      </c>
      <c r="E4822" s="2">
        <v>10.0</v>
      </c>
      <c r="F4822" s="2" t="s">
        <v>12</v>
      </c>
      <c r="G4822" s="2"/>
      <c r="H4822" s="2"/>
      <c r="I4822" s="2"/>
    </row>
    <row r="4823">
      <c r="A4823" s="2" t="s">
        <v>4888</v>
      </c>
      <c r="B4823" s="2" t="s">
        <v>4878</v>
      </c>
      <c r="C4823" s="2"/>
      <c r="D4823" s="2" t="s">
        <v>11</v>
      </c>
      <c r="E4823" s="2">
        <v>10.0</v>
      </c>
      <c r="F4823" s="2" t="s">
        <v>12</v>
      </c>
      <c r="G4823" s="2"/>
      <c r="H4823" s="2"/>
      <c r="I4823" s="2"/>
    </row>
    <row r="4824">
      <c r="A4824" s="2" t="s">
        <v>4889</v>
      </c>
      <c r="B4824" s="2" t="s">
        <v>4878</v>
      </c>
      <c r="C4824" s="1"/>
      <c r="D4824" s="2"/>
      <c r="E4824" s="2"/>
      <c r="F4824" s="2"/>
      <c r="G4824" s="2"/>
      <c r="H4824" s="2"/>
      <c r="I4824" s="2"/>
    </row>
    <row r="4825">
      <c r="A4825" s="1" t="s">
        <v>4890</v>
      </c>
      <c r="B4825" s="2" t="s">
        <v>4878</v>
      </c>
      <c r="C4825" s="2"/>
      <c r="D4825" s="2" t="s">
        <v>11</v>
      </c>
      <c r="E4825" s="2">
        <v>10.0</v>
      </c>
      <c r="F4825" s="2" t="s">
        <v>12</v>
      </c>
      <c r="G4825" s="2"/>
      <c r="H4825" s="2"/>
      <c r="I4825" s="2"/>
    </row>
    <row r="4826">
      <c r="A4826" s="2" t="s">
        <v>4891</v>
      </c>
      <c r="B4826" s="2" t="s">
        <v>4878</v>
      </c>
      <c r="C4826" s="2"/>
      <c r="D4826" s="2" t="s">
        <v>37</v>
      </c>
      <c r="E4826" s="2">
        <v>10.0</v>
      </c>
      <c r="F4826" s="2" t="s">
        <v>12</v>
      </c>
      <c r="G4826" s="2"/>
      <c r="H4826" s="2"/>
      <c r="I4826" s="2"/>
    </row>
    <row r="4827">
      <c r="A4827" s="2" t="s">
        <v>4892</v>
      </c>
      <c r="B4827" s="2" t="s">
        <v>4878</v>
      </c>
      <c r="C4827" s="2"/>
      <c r="D4827" s="2" t="s">
        <v>11</v>
      </c>
      <c r="E4827" s="2">
        <v>10.0</v>
      </c>
      <c r="F4827" s="2" t="s">
        <v>12</v>
      </c>
      <c r="G4827" s="2"/>
      <c r="H4827" s="2"/>
      <c r="I4827" s="2"/>
    </row>
    <row r="4828">
      <c r="A4828" s="2" t="s">
        <v>4893</v>
      </c>
      <c r="B4828" s="2" t="s">
        <v>4878</v>
      </c>
      <c r="C4828" s="2"/>
      <c r="D4828" s="2" t="s">
        <v>37</v>
      </c>
      <c r="E4828" s="2">
        <v>10.0</v>
      </c>
      <c r="F4828" s="2" t="s">
        <v>12</v>
      </c>
      <c r="G4828" s="2"/>
      <c r="H4828" s="2"/>
      <c r="I4828" s="2"/>
    </row>
    <row r="4829">
      <c r="A4829" s="2" t="s">
        <v>4894</v>
      </c>
      <c r="B4829" s="2" t="s">
        <v>4878</v>
      </c>
      <c r="C4829" s="2"/>
      <c r="D4829" s="2" t="s">
        <v>37</v>
      </c>
      <c r="E4829" s="2">
        <v>10.0</v>
      </c>
      <c r="F4829" s="2" t="s">
        <v>12</v>
      </c>
      <c r="G4829" s="2"/>
      <c r="H4829" s="2"/>
      <c r="I4829" s="2"/>
    </row>
    <row r="4830">
      <c r="A4830" s="1" t="s">
        <v>4895</v>
      </c>
      <c r="B4830" s="2" t="s">
        <v>4878</v>
      </c>
      <c r="C4830" s="2"/>
      <c r="D4830" s="2" t="s">
        <v>11</v>
      </c>
      <c r="E4830" s="2">
        <v>10.0</v>
      </c>
      <c r="F4830" s="2" t="s">
        <v>12</v>
      </c>
      <c r="G4830" s="2"/>
      <c r="H4830" s="2"/>
      <c r="I4830" s="2"/>
    </row>
    <row r="4831">
      <c r="A4831" s="2" t="s">
        <v>4896</v>
      </c>
      <c r="B4831" s="2" t="s">
        <v>4878</v>
      </c>
      <c r="C4831" s="2"/>
      <c r="D4831" s="2" t="s">
        <v>37</v>
      </c>
      <c r="E4831" s="2">
        <v>10.0</v>
      </c>
      <c r="F4831" s="2" t="s">
        <v>12</v>
      </c>
      <c r="G4831" s="2"/>
      <c r="H4831" s="2"/>
      <c r="I4831" s="2"/>
    </row>
    <row r="4832">
      <c r="A4832" s="1" t="s">
        <v>4897</v>
      </c>
      <c r="B4832" s="2" t="s">
        <v>4878</v>
      </c>
      <c r="C4832" s="2"/>
      <c r="D4832" s="2" t="s">
        <v>37</v>
      </c>
      <c r="E4832" s="2">
        <v>10.0</v>
      </c>
      <c r="F4832" s="2" t="s">
        <v>12</v>
      </c>
      <c r="G4832" s="2"/>
      <c r="H4832" s="2"/>
      <c r="I4832" s="2"/>
    </row>
    <row r="4833">
      <c r="A4833" s="1" t="s">
        <v>4898</v>
      </c>
      <c r="B4833" s="2" t="s">
        <v>4878</v>
      </c>
      <c r="C4833" s="2"/>
      <c r="D4833" s="2" t="s">
        <v>37</v>
      </c>
      <c r="E4833" s="2">
        <v>10.0</v>
      </c>
      <c r="F4833" s="2" t="s">
        <v>12</v>
      </c>
      <c r="G4833" s="2"/>
      <c r="H4833" s="2"/>
      <c r="I4833" s="2"/>
    </row>
    <row r="4834">
      <c r="A4834" s="1" t="s">
        <v>4899</v>
      </c>
      <c r="B4834" s="2" t="s">
        <v>4878</v>
      </c>
      <c r="C4834" s="2"/>
      <c r="D4834" s="2" t="s">
        <v>73</v>
      </c>
      <c r="E4834" s="2">
        <v>1.0</v>
      </c>
      <c r="F4834" s="2" t="s">
        <v>74</v>
      </c>
      <c r="G4834" s="2"/>
      <c r="H4834" s="2"/>
      <c r="I4834" s="2"/>
    </row>
    <row r="4835">
      <c r="A4835" s="2" t="s">
        <v>4900</v>
      </c>
      <c r="B4835" s="2" t="s">
        <v>4878</v>
      </c>
      <c r="C4835" s="2"/>
      <c r="D4835" s="2" t="s">
        <v>1023</v>
      </c>
      <c r="E4835" s="2">
        <v>4.0</v>
      </c>
      <c r="F4835" s="2"/>
      <c r="G4835" s="2"/>
      <c r="H4835" s="2"/>
      <c r="I4835" s="2"/>
    </row>
    <row r="4836">
      <c r="A4836" s="1" t="s">
        <v>4901</v>
      </c>
      <c r="B4836" s="2" t="s">
        <v>4902</v>
      </c>
      <c r="C4836" s="2"/>
      <c r="D4836" s="2"/>
      <c r="E4836" s="2"/>
      <c r="F4836" s="2"/>
      <c r="G4836" s="2"/>
      <c r="H4836" s="2"/>
      <c r="I4836" s="2"/>
    </row>
    <row r="4837">
      <c r="A4837" s="2" t="s">
        <v>4903</v>
      </c>
      <c r="B4837" s="2" t="s">
        <v>4902</v>
      </c>
      <c r="C4837" s="2"/>
      <c r="D4837" s="2" t="s">
        <v>11</v>
      </c>
      <c r="E4837" s="2">
        <v>10.0</v>
      </c>
      <c r="F4837" s="2" t="s">
        <v>12</v>
      </c>
      <c r="G4837" s="2"/>
      <c r="H4837" s="2"/>
      <c r="I4837" s="2"/>
    </row>
    <row r="4838">
      <c r="A4838" s="2" t="s">
        <v>4904</v>
      </c>
      <c r="B4838" s="2" t="s">
        <v>4905</v>
      </c>
      <c r="C4838" s="2"/>
      <c r="D4838" s="2" t="s">
        <v>11</v>
      </c>
      <c r="E4838" s="2">
        <v>10.0</v>
      </c>
      <c r="F4838" s="2" t="s">
        <v>12</v>
      </c>
      <c r="G4838" s="2"/>
      <c r="H4838" s="2"/>
      <c r="I4838" s="2"/>
    </row>
    <row r="4839">
      <c r="A4839" s="2" t="s">
        <v>4906</v>
      </c>
      <c r="B4839" s="2" t="s">
        <v>4907</v>
      </c>
      <c r="C4839" s="2"/>
      <c r="D4839" s="2" t="s">
        <v>11</v>
      </c>
      <c r="E4839" s="2">
        <v>10.0</v>
      </c>
      <c r="F4839" s="2" t="s">
        <v>12</v>
      </c>
      <c r="G4839" s="2"/>
      <c r="H4839" s="2"/>
      <c r="I4839" s="2"/>
    </row>
    <row r="4840">
      <c r="A4840" s="2" t="s">
        <v>4908</v>
      </c>
      <c r="B4840" s="2" t="s">
        <v>4907</v>
      </c>
      <c r="C4840" s="1"/>
      <c r="D4840" s="2"/>
      <c r="E4840" s="2"/>
      <c r="F4840" s="2"/>
      <c r="G4840" s="2"/>
      <c r="H4840" s="2"/>
      <c r="I4840" s="2"/>
    </row>
    <row r="4841">
      <c r="A4841" s="2" t="s">
        <v>4909</v>
      </c>
      <c r="B4841" s="2" t="s">
        <v>4907</v>
      </c>
      <c r="C4841" s="2"/>
      <c r="D4841" s="2" t="s">
        <v>11</v>
      </c>
      <c r="E4841" s="2">
        <v>10.0</v>
      </c>
      <c r="F4841" s="2" t="s">
        <v>12</v>
      </c>
      <c r="G4841" s="2"/>
      <c r="H4841" s="2"/>
      <c r="I4841" s="2"/>
    </row>
    <row r="4842">
      <c r="A4842" s="2" t="s">
        <v>4910</v>
      </c>
      <c r="B4842" s="2" t="s">
        <v>4907</v>
      </c>
      <c r="C4842" s="2"/>
      <c r="D4842" s="2" t="s">
        <v>37</v>
      </c>
      <c r="E4842" s="2">
        <v>10.0</v>
      </c>
      <c r="F4842" s="2" t="s">
        <v>12</v>
      </c>
      <c r="G4842" s="2"/>
      <c r="H4842" s="2"/>
      <c r="I4842" s="2"/>
    </row>
    <row r="4843">
      <c r="A4843" s="2" t="s">
        <v>4911</v>
      </c>
      <c r="B4843" s="2" t="s">
        <v>4907</v>
      </c>
      <c r="C4843" s="1"/>
      <c r="D4843" s="1" t="s">
        <v>300</v>
      </c>
      <c r="E4843" s="1" t="s">
        <v>301</v>
      </c>
      <c r="F4843" s="1" t="s">
        <v>302</v>
      </c>
      <c r="G4843" s="2"/>
      <c r="H4843" s="2"/>
      <c r="I4843" s="2"/>
    </row>
    <row r="4844">
      <c r="A4844" s="2" t="s">
        <v>4912</v>
      </c>
      <c r="B4844" s="2" t="s">
        <v>4907</v>
      </c>
      <c r="C4844" s="2"/>
      <c r="D4844" s="2" t="s">
        <v>37</v>
      </c>
      <c r="E4844" s="2">
        <v>10.0</v>
      </c>
      <c r="F4844" s="2" t="s">
        <v>12</v>
      </c>
      <c r="G4844" s="2"/>
      <c r="H4844" s="2"/>
      <c r="I4844" s="2"/>
    </row>
    <row r="4845">
      <c r="A4845" s="2" t="s">
        <v>4913</v>
      </c>
      <c r="B4845" s="2" t="s">
        <v>4907</v>
      </c>
      <c r="C4845" s="2"/>
      <c r="D4845" s="2" t="s">
        <v>37</v>
      </c>
      <c r="E4845" s="2">
        <v>10.0</v>
      </c>
      <c r="F4845" s="2" t="s">
        <v>12</v>
      </c>
      <c r="G4845" s="2"/>
      <c r="H4845" s="2"/>
      <c r="I4845" s="2"/>
    </row>
    <row r="4846">
      <c r="A4846" s="2" t="s">
        <v>4914</v>
      </c>
      <c r="B4846" s="2" t="s">
        <v>4907</v>
      </c>
      <c r="C4846" s="1"/>
      <c r="D4846" s="2"/>
      <c r="E4846" s="2"/>
      <c r="F4846" s="2"/>
      <c r="G4846" s="2"/>
      <c r="H4846" s="2"/>
      <c r="I4846" s="2"/>
    </row>
    <row r="4847">
      <c r="A4847" s="2" t="s">
        <v>4915</v>
      </c>
      <c r="B4847" s="2" t="s">
        <v>4907</v>
      </c>
      <c r="C4847" s="2"/>
      <c r="D4847" s="2" t="s">
        <v>11</v>
      </c>
      <c r="E4847" s="2">
        <v>10.0</v>
      </c>
      <c r="F4847" s="2" t="s">
        <v>12</v>
      </c>
      <c r="G4847" s="2"/>
      <c r="H4847" s="2"/>
      <c r="I4847" s="2"/>
    </row>
    <row r="4848">
      <c r="A4848" s="2" t="s">
        <v>4916</v>
      </c>
      <c r="B4848" s="2" t="s">
        <v>4907</v>
      </c>
      <c r="C4848" s="2"/>
      <c r="D4848" s="2" t="s">
        <v>11</v>
      </c>
      <c r="E4848" s="2">
        <v>10.0</v>
      </c>
      <c r="F4848" s="2" t="s">
        <v>12</v>
      </c>
      <c r="G4848" s="2"/>
      <c r="H4848" s="2"/>
      <c r="I4848" s="2"/>
    </row>
    <row r="4849">
      <c r="A4849" s="1" t="s">
        <v>4917</v>
      </c>
      <c r="B4849" s="2" t="s">
        <v>4907</v>
      </c>
      <c r="C4849" s="2"/>
      <c r="D4849" s="2" t="s">
        <v>11</v>
      </c>
      <c r="E4849" s="2">
        <v>10.0</v>
      </c>
      <c r="F4849" s="2" t="s">
        <v>12</v>
      </c>
      <c r="G4849" s="2"/>
      <c r="H4849" s="2"/>
      <c r="I4849" s="2"/>
    </row>
    <row r="4850">
      <c r="A4850" s="1" t="s">
        <v>4918</v>
      </c>
      <c r="B4850" s="2" t="s">
        <v>4907</v>
      </c>
      <c r="C4850" s="2"/>
      <c r="D4850" s="2" t="s">
        <v>11</v>
      </c>
      <c r="E4850" s="2">
        <v>10.0</v>
      </c>
      <c r="F4850" s="2" t="s">
        <v>12</v>
      </c>
      <c r="G4850" s="2"/>
      <c r="H4850" s="2"/>
      <c r="I4850" s="2"/>
    </row>
    <row r="4851">
      <c r="A4851" s="1" t="s">
        <v>4919</v>
      </c>
      <c r="B4851" s="2" t="s">
        <v>4907</v>
      </c>
      <c r="C4851" s="2"/>
      <c r="D4851" s="2" t="s">
        <v>11</v>
      </c>
      <c r="E4851" s="2">
        <v>10.0</v>
      </c>
      <c r="F4851" s="2" t="s">
        <v>12</v>
      </c>
      <c r="G4851" s="2"/>
      <c r="H4851" s="2"/>
      <c r="I4851" s="2"/>
    </row>
    <row r="4852">
      <c r="A4852" s="2" t="s">
        <v>4920</v>
      </c>
      <c r="B4852" s="2" t="s">
        <v>4907</v>
      </c>
      <c r="C4852" s="2"/>
      <c r="D4852" s="2" t="s">
        <v>37</v>
      </c>
      <c r="E4852" s="2">
        <v>30.0</v>
      </c>
      <c r="F4852" s="2" t="s">
        <v>22</v>
      </c>
      <c r="G4852" s="2"/>
      <c r="H4852" s="2"/>
      <c r="I4852" s="2"/>
    </row>
    <row r="4853">
      <c r="A4853" s="1" t="s">
        <v>4921</v>
      </c>
      <c r="B4853" s="2" t="s">
        <v>4907</v>
      </c>
      <c r="C4853" s="2"/>
      <c r="D4853" s="2" t="s">
        <v>11</v>
      </c>
      <c r="E4853" s="2">
        <v>10.0</v>
      </c>
      <c r="F4853" s="2" t="s">
        <v>12</v>
      </c>
      <c r="G4853" s="2"/>
      <c r="H4853" s="2"/>
      <c r="I4853" s="2"/>
    </row>
    <row r="4854">
      <c r="A4854" s="1" t="s">
        <v>4922</v>
      </c>
      <c r="B4854" s="2" t="s">
        <v>4907</v>
      </c>
      <c r="C4854" s="2"/>
      <c r="D4854" s="2" t="s">
        <v>11</v>
      </c>
      <c r="E4854" s="2">
        <v>10.0</v>
      </c>
      <c r="F4854" s="2" t="s">
        <v>12</v>
      </c>
      <c r="G4854" s="2"/>
      <c r="H4854" s="2"/>
      <c r="I4854" s="2"/>
    </row>
    <row r="4855">
      <c r="A4855" s="1" t="s">
        <v>4923</v>
      </c>
      <c r="B4855" s="2" t="s">
        <v>4907</v>
      </c>
      <c r="C4855" s="2"/>
      <c r="D4855" s="2" t="s">
        <v>11</v>
      </c>
      <c r="E4855" s="2">
        <v>10.0</v>
      </c>
      <c r="F4855" s="2" t="s">
        <v>12</v>
      </c>
      <c r="G4855" s="2"/>
      <c r="H4855" s="2"/>
      <c r="I4855" s="2"/>
    </row>
    <row r="4856">
      <c r="A4856" s="1" t="s">
        <v>4924</v>
      </c>
      <c r="B4856" s="2" t="s">
        <v>4925</v>
      </c>
      <c r="C4856" s="2"/>
      <c r="D4856" s="2" t="s">
        <v>11</v>
      </c>
      <c r="E4856" s="2">
        <v>10.0</v>
      </c>
      <c r="F4856" s="2" t="s">
        <v>12</v>
      </c>
      <c r="G4856" s="2"/>
      <c r="H4856" s="2"/>
      <c r="I4856" s="2"/>
    </row>
    <row r="4857">
      <c r="A4857" s="1" t="s">
        <v>4926</v>
      </c>
      <c r="B4857" s="2" t="s">
        <v>4925</v>
      </c>
      <c r="C4857" s="2"/>
      <c r="D4857" s="2" t="s">
        <v>11</v>
      </c>
      <c r="E4857" s="2">
        <v>10.0</v>
      </c>
      <c r="F4857" s="2" t="s">
        <v>12</v>
      </c>
      <c r="G4857" s="2"/>
      <c r="H4857" s="2"/>
      <c r="I4857" s="2"/>
    </row>
    <row r="4858">
      <c r="A4858" s="1" t="s">
        <v>4927</v>
      </c>
      <c r="B4858" s="2" t="s">
        <v>4925</v>
      </c>
      <c r="C4858" s="2"/>
      <c r="D4858" s="2" t="s">
        <v>11</v>
      </c>
      <c r="E4858" s="2">
        <v>10.0</v>
      </c>
      <c r="F4858" s="2" t="s">
        <v>12</v>
      </c>
      <c r="G4858" s="2"/>
      <c r="H4858" s="2"/>
      <c r="I4858" s="2"/>
    </row>
    <row r="4859">
      <c r="A4859" s="2" t="s">
        <v>4928</v>
      </c>
      <c r="B4859" s="2" t="s">
        <v>4925</v>
      </c>
      <c r="C4859" s="2"/>
      <c r="D4859" s="2" t="s">
        <v>11</v>
      </c>
      <c r="E4859" s="2">
        <v>10.0</v>
      </c>
      <c r="F4859" s="2" t="s">
        <v>12</v>
      </c>
      <c r="G4859" s="2"/>
      <c r="H4859" s="2"/>
      <c r="I4859" s="2"/>
    </row>
    <row r="4860">
      <c r="A4860" s="1" t="s">
        <v>4929</v>
      </c>
      <c r="B4860" s="2" t="s">
        <v>4925</v>
      </c>
      <c r="C4860" s="2"/>
      <c r="D4860" s="2" t="s">
        <v>11</v>
      </c>
      <c r="E4860" s="2">
        <v>10.0</v>
      </c>
      <c r="F4860" s="2" t="s">
        <v>12</v>
      </c>
      <c r="G4860" s="2"/>
      <c r="H4860" s="2"/>
      <c r="I4860" s="2"/>
    </row>
    <row r="4861">
      <c r="A4861" s="2" t="s">
        <v>4930</v>
      </c>
      <c r="B4861" s="2" t="s">
        <v>4925</v>
      </c>
      <c r="C4861" s="2"/>
      <c r="D4861" s="2" t="s">
        <v>11</v>
      </c>
      <c r="E4861" s="2">
        <v>10.0</v>
      </c>
      <c r="F4861" s="2" t="s">
        <v>12</v>
      </c>
      <c r="G4861" s="2"/>
      <c r="H4861" s="2"/>
      <c r="I4861" s="2"/>
    </row>
    <row r="4862">
      <c r="A4862" s="2" t="s">
        <v>4931</v>
      </c>
      <c r="B4862" s="2" t="s">
        <v>4925</v>
      </c>
      <c r="C4862" s="2"/>
      <c r="D4862" s="2" t="s">
        <v>37</v>
      </c>
      <c r="E4862" s="2">
        <v>15.0</v>
      </c>
      <c r="F4862" s="2" t="s">
        <v>12</v>
      </c>
      <c r="G4862" s="2"/>
      <c r="H4862" s="2"/>
      <c r="I4862" s="2"/>
    </row>
    <row r="4863">
      <c r="A4863" s="2" t="s">
        <v>4932</v>
      </c>
      <c r="B4863" s="2" t="s">
        <v>4925</v>
      </c>
      <c r="C4863" s="2"/>
      <c r="D4863" s="2" t="s">
        <v>37</v>
      </c>
      <c r="E4863" s="2">
        <v>10.0</v>
      </c>
      <c r="F4863" s="2" t="s">
        <v>12</v>
      </c>
      <c r="G4863" s="2"/>
      <c r="H4863" s="2"/>
      <c r="I4863" s="2"/>
    </row>
    <row r="4864">
      <c r="A4864" s="1" t="s">
        <v>4933</v>
      </c>
      <c r="B4864" s="2" t="s">
        <v>4925</v>
      </c>
      <c r="C4864" s="2"/>
      <c r="D4864" s="2" t="s">
        <v>11</v>
      </c>
      <c r="E4864" s="2">
        <v>15.0</v>
      </c>
      <c r="F4864" s="2" t="s">
        <v>12</v>
      </c>
      <c r="G4864" s="2"/>
      <c r="H4864" s="2"/>
      <c r="I4864" s="2"/>
    </row>
    <row r="4865">
      <c r="A4865" s="1" t="s">
        <v>4934</v>
      </c>
      <c r="B4865" s="2" t="s">
        <v>4925</v>
      </c>
      <c r="C4865" s="2"/>
      <c r="D4865" s="2" t="s">
        <v>11</v>
      </c>
      <c r="E4865" s="2">
        <v>10.0</v>
      </c>
      <c r="F4865" s="2" t="s">
        <v>12</v>
      </c>
      <c r="G4865" s="2"/>
      <c r="H4865" s="2"/>
      <c r="I4865" s="2"/>
    </row>
    <row r="4866">
      <c r="A4866" s="1" t="s">
        <v>4935</v>
      </c>
      <c r="B4866" s="2" t="s">
        <v>4925</v>
      </c>
      <c r="C4866" s="2"/>
      <c r="D4866" s="2" t="s">
        <v>11</v>
      </c>
      <c r="E4866" s="2">
        <v>20.0</v>
      </c>
      <c r="F4866" s="2" t="s">
        <v>12</v>
      </c>
      <c r="G4866" s="2"/>
      <c r="H4866" s="2"/>
      <c r="I4866" s="2"/>
    </row>
    <row r="4867">
      <c r="A4867" s="1" t="s">
        <v>4936</v>
      </c>
      <c r="B4867" s="2" t="s">
        <v>4925</v>
      </c>
      <c r="C4867" s="2"/>
      <c r="D4867" s="2" t="s">
        <v>11</v>
      </c>
      <c r="E4867" s="2">
        <v>10.0</v>
      </c>
      <c r="F4867" s="2" t="s">
        <v>12</v>
      </c>
      <c r="G4867" s="2"/>
      <c r="H4867" s="2"/>
      <c r="I4867" s="2"/>
    </row>
    <row r="4868">
      <c r="A4868" s="2" t="s">
        <v>4937</v>
      </c>
      <c r="B4868" s="2" t="s">
        <v>4925</v>
      </c>
      <c r="C4868" s="2"/>
      <c r="D4868" s="2" t="s">
        <v>11</v>
      </c>
      <c r="E4868" s="2">
        <v>10.0</v>
      </c>
      <c r="F4868" s="2" t="s">
        <v>12</v>
      </c>
      <c r="G4868" s="2"/>
      <c r="H4868" s="2"/>
      <c r="I4868" s="2"/>
    </row>
    <row r="4869">
      <c r="A4869" s="1" t="s">
        <v>4938</v>
      </c>
      <c r="B4869" s="2" t="s">
        <v>4925</v>
      </c>
      <c r="C4869" s="2"/>
      <c r="D4869" s="2" t="s">
        <v>11</v>
      </c>
      <c r="E4869" s="2">
        <v>14.0</v>
      </c>
      <c r="F4869" s="2" t="s">
        <v>12</v>
      </c>
      <c r="G4869" s="2"/>
      <c r="H4869" s="2"/>
      <c r="I4869" s="2"/>
    </row>
    <row r="4870">
      <c r="A4870" s="1" t="s">
        <v>4938</v>
      </c>
      <c r="B4870" s="2" t="s">
        <v>4925</v>
      </c>
      <c r="C4870" s="2"/>
      <c r="D4870" s="2" t="s">
        <v>11</v>
      </c>
      <c r="E4870" s="2">
        <v>15.0</v>
      </c>
      <c r="F4870" s="2" t="s">
        <v>12</v>
      </c>
      <c r="G4870" s="2"/>
      <c r="H4870" s="2"/>
      <c r="I4870" s="2"/>
    </row>
    <row r="4871">
      <c r="A4871" s="1" t="s">
        <v>4939</v>
      </c>
      <c r="B4871" s="2" t="s">
        <v>4925</v>
      </c>
      <c r="C4871" s="2"/>
      <c r="D4871" s="2" t="s">
        <v>11</v>
      </c>
      <c r="E4871" s="2">
        <v>15.0</v>
      </c>
      <c r="F4871" s="2" t="s">
        <v>12</v>
      </c>
      <c r="G4871" s="2"/>
      <c r="H4871" s="2"/>
      <c r="I4871" s="2"/>
    </row>
    <row r="4872">
      <c r="A4872" s="1" t="s">
        <v>4940</v>
      </c>
      <c r="B4872" s="2" t="s">
        <v>4925</v>
      </c>
      <c r="C4872" s="2"/>
      <c r="D4872" s="2" t="s">
        <v>11</v>
      </c>
      <c r="E4872" s="2">
        <v>10.0</v>
      </c>
      <c r="F4872" s="2" t="s">
        <v>12</v>
      </c>
      <c r="G4872" s="2"/>
      <c r="H4872" s="2"/>
      <c r="I4872" s="2"/>
    </row>
    <row r="4873">
      <c r="A4873" s="1" t="s">
        <v>4940</v>
      </c>
      <c r="B4873" s="2" t="s">
        <v>4925</v>
      </c>
      <c r="C4873" s="2"/>
      <c r="D4873" s="2" t="s">
        <v>11</v>
      </c>
      <c r="E4873" s="2">
        <v>15.0</v>
      </c>
      <c r="F4873" s="2" t="s">
        <v>12</v>
      </c>
      <c r="G4873" s="2"/>
      <c r="H4873" s="2"/>
      <c r="I4873" s="2"/>
    </row>
    <row r="4874">
      <c r="A4874" s="1" t="s">
        <v>4941</v>
      </c>
      <c r="B4874" s="2" t="s">
        <v>4925</v>
      </c>
      <c r="C4874" s="2"/>
      <c r="D4874" s="2" t="s">
        <v>37</v>
      </c>
      <c r="E4874" s="2">
        <v>10.0</v>
      </c>
      <c r="F4874" s="2" t="s">
        <v>12</v>
      </c>
      <c r="G4874" s="2"/>
      <c r="H4874" s="2"/>
      <c r="I4874" s="2"/>
    </row>
    <row r="4875">
      <c r="A4875" s="2" t="s">
        <v>4942</v>
      </c>
      <c r="B4875" s="2" t="s">
        <v>4925</v>
      </c>
      <c r="C4875" s="2"/>
      <c r="D4875" s="2" t="s">
        <v>37</v>
      </c>
      <c r="E4875" s="2">
        <v>10.0</v>
      </c>
      <c r="F4875" s="2" t="s">
        <v>12</v>
      </c>
      <c r="G4875" s="2"/>
      <c r="H4875" s="2"/>
      <c r="I4875" s="2"/>
    </row>
    <row r="4876">
      <c r="A4876" s="1" t="s">
        <v>4943</v>
      </c>
      <c r="B4876" s="2" t="s">
        <v>4925</v>
      </c>
      <c r="C4876" s="2"/>
      <c r="D4876" s="2" t="s">
        <v>37</v>
      </c>
      <c r="E4876" s="2">
        <v>10.0</v>
      </c>
      <c r="F4876" s="2" t="s">
        <v>12</v>
      </c>
      <c r="G4876" s="2"/>
      <c r="H4876" s="2"/>
      <c r="I4876" s="2"/>
    </row>
    <row r="4877">
      <c r="A4877" s="2" t="s">
        <v>4944</v>
      </c>
      <c r="B4877" s="2" t="s">
        <v>4925</v>
      </c>
      <c r="C4877" s="2"/>
      <c r="D4877" s="2" t="s">
        <v>37</v>
      </c>
      <c r="E4877" s="2">
        <v>10.0</v>
      </c>
      <c r="F4877" s="2" t="s">
        <v>12</v>
      </c>
      <c r="G4877" s="2"/>
      <c r="H4877" s="2"/>
      <c r="I4877" s="2"/>
    </row>
    <row r="4878">
      <c r="A4878" s="1" t="s">
        <v>4945</v>
      </c>
      <c r="B4878" s="2" t="s">
        <v>4925</v>
      </c>
      <c r="C4878" s="2"/>
      <c r="D4878" s="2" t="s">
        <v>11</v>
      </c>
      <c r="E4878" s="2">
        <v>10.0</v>
      </c>
      <c r="F4878" s="2" t="s">
        <v>12</v>
      </c>
      <c r="G4878" s="2"/>
      <c r="H4878" s="2"/>
      <c r="I4878" s="2"/>
    </row>
    <row r="4879">
      <c r="A4879" s="1" t="s">
        <v>4946</v>
      </c>
      <c r="B4879" s="2" t="s">
        <v>4925</v>
      </c>
      <c r="C4879" s="2"/>
      <c r="D4879" s="2" t="s">
        <v>11</v>
      </c>
      <c r="E4879" s="2">
        <v>10.0</v>
      </c>
      <c r="F4879" s="2" t="s">
        <v>12</v>
      </c>
      <c r="G4879" s="2"/>
      <c r="H4879" s="2"/>
      <c r="I4879" s="2"/>
    </row>
    <row r="4880">
      <c r="A4880" s="1" t="s">
        <v>4947</v>
      </c>
      <c r="B4880" s="2" t="s">
        <v>4925</v>
      </c>
      <c r="C4880" s="2"/>
      <c r="D4880" s="2" t="s">
        <v>11</v>
      </c>
      <c r="E4880" s="2">
        <v>10.0</v>
      </c>
      <c r="F4880" s="2" t="s">
        <v>12</v>
      </c>
      <c r="G4880" s="2"/>
      <c r="H4880" s="2"/>
      <c r="I4880" s="2"/>
    </row>
    <row r="4881">
      <c r="A4881" s="1" t="s">
        <v>4948</v>
      </c>
      <c r="B4881" s="2" t="s">
        <v>4925</v>
      </c>
      <c r="C4881" s="2"/>
      <c r="D4881" s="2" t="s">
        <v>11</v>
      </c>
      <c r="E4881" s="2">
        <v>10.0</v>
      </c>
      <c r="F4881" s="2" t="s">
        <v>12</v>
      </c>
      <c r="G4881" s="2"/>
      <c r="H4881" s="2"/>
      <c r="I4881" s="2"/>
    </row>
    <row r="4882">
      <c r="A4882" s="1" t="s">
        <v>4949</v>
      </c>
      <c r="B4882" s="2" t="s">
        <v>4950</v>
      </c>
      <c r="C4882" s="2"/>
      <c r="D4882" s="2" t="s">
        <v>37</v>
      </c>
      <c r="E4882" s="2">
        <v>25.0</v>
      </c>
      <c r="F4882" s="2"/>
      <c r="G4882" s="2"/>
      <c r="H4882" s="2"/>
      <c r="I4882" s="2"/>
    </row>
    <row r="4883">
      <c r="A4883" s="1" t="s">
        <v>4951</v>
      </c>
      <c r="B4883" s="2" t="s">
        <v>4950</v>
      </c>
      <c r="C4883" s="2"/>
      <c r="D4883" s="2" t="s">
        <v>37</v>
      </c>
      <c r="E4883" s="2">
        <v>25.0</v>
      </c>
      <c r="F4883" s="2"/>
      <c r="G4883" s="2"/>
      <c r="H4883" s="2"/>
      <c r="I4883" s="2"/>
    </row>
    <row r="4884">
      <c r="A4884" s="1" t="s">
        <v>4952</v>
      </c>
      <c r="B4884" s="2" t="s">
        <v>4950</v>
      </c>
      <c r="C4884" s="2"/>
      <c r="D4884" s="2" t="s">
        <v>37</v>
      </c>
      <c r="E4884" s="2">
        <v>15.0</v>
      </c>
      <c r="F4884" s="2" t="s">
        <v>12</v>
      </c>
      <c r="G4884" s="2"/>
      <c r="H4884" s="2"/>
      <c r="I4884" s="2"/>
    </row>
    <row r="4885">
      <c r="A4885" s="1" t="s">
        <v>4953</v>
      </c>
      <c r="B4885" s="2" t="s">
        <v>4950</v>
      </c>
      <c r="C4885" s="2"/>
      <c r="D4885" s="2" t="s">
        <v>37</v>
      </c>
      <c r="E4885" s="2">
        <v>10.0</v>
      </c>
      <c r="F4885" s="2" t="s">
        <v>12</v>
      </c>
      <c r="G4885" s="2"/>
      <c r="H4885" s="2"/>
      <c r="I4885" s="2"/>
    </row>
    <row r="4886">
      <c r="A4886" s="1" t="s">
        <v>4954</v>
      </c>
      <c r="B4886" s="2" t="s">
        <v>4950</v>
      </c>
      <c r="C4886" s="2"/>
      <c r="D4886" s="2" t="s">
        <v>37</v>
      </c>
      <c r="E4886" s="2">
        <v>15.0</v>
      </c>
      <c r="F4886" s="2" t="s">
        <v>12</v>
      </c>
      <c r="G4886" s="2"/>
      <c r="H4886" s="2"/>
      <c r="I4886" s="2"/>
    </row>
    <row r="4887">
      <c r="A4887" s="1" t="s">
        <v>4955</v>
      </c>
      <c r="B4887" s="2" t="s">
        <v>4950</v>
      </c>
      <c r="C4887" s="2"/>
      <c r="D4887" s="2" t="s">
        <v>11</v>
      </c>
      <c r="E4887" s="2">
        <v>10.0</v>
      </c>
      <c r="F4887" s="2" t="s">
        <v>12</v>
      </c>
      <c r="G4887" s="2"/>
      <c r="H4887" s="2"/>
      <c r="I4887" s="2"/>
    </row>
    <row r="4888">
      <c r="A4888" s="2" t="s">
        <v>4956</v>
      </c>
      <c r="B4888" s="2" t="s">
        <v>4950</v>
      </c>
      <c r="C4888" s="2"/>
      <c r="D4888" s="2" t="s">
        <v>11</v>
      </c>
      <c r="E4888" s="2">
        <v>10.0</v>
      </c>
      <c r="F4888" s="2" t="s">
        <v>12</v>
      </c>
      <c r="G4888" s="2"/>
      <c r="H4888" s="2"/>
      <c r="I4888" s="2"/>
    </row>
    <row r="4889">
      <c r="A4889" s="2" t="s">
        <v>4957</v>
      </c>
      <c r="B4889" s="2" t="s">
        <v>4950</v>
      </c>
      <c r="C4889" s="2"/>
      <c r="D4889" s="2" t="s">
        <v>37</v>
      </c>
      <c r="E4889" s="2">
        <v>10.0</v>
      </c>
      <c r="F4889" s="2" t="s">
        <v>12</v>
      </c>
      <c r="G4889" s="2"/>
      <c r="H4889" s="2"/>
      <c r="I4889" s="2"/>
    </row>
    <row r="4890">
      <c r="A4890" s="1" t="s">
        <v>4958</v>
      </c>
      <c r="B4890" s="2" t="s">
        <v>4950</v>
      </c>
      <c r="C4890" s="2"/>
      <c r="D4890" s="2" t="s">
        <v>11</v>
      </c>
      <c r="E4890" s="2">
        <v>10.0</v>
      </c>
      <c r="F4890" s="2" t="s">
        <v>12</v>
      </c>
      <c r="G4890" s="2"/>
      <c r="H4890" s="2"/>
      <c r="I4890" s="2"/>
    </row>
    <row r="4891">
      <c r="A4891" s="1" t="s">
        <v>4959</v>
      </c>
      <c r="B4891" s="2" t="s">
        <v>4950</v>
      </c>
      <c r="C4891" s="2"/>
      <c r="D4891" s="2" t="s">
        <v>11</v>
      </c>
      <c r="E4891" s="2">
        <v>10.0</v>
      </c>
      <c r="F4891" s="2" t="s">
        <v>12</v>
      </c>
      <c r="G4891" s="2"/>
      <c r="H4891" s="2"/>
      <c r="I4891" s="2"/>
    </row>
    <row r="4892">
      <c r="A4892" s="1" t="s">
        <v>4960</v>
      </c>
      <c r="B4892" s="2" t="s">
        <v>4950</v>
      </c>
      <c r="C4892" s="2"/>
      <c r="D4892" s="2" t="s">
        <v>11</v>
      </c>
      <c r="E4892" s="2">
        <v>10.0</v>
      </c>
      <c r="F4892" s="2" t="s">
        <v>12</v>
      </c>
      <c r="G4892" s="2"/>
      <c r="H4892" s="2"/>
      <c r="I4892" s="2"/>
    </row>
    <row r="4893">
      <c r="A4893" s="1" t="s">
        <v>4961</v>
      </c>
      <c r="B4893" s="2" t="s">
        <v>4950</v>
      </c>
      <c r="C4893" s="2"/>
      <c r="D4893" s="2" t="s">
        <v>11</v>
      </c>
      <c r="E4893" s="2">
        <v>10.0</v>
      </c>
      <c r="F4893" s="2" t="s">
        <v>12</v>
      </c>
      <c r="G4893" s="2"/>
      <c r="H4893" s="2"/>
      <c r="I4893" s="2"/>
    </row>
    <row r="4894">
      <c r="A4894" s="1" t="s">
        <v>4962</v>
      </c>
      <c r="B4894" s="2" t="s">
        <v>4950</v>
      </c>
      <c r="C4894" s="2"/>
      <c r="D4894" s="2" t="s">
        <v>11</v>
      </c>
      <c r="E4894" s="2">
        <v>10.0</v>
      </c>
      <c r="F4894" s="2" t="s">
        <v>12</v>
      </c>
      <c r="G4894" s="2"/>
      <c r="H4894" s="2"/>
      <c r="I4894" s="2"/>
    </row>
    <row r="4895">
      <c r="A4895" s="1" t="s">
        <v>4963</v>
      </c>
      <c r="B4895" s="2" t="s">
        <v>4950</v>
      </c>
      <c r="C4895" s="2"/>
      <c r="D4895" s="2" t="s">
        <v>11</v>
      </c>
      <c r="E4895" s="2">
        <v>10.0</v>
      </c>
      <c r="F4895" s="2" t="s">
        <v>12</v>
      </c>
      <c r="G4895" s="2"/>
      <c r="H4895" s="2"/>
      <c r="I4895" s="2"/>
    </row>
    <row r="4896">
      <c r="A4896" s="1" t="s">
        <v>4964</v>
      </c>
      <c r="B4896" s="2" t="s">
        <v>4950</v>
      </c>
      <c r="C4896" s="2"/>
      <c r="D4896" s="2" t="s">
        <v>11</v>
      </c>
      <c r="E4896" s="2">
        <v>10.0</v>
      </c>
      <c r="F4896" s="2" t="s">
        <v>12</v>
      </c>
      <c r="G4896" s="2"/>
      <c r="H4896" s="2"/>
      <c r="I4896" s="2"/>
    </row>
    <row r="4897">
      <c r="A4897" s="1" t="s">
        <v>4965</v>
      </c>
      <c r="B4897" s="2" t="s">
        <v>4950</v>
      </c>
      <c r="C4897" s="2"/>
      <c r="D4897" s="2" t="s">
        <v>11</v>
      </c>
      <c r="E4897" s="2">
        <v>10.0</v>
      </c>
      <c r="F4897" s="2" t="s">
        <v>12</v>
      </c>
      <c r="G4897" s="2"/>
      <c r="H4897" s="2"/>
      <c r="I4897" s="2"/>
    </row>
    <row r="4898">
      <c r="A4898" s="1" t="s">
        <v>4966</v>
      </c>
      <c r="B4898" s="2" t="s">
        <v>4950</v>
      </c>
      <c r="C4898" s="2"/>
      <c r="D4898" s="2" t="s">
        <v>11</v>
      </c>
      <c r="E4898" s="2">
        <v>10.0</v>
      </c>
      <c r="F4898" s="2" t="s">
        <v>12</v>
      </c>
      <c r="G4898" s="2"/>
      <c r="H4898" s="2"/>
      <c r="I4898" s="2"/>
    </row>
    <row r="4899">
      <c r="A4899" s="1" t="s">
        <v>4967</v>
      </c>
      <c r="B4899" s="2" t="s">
        <v>4950</v>
      </c>
      <c r="C4899" s="2"/>
      <c r="D4899" s="2" t="s">
        <v>11</v>
      </c>
      <c r="E4899" s="2">
        <v>10.0</v>
      </c>
      <c r="F4899" s="2" t="s">
        <v>12</v>
      </c>
      <c r="G4899" s="2"/>
      <c r="H4899" s="2"/>
      <c r="I4899" s="2"/>
    </row>
    <row r="4900">
      <c r="A4900" s="1" t="s">
        <v>4968</v>
      </c>
      <c r="B4900" s="2" t="s">
        <v>4950</v>
      </c>
      <c r="C4900" s="2"/>
      <c r="D4900" s="2" t="s">
        <v>11</v>
      </c>
      <c r="E4900" s="2">
        <v>10.0</v>
      </c>
      <c r="F4900" s="2" t="s">
        <v>12</v>
      </c>
      <c r="G4900" s="2"/>
      <c r="H4900" s="2"/>
      <c r="I4900" s="2"/>
    </row>
    <row r="4901">
      <c r="A4901" s="2" t="s">
        <v>4969</v>
      </c>
      <c r="B4901" s="2" t="s">
        <v>4950</v>
      </c>
      <c r="C4901" s="2"/>
      <c r="D4901" s="2" t="s">
        <v>11</v>
      </c>
      <c r="E4901" s="2">
        <v>10.0</v>
      </c>
      <c r="F4901" s="2" t="s">
        <v>12</v>
      </c>
      <c r="G4901" s="2"/>
      <c r="H4901" s="2"/>
      <c r="I4901" s="2"/>
    </row>
    <row r="4902">
      <c r="A4902" s="1" t="s">
        <v>4970</v>
      </c>
      <c r="B4902" s="2" t="s">
        <v>4950</v>
      </c>
      <c r="C4902" s="2"/>
      <c r="D4902" s="2" t="s">
        <v>11</v>
      </c>
      <c r="E4902" s="2">
        <v>10.0</v>
      </c>
      <c r="F4902" s="2" t="s">
        <v>12</v>
      </c>
      <c r="G4902" s="2"/>
      <c r="H4902" s="2"/>
      <c r="I4902" s="2"/>
    </row>
    <row r="4903">
      <c r="A4903" s="1" t="s">
        <v>4971</v>
      </c>
      <c r="B4903" s="2" t="s">
        <v>4950</v>
      </c>
      <c r="C4903" s="2"/>
      <c r="D4903" s="2" t="s">
        <v>11</v>
      </c>
      <c r="E4903" s="2">
        <v>10.0</v>
      </c>
      <c r="F4903" s="2" t="s">
        <v>12</v>
      </c>
      <c r="G4903" s="2"/>
      <c r="H4903" s="2"/>
      <c r="I4903" s="2"/>
    </row>
    <row r="4904">
      <c r="A4904" s="1" t="s">
        <v>4972</v>
      </c>
      <c r="B4904" s="2" t="s">
        <v>4950</v>
      </c>
      <c r="C4904" s="2"/>
      <c r="D4904" s="2" t="s">
        <v>11</v>
      </c>
      <c r="E4904" s="2">
        <v>10.0</v>
      </c>
      <c r="F4904" s="2" t="s">
        <v>12</v>
      </c>
      <c r="G4904" s="2"/>
      <c r="H4904" s="2"/>
      <c r="I4904" s="2"/>
    </row>
    <row r="4905">
      <c r="A4905" s="1" t="s">
        <v>4973</v>
      </c>
      <c r="B4905" s="2" t="s">
        <v>4950</v>
      </c>
      <c r="C4905" s="2"/>
      <c r="D4905" s="2" t="s">
        <v>11</v>
      </c>
      <c r="E4905" s="2">
        <v>10.0</v>
      </c>
      <c r="F4905" s="2" t="s">
        <v>12</v>
      </c>
      <c r="G4905" s="2"/>
      <c r="H4905" s="2"/>
      <c r="I4905" s="2"/>
    </row>
    <row r="4906">
      <c r="A4906" s="1" t="s">
        <v>4974</v>
      </c>
      <c r="B4906" s="2" t="s">
        <v>4950</v>
      </c>
      <c r="C4906" s="2"/>
      <c r="D4906" s="2" t="s">
        <v>11</v>
      </c>
      <c r="E4906" s="2">
        <v>10.0</v>
      </c>
      <c r="F4906" s="2" t="s">
        <v>12</v>
      </c>
      <c r="G4906" s="2"/>
      <c r="H4906" s="2"/>
      <c r="I4906" s="2"/>
    </row>
    <row r="4907">
      <c r="A4907" s="2" t="s">
        <v>4975</v>
      </c>
      <c r="B4907" s="2" t="s">
        <v>4950</v>
      </c>
      <c r="C4907" s="2"/>
      <c r="D4907" s="2" t="s">
        <v>11</v>
      </c>
      <c r="E4907" s="2">
        <v>10.0</v>
      </c>
      <c r="F4907" s="2" t="s">
        <v>12</v>
      </c>
      <c r="G4907" s="2"/>
      <c r="H4907" s="2"/>
      <c r="I4907" s="2"/>
    </row>
    <row r="4908">
      <c r="A4908" s="1" t="s">
        <v>4976</v>
      </c>
      <c r="B4908" s="2" t="s">
        <v>4950</v>
      </c>
      <c r="C4908" s="2"/>
      <c r="D4908" s="2" t="s">
        <v>37</v>
      </c>
      <c r="E4908" s="2">
        <v>10.0</v>
      </c>
      <c r="F4908" s="2" t="s">
        <v>12</v>
      </c>
      <c r="G4908" s="2"/>
      <c r="H4908" s="2"/>
      <c r="I4908" s="2"/>
    </row>
    <row r="4909">
      <c r="A4909" s="2" t="s">
        <v>4977</v>
      </c>
      <c r="B4909" s="2" t="s">
        <v>4950</v>
      </c>
      <c r="C4909" s="2"/>
      <c r="D4909" s="2" t="s">
        <v>37</v>
      </c>
      <c r="E4909" s="2">
        <v>10.0</v>
      </c>
      <c r="F4909" s="2" t="s">
        <v>12</v>
      </c>
      <c r="G4909" s="2"/>
      <c r="H4909" s="2"/>
      <c r="I4909" s="2"/>
    </row>
    <row r="4910">
      <c r="A4910" s="1" t="s">
        <v>4978</v>
      </c>
      <c r="B4910" s="2" t="s">
        <v>4950</v>
      </c>
      <c r="C4910" s="2"/>
      <c r="D4910" s="2" t="s">
        <v>37</v>
      </c>
      <c r="E4910" s="2">
        <v>10.0</v>
      </c>
      <c r="F4910" s="2" t="s">
        <v>12</v>
      </c>
      <c r="G4910" s="2"/>
      <c r="H4910" s="2"/>
      <c r="I4910" s="2"/>
    </row>
    <row r="4911">
      <c r="A4911" s="1" t="s">
        <v>4979</v>
      </c>
      <c r="B4911" s="2" t="s">
        <v>4950</v>
      </c>
      <c r="C4911" s="2"/>
      <c r="D4911" s="2" t="s">
        <v>37</v>
      </c>
      <c r="E4911" s="2">
        <v>10.0</v>
      </c>
      <c r="F4911" s="2" t="s">
        <v>12</v>
      </c>
      <c r="G4911" s="2"/>
      <c r="H4911" s="2"/>
      <c r="I4911" s="2"/>
    </row>
    <row r="4912">
      <c r="A4912" s="2" t="s">
        <v>4980</v>
      </c>
      <c r="B4912" s="2" t="s">
        <v>4950</v>
      </c>
      <c r="C4912" s="2"/>
      <c r="D4912" s="2" t="s">
        <v>11</v>
      </c>
      <c r="E4912" s="2">
        <v>10.0</v>
      </c>
      <c r="F4912" s="2" t="s">
        <v>12</v>
      </c>
      <c r="G4912" s="2"/>
      <c r="H4912" s="2"/>
      <c r="I4912" s="2"/>
    </row>
    <row r="4913">
      <c r="A4913" s="1" t="s">
        <v>4981</v>
      </c>
      <c r="B4913" s="2" t="s">
        <v>4950</v>
      </c>
      <c r="C4913" s="2"/>
      <c r="D4913" s="2" t="s">
        <v>11</v>
      </c>
      <c r="E4913" s="2">
        <v>10.0</v>
      </c>
      <c r="F4913" s="2" t="s">
        <v>12</v>
      </c>
      <c r="G4913" s="2"/>
      <c r="H4913" s="2"/>
      <c r="I4913" s="2"/>
    </row>
    <row r="4914">
      <c r="A4914" s="1" t="s">
        <v>4982</v>
      </c>
      <c r="B4914" s="2" t="s">
        <v>4950</v>
      </c>
      <c r="C4914" s="2"/>
      <c r="D4914" s="2" t="s">
        <v>11</v>
      </c>
      <c r="E4914" s="2">
        <v>10.0</v>
      </c>
      <c r="F4914" s="2" t="s">
        <v>12</v>
      </c>
      <c r="G4914" s="2"/>
      <c r="H4914" s="2"/>
      <c r="I4914" s="2"/>
    </row>
    <row r="4915">
      <c r="A4915" s="1" t="s">
        <v>4983</v>
      </c>
      <c r="B4915" s="2" t="s">
        <v>4950</v>
      </c>
      <c r="C4915" s="2"/>
      <c r="D4915" s="2" t="s">
        <v>11</v>
      </c>
      <c r="E4915" s="2">
        <v>10.0</v>
      </c>
      <c r="F4915" s="2" t="s">
        <v>12</v>
      </c>
      <c r="G4915" s="2"/>
      <c r="H4915" s="2"/>
      <c r="I4915" s="2"/>
    </row>
    <row r="4916">
      <c r="A4916" s="1" t="s">
        <v>4984</v>
      </c>
      <c r="B4916" s="2" t="s">
        <v>4985</v>
      </c>
      <c r="C4916" s="2"/>
      <c r="D4916" s="2" t="s">
        <v>11</v>
      </c>
      <c r="E4916" s="2">
        <v>14.0</v>
      </c>
      <c r="F4916" s="2" t="s">
        <v>12</v>
      </c>
      <c r="G4916" s="2"/>
      <c r="H4916" s="2"/>
      <c r="I4916" s="2"/>
    </row>
    <row r="4917">
      <c r="A4917" s="1" t="s">
        <v>4986</v>
      </c>
      <c r="B4917" s="2" t="s">
        <v>4985</v>
      </c>
      <c r="C4917" s="2"/>
      <c r="D4917" s="2" t="s">
        <v>11</v>
      </c>
      <c r="E4917" s="2">
        <v>14.0</v>
      </c>
      <c r="F4917" s="2" t="s">
        <v>12</v>
      </c>
      <c r="G4917" s="2"/>
      <c r="H4917" s="2"/>
      <c r="I4917" s="2"/>
    </row>
    <row r="4918">
      <c r="A4918" s="1" t="s">
        <v>4987</v>
      </c>
      <c r="B4918" s="2" t="s">
        <v>4985</v>
      </c>
      <c r="C4918" s="2"/>
      <c r="D4918" s="2" t="s">
        <v>11</v>
      </c>
      <c r="E4918" s="2">
        <v>14.0</v>
      </c>
      <c r="F4918" s="2" t="s">
        <v>12</v>
      </c>
      <c r="G4918" s="2"/>
      <c r="H4918" s="2"/>
      <c r="I4918" s="2"/>
    </row>
    <row r="4919">
      <c r="A4919" s="1" t="s">
        <v>4988</v>
      </c>
      <c r="B4919" s="2" t="s">
        <v>4985</v>
      </c>
      <c r="C4919" s="2"/>
      <c r="D4919" s="2" t="s">
        <v>11</v>
      </c>
      <c r="E4919" s="2">
        <v>10.0</v>
      </c>
      <c r="F4919" s="2" t="s">
        <v>12</v>
      </c>
      <c r="G4919" s="2"/>
      <c r="H4919" s="2"/>
      <c r="I4919" s="2"/>
    </row>
    <row r="4920">
      <c r="A4920" s="1" t="s">
        <v>4989</v>
      </c>
      <c r="B4920" s="2" t="s">
        <v>4985</v>
      </c>
      <c r="C4920" s="2"/>
      <c r="D4920" s="2" t="s">
        <v>11</v>
      </c>
      <c r="E4920" s="2">
        <v>10.0</v>
      </c>
      <c r="F4920" s="2" t="s">
        <v>12</v>
      </c>
      <c r="G4920" s="2"/>
      <c r="H4920" s="2"/>
      <c r="I4920" s="2"/>
    </row>
    <row r="4921">
      <c r="A4921" s="1" t="s">
        <v>4990</v>
      </c>
      <c r="B4921" s="2" t="s">
        <v>4985</v>
      </c>
      <c r="C4921" s="2"/>
      <c r="D4921" s="2" t="s">
        <v>11</v>
      </c>
      <c r="E4921" s="2">
        <v>10.0</v>
      </c>
      <c r="F4921" s="2" t="s">
        <v>12</v>
      </c>
      <c r="G4921" s="2"/>
      <c r="H4921" s="2"/>
      <c r="I4921" s="2"/>
    </row>
    <row r="4922">
      <c r="A4922" s="1" t="s">
        <v>4991</v>
      </c>
      <c r="B4922" s="2" t="s">
        <v>4985</v>
      </c>
      <c r="C4922" s="2"/>
      <c r="D4922" s="2" t="s">
        <v>11</v>
      </c>
      <c r="E4922" s="2">
        <v>10.0</v>
      </c>
      <c r="F4922" s="2" t="s">
        <v>12</v>
      </c>
      <c r="G4922" s="2"/>
      <c r="H4922" s="2"/>
      <c r="I4922" s="2"/>
    </row>
    <row r="4923">
      <c r="A4923" s="1" t="s">
        <v>4992</v>
      </c>
      <c r="B4923" s="2" t="s">
        <v>4985</v>
      </c>
      <c r="C4923" s="2"/>
      <c r="D4923" s="2" t="s">
        <v>11</v>
      </c>
      <c r="E4923" s="2">
        <v>10.0</v>
      </c>
      <c r="F4923" s="2" t="s">
        <v>12</v>
      </c>
      <c r="G4923" s="2"/>
      <c r="H4923" s="2"/>
      <c r="I4923" s="2"/>
    </row>
    <row r="4924">
      <c r="A4924" s="1" t="s">
        <v>4993</v>
      </c>
      <c r="B4924" s="2" t="s">
        <v>4985</v>
      </c>
      <c r="C4924" s="2"/>
      <c r="D4924" s="2" t="s">
        <v>11</v>
      </c>
      <c r="E4924" s="2">
        <v>10.0</v>
      </c>
      <c r="F4924" s="2" t="s">
        <v>12</v>
      </c>
      <c r="G4924" s="2"/>
      <c r="H4924" s="2"/>
      <c r="I4924" s="2"/>
    </row>
    <row r="4925">
      <c r="A4925" s="2" t="s">
        <v>4994</v>
      </c>
      <c r="B4925" s="2" t="s">
        <v>4985</v>
      </c>
      <c r="C4925" s="2"/>
      <c r="D4925" s="2" t="s">
        <v>11</v>
      </c>
      <c r="E4925" s="2">
        <v>10.0</v>
      </c>
      <c r="F4925" s="2" t="s">
        <v>12</v>
      </c>
      <c r="G4925" s="2"/>
      <c r="H4925" s="2"/>
      <c r="I4925" s="2"/>
    </row>
    <row r="4926">
      <c r="A4926" s="1" t="s">
        <v>4995</v>
      </c>
      <c r="B4926" s="2" t="s">
        <v>4985</v>
      </c>
      <c r="C4926" s="2"/>
      <c r="D4926" s="2" t="s">
        <v>11</v>
      </c>
      <c r="E4926" s="2">
        <v>10.0</v>
      </c>
      <c r="F4926" s="2" t="s">
        <v>12</v>
      </c>
      <c r="G4926" s="2"/>
      <c r="H4926" s="2"/>
      <c r="I4926" s="2"/>
    </row>
    <row r="4927">
      <c r="A4927" s="1" t="s">
        <v>4996</v>
      </c>
      <c r="B4927" s="2" t="s">
        <v>4985</v>
      </c>
      <c r="C4927" s="2"/>
      <c r="D4927" s="2" t="s">
        <v>11</v>
      </c>
      <c r="E4927" s="2">
        <v>10.0</v>
      </c>
      <c r="F4927" s="2" t="s">
        <v>12</v>
      </c>
      <c r="G4927" s="2"/>
      <c r="H4927" s="2"/>
      <c r="I4927" s="2"/>
    </row>
    <row r="4928">
      <c r="A4928" s="1" t="s">
        <v>4997</v>
      </c>
      <c r="B4928" s="2" t="s">
        <v>4985</v>
      </c>
      <c r="C4928" s="2"/>
      <c r="D4928" s="2" t="s">
        <v>11</v>
      </c>
      <c r="E4928" s="2">
        <v>10.0</v>
      </c>
      <c r="F4928" s="2" t="s">
        <v>12</v>
      </c>
      <c r="G4928" s="2"/>
      <c r="H4928" s="2"/>
      <c r="I4928" s="2"/>
    </row>
    <row r="4929">
      <c r="A4929" s="1" t="s">
        <v>4998</v>
      </c>
      <c r="B4929" s="2" t="s">
        <v>4985</v>
      </c>
      <c r="C4929" s="2"/>
      <c r="D4929" s="2" t="s">
        <v>11</v>
      </c>
      <c r="E4929" s="2">
        <v>10.0</v>
      </c>
      <c r="F4929" s="2" t="s">
        <v>12</v>
      </c>
      <c r="G4929" s="2"/>
      <c r="H4929" s="2"/>
      <c r="I4929" s="2"/>
    </row>
    <row r="4930">
      <c r="A4930" s="2" t="s">
        <v>4999</v>
      </c>
      <c r="B4930" s="2" t="s">
        <v>4985</v>
      </c>
      <c r="C4930" s="2"/>
      <c r="D4930" s="2" t="s">
        <v>11</v>
      </c>
      <c r="E4930" s="2">
        <v>10.0</v>
      </c>
      <c r="F4930" s="2" t="s">
        <v>12</v>
      </c>
      <c r="G4930" s="2"/>
      <c r="H4930" s="2"/>
      <c r="I4930" s="2"/>
    </row>
    <row r="4931">
      <c r="A4931" s="1" t="s">
        <v>5000</v>
      </c>
      <c r="B4931" s="2" t="s">
        <v>4985</v>
      </c>
      <c r="C4931" s="2"/>
      <c r="D4931" s="2" t="s">
        <v>11</v>
      </c>
      <c r="E4931" s="2">
        <v>10.0</v>
      </c>
      <c r="F4931" s="2" t="s">
        <v>12</v>
      </c>
      <c r="G4931" s="2"/>
      <c r="H4931" s="2"/>
      <c r="I4931" s="2"/>
    </row>
    <row r="4932">
      <c r="A4932" s="2" t="s">
        <v>5001</v>
      </c>
      <c r="B4932" s="2" t="s">
        <v>4985</v>
      </c>
      <c r="C4932" s="2"/>
      <c r="D4932" s="2" t="s">
        <v>11</v>
      </c>
      <c r="E4932" s="2">
        <v>10.0</v>
      </c>
      <c r="F4932" s="2" t="s">
        <v>12</v>
      </c>
      <c r="G4932" s="2"/>
      <c r="H4932" s="2"/>
      <c r="I4932" s="2"/>
    </row>
    <row r="4933">
      <c r="A4933" s="2" t="s">
        <v>5002</v>
      </c>
      <c r="B4933" s="2" t="s">
        <v>4985</v>
      </c>
      <c r="C4933" s="2"/>
      <c r="D4933" s="2" t="s">
        <v>11</v>
      </c>
      <c r="E4933" s="2">
        <v>10.0</v>
      </c>
      <c r="F4933" s="2" t="s">
        <v>12</v>
      </c>
      <c r="G4933" s="2"/>
      <c r="H4933" s="2"/>
      <c r="I4933" s="2"/>
    </row>
    <row r="4934">
      <c r="A4934" s="1" t="s">
        <v>5003</v>
      </c>
      <c r="B4934" s="2" t="s">
        <v>4985</v>
      </c>
      <c r="C4934" s="2"/>
      <c r="D4934" s="2" t="s">
        <v>11</v>
      </c>
      <c r="E4934" s="2">
        <v>10.0</v>
      </c>
      <c r="F4934" s="2" t="s">
        <v>12</v>
      </c>
      <c r="G4934" s="2"/>
      <c r="H4934" s="2"/>
      <c r="I4934" s="2"/>
    </row>
    <row r="4935">
      <c r="A4935" s="1" t="s">
        <v>5004</v>
      </c>
      <c r="B4935" s="2" t="s">
        <v>4985</v>
      </c>
      <c r="C4935" s="2"/>
      <c r="D4935" s="2" t="s">
        <v>11</v>
      </c>
      <c r="E4935" s="2">
        <v>10.0</v>
      </c>
      <c r="F4935" s="2" t="s">
        <v>12</v>
      </c>
      <c r="G4935" s="2"/>
      <c r="H4935" s="2"/>
      <c r="I4935" s="2"/>
    </row>
    <row r="4936">
      <c r="A4936" s="1" t="s">
        <v>5005</v>
      </c>
      <c r="B4936" s="2" t="s">
        <v>4985</v>
      </c>
      <c r="C4936" s="2"/>
      <c r="D4936" s="2" t="s">
        <v>11</v>
      </c>
      <c r="E4936" s="2">
        <v>10.0</v>
      </c>
      <c r="F4936" s="2" t="s">
        <v>12</v>
      </c>
      <c r="G4936" s="2"/>
      <c r="H4936" s="2"/>
      <c r="I4936" s="2"/>
    </row>
    <row r="4937">
      <c r="A4937" s="1" t="s">
        <v>5006</v>
      </c>
      <c r="B4937" s="2" t="s">
        <v>4985</v>
      </c>
      <c r="C4937" s="2"/>
      <c r="D4937" s="2" t="s">
        <v>11</v>
      </c>
      <c r="E4937" s="2">
        <v>10.0</v>
      </c>
      <c r="F4937" s="2" t="s">
        <v>12</v>
      </c>
      <c r="G4937" s="2"/>
      <c r="H4937" s="2"/>
      <c r="I4937" s="2"/>
    </row>
    <row r="4938">
      <c r="A4938" s="2" t="s">
        <v>5007</v>
      </c>
      <c r="B4938" s="2" t="s">
        <v>5008</v>
      </c>
      <c r="C4938" s="2"/>
      <c r="D4938" s="2" t="s">
        <v>11</v>
      </c>
      <c r="E4938" s="2">
        <v>10.0</v>
      </c>
      <c r="F4938" s="2" t="s">
        <v>12</v>
      </c>
      <c r="G4938" s="2"/>
      <c r="H4938" s="2"/>
      <c r="I4938" s="2"/>
    </row>
    <row r="4939">
      <c r="A4939" s="2" t="s">
        <v>5009</v>
      </c>
      <c r="B4939" s="2" t="s">
        <v>5008</v>
      </c>
      <c r="C4939" s="2"/>
      <c r="D4939" s="2" t="s">
        <v>11</v>
      </c>
      <c r="E4939" s="2">
        <v>10.0</v>
      </c>
      <c r="F4939" s="2" t="s">
        <v>12</v>
      </c>
      <c r="G4939" s="2"/>
      <c r="H4939" s="2"/>
      <c r="I4939" s="2"/>
    </row>
    <row r="4940">
      <c r="A4940" s="2" t="s">
        <v>5010</v>
      </c>
      <c r="B4940" s="2" t="s">
        <v>5008</v>
      </c>
      <c r="C4940" s="2"/>
      <c r="D4940" s="2" t="s">
        <v>11</v>
      </c>
      <c r="E4940" s="2">
        <v>10.0</v>
      </c>
      <c r="F4940" s="2" t="s">
        <v>12</v>
      </c>
      <c r="G4940" s="2"/>
      <c r="H4940" s="2"/>
      <c r="I4940" s="2"/>
    </row>
    <row r="4941">
      <c r="A4941" s="1" t="s">
        <v>5011</v>
      </c>
      <c r="B4941" s="2" t="s">
        <v>5008</v>
      </c>
      <c r="C4941" s="2"/>
      <c r="D4941" s="2" t="s">
        <v>11</v>
      </c>
      <c r="E4941" s="2">
        <v>10.0</v>
      </c>
      <c r="F4941" s="2" t="s">
        <v>12</v>
      </c>
      <c r="G4941" s="2"/>
      <c r="H4941" s="2"/>
      <c r="I4941" s="2"/>
    </row>
    <row r="4942">
      <c r="A4942" s="1" t="s">
        <v>5012</v>
      </c>
      <c r="B4942" s="2" t="s">
        <v>5008</v>
      </c>
      <c r="C4942" s="2"/>
      <c r="D4942" s="2" t="s">
        <v>11</v>
      </c>
      <c r="E4942" s="2">
        <v>10.0</v>
      </c>
      <c r="F4942" s="2" t="s">
        <v>12</v>
      </c>
      <c r="G4942" s="2"/>
      <c r="H4942" s="2"/>
      <c r="I4942" s="2"/>
    </row>
    <row r="4943">
      <c r="A4943" s="1" t="s">
        <v>5013</v>
      </c>
      <c r="B4943" s="2" t="s">
        <v>5008</v>
      </c>
      <c r="C4943" s="2"/>
      <c r="D4943" s="2" t="s">
        <v>11</v>
      </c>
      <c r="E4943" s="2">
        <v>10.0</v>
      </c>
      <c r="F4943" s="2" t="s">
        <v>12</v>
      </c>
      <c r="G4943" s="2"/>
      <c r="H4943" s="2"/>
      <c r="I4943" s="2"/>
    </row>
    <row r="4944">
      <c r="A4944" s="2" t="s">
        <v>5014</v>
      </c>
      <c r="B4944" s="2" t="s">
        <v>5008</v>
      </c>
      <c r="C4944" s="2"/>
      <c r="D4944" s="2" t="s">
        <v>11</v>
      </c>
      <c r="E4944" s="2">
        <v>10.0</v>
      </c>
      <c r="F4944" s="2" t="s">
        <v>12</v>
      </c>
      <c r="G4944" s="2"/>
      <c r="H4944" s="2"/>
      <c r="I4944" s="2"/>
    </row>
    <row r="4945">
      <c r="A4945" s="1" t="s">
        <v>5015</v>
      </c>
      <c r="B4945" s="2" t="s">
        <v>5008</v>
      </c>
      <c r="C4945" s="2"/>
      <c r="D4945" s="2" t="s">
        <v>11</v>
      </c>
      <c r="E4945" s="2">
        <v>15.0</v>
      </c>
      <c r="F4945" s="2" t="s">
        <v>12</v>
      </c>
      <c r="G4945" s="2"/>
      <c r="H4945" s="2"/>
      <c r="I4945" s="2"/>
    </row>
    <row r="4946">
      <c r="A4946" s="1" t="s">
        <v>5016</v>
      </c>
      <c r="B4946" s="2" t="s">
        <v>5008</v>
      </c>
      <c r="C4946" s="2"/>
      <c r="D4946" s="2" t="s">
        <v>11</v>
      </c>
      <c r="E4946" s="2">
        <v>10.0</v>
      </c>
      <c r="F4946" s="2" t="s">
        <v>12</v>
      </c>
      <c r="G4946" s="2"/>
      <c r="H4946" s="2"/>
      <c r="I4946" s="2"/>
    </row>
    <row r="4947">
      <c r="A4947" s="2" t="s">
        <v>5017</v>
      </c>
      <c r="B4947" s="2" t="s">
        <v>5008</v>
      </c>
      <c r="C4947" s="2"/>
      <c r="D4947" s="2" t="s">
        <v>11</v>
      </c>
      <c r="E4947" s="2">
        <v>10.0</v>
      </c>
      <c r="F4947" s="2" t="s">
        <v>12</v>
      </c>
      <c r="G4947" s="2"/>
      <c r="H4947" s="2"/>
      <c r="I4947" s="2"/>
    </row>
    <row r="4948">
      <c r="A4948" s="1" t="s">
        <v>5018</v>
      </c>
      <c r="B4948" s="2" t="s">
        <v>5008</v>
      </c>
      <c r="C4948" s="2"/>
      <c r="D4948" s="2" t="s">
        <v>11</v>
      </c>
      <c r="E4948" s="2">
        <v>15.0</v>
      </c>
      <c r="F4948" s="2" t="s">
        <v>12</v>
      </c>
      <c r="G4948" s="2"/>
      <c r="H4948" s="2"/>
      <c r="I4948" s="2"/>
    </row>
    <row r="4949">
      <c r="A4949" s="1" t="s">
        <v>5019</v>
      </c>
      <c r="B4949" s="2" t="s">
        <v>5008</v>
      </c>
      <c r="C4949" s="2"/>
      <c r="D4949" s="2" t="s">
        <v>11</v>
      </c>
      <c r="E4949" s="2">
        <v>10.0</v>
      </c>
      <c r="F4949" s="2" t="s">
        <v>12</v>
      </c>
      <c r="G4949" s="2"/>
      <c r="H4949" s="2"/>
      <c r="I4949" s="2"/>
    </row>
    <row r="4950">
      <c r="A4950" s="2" t="s">
        <v>5020</v>
      </c>
      <c r="B4950" s="2" t="s">
        <v>5008</v>
      </c>
      <c r="C4950" s="2"/>
      <c r="D4950" s="2" t="s">
        <v>11</v>
      </c>
      <c r="E4950" s="2">
        <v>10.0</v>
      </c>
      <c r="F4950" s="2" t="s">
        <v>12</v>
      </c>
      <c r="G4950" s="2"/>
      <c r="H4950" s="2"/>
      <c r="I4950" s="2"/>
    </row>
    <row r="4951">
      <c r="A4951" s="2" t="s">
        <v>5021</v>
      </c>
      <c r="B4951" s="2" t="s">
        <v>5008</v>
      </c>
      <c r="C4951" s="2"/>
      <c r="D4951" s="2" t="s">
        <v>11</v>
      </c>
      <c r="E4951" s="2">
        <v>10.0</v>
      </c>
      <c r="F4951" s="2" t="s">
        <v>12</v>
      </c>
      <c r="G4951" s="2"/>
      <c r="H4951" s="2"/>
      <c r="I4951" s="2"/>
    </row>
    <row r="4952">
      <c r="A4952" s="1" t="s">
        <v>5022</v>
      </c>
      <c r="B4952" s="2" t="s">
        <v>5008</v>
      </c>
      <c r="C4952" s="2"/>
      <c r="D4952" s="2" t="s">
        <v>11</v>
      </c>
      <c r="E4952" s="2">
        <v>10.0</v>
      </c>
      <c r="F4952" s="2" t="s">
        <v>12</v>
      </c>
      <c r="G4952" s="2"/>
      <c r="H4952" s="2"/>
      <c r="I4952" s="2"/>
    </row>
    <row r="4953">
      <c r="A4953" s="1" t="s">
        <v>5023</v>
      </c>
      <c r="B4953" s="2" t="s">
        <v>5008</v>
      </c>
      <c r="C4953" s="2"/>
      <c r="D4953" s="2" t="s">
        <v>11</v>
      </c>
      <c r="E4953" s="2">
        <v>10.0</v>
      </c>
      <c r="F4953" s="2" t="s">
        <v>12</v>
      </c>
      <c r="G4953" s="2"/>
      <c r="H4953" s="2"/>
      <c r="I4953" s="2"/>
    </row>
    <row r="4954">
      <c r="A4954" s="1" t="s">
        <v>5024</v>
      </c>
      <c r="B4954" s="2" t="s">
        <v>5008</v>
      </c>
      <c r="C4954" s="2"/>
      <c r="D4954" s="2" t="s">
        <v>11</v>
      </c>
      <c r="E4954" s="2">
        <v>10.0</v>
      </c>
      <c r="F4954" s="2" t="s">
        <v>12</v>
      </c>
      <c r="G4954" s="2"/>
      <c r="H4954" s="2"/>
      <c r="I4954" s="2"/>
    </row>
    <row r="4955">
      <c r="A4955" s="1" t="s">
        <v>5025</v>
      </c>
      <c r="B4955" s="2" t="s">
        <v>5008</v>
      </c>
      <c r="C4955" s="2"/>
      <c r="D4955" s="2" t="s">
        <v>11</v>
      </c>
      <c r="E4955" s="2">
        <v>10.0</v>
      </c>
      <c r="F4955" s="2" t="s">
        <v>12</v>
      </c>
      <c r="G4955" s="2"/>
      <c r="H4955" s="2"/>
      <c r="I4955" s="2"/>
    </row>
    <row r="4956">
      <c r="A4956" s="1" t="s">
        <v>5026</v>
      </c>
      <c r="B4956" s="2" t="s">
        <v>5008</v>
      </c>
      <c r="C4956" s="2"/>
      <c r="D4956" s="2" t="s">
        <v>11</v>
      </c>
      <c r="E4956" s="2">
        <v>10.0</v>
      </c>
      <c r="F4956" s="2" t="s">
        <v>12</v>
      </c>
      <c r="G4956" s="2"/>
      <c r="H4956" s="2"/>
      <c r="I4956" s="2"/>
    </row>
    <row r="4957">
      <c r="A4957" s="1" t="s">
        <v>5027</v>
      </c>
      <c r="B4957" s="2" t="s">
        <v>5008</v>
      </c>
      <c r="C4957" s="2"/>
      <c r="D4957" s="2" t="s">
        <v>11</v>
      </c>
      <c r="E4957" s="2">
        <v>10.0</v>
      </c>
      <c r="F4957" s="2" t="s">
        <v>12</v>
      </c>
      <c r="G4957" s="2"/>
      <c r="H4957" s="2"/>
      <c r="I4957" s="2"/>
    </row>
    <row r="4958">
      <c r="A4958" s="1" t="s">
        <v>5028</v>
      </c>
      <c r="B4958" s="2" t="s">
        <v>5008</v>
      </c>
      <c r="C4958" s="2"/>
      <c r="D4958" s="2" t="s">
        <v>11</v>
      </c>
      <c r="E4958" s="2">
        <v>10.0</v>
      </c>
      <c r="F4958" s="2" t="s">
        <v>12</v>
      </c>
      <c r="G4958" s="2"/>
      <c r="H4958" s="2"/>
      <c r="I4958" s="2"/>
    </row>
    <row r="4959">
      <c r="A4959" s="2" t="s">
        <v>5029</v>
      </c>
      <c r="B4959" s="2" t="s">
        <v>5008</v>
      </c>
      <c r="C4959" s="2"/>
      <c r="D4959" s="2" t="s">
        <v>37</v>
      </c>
      <c r="E4959" s="2">
        <v>10.0</v>
      </c>
      <c r="F4959" s="2" t="s">
        <v>12</v>
      </c>
      <c r="G4959" s="2"/>
      <c r="H4959" s="2"/>
      <c r="I4959" s="2"/>
    </row>
    <row r="4960">
      <c r="A4960" s="1" t="s">
        <v>5030</v>
      </c>
      <c r="B4960" s="2" t="s">
        <v>5008</v>
      </c>
      <c r="C4960" s="1"/>
      <c r="D4960" s="2"/>
      <c r="E4960" s="2"/>
      <c r="F4960" s="2"/>
      <c r="G4960" s="2"/>
      <c r="H4960" s="2"/>
      <c r="I4960" s="2"/>
    </row>
    <row r="4961">
      <c r="A4961" s="1" t="s">
        <v>5031</v>
      </c>
      <c r="B4961" s="2" t="s">
        <v>5008</v>
      </c>
      <c r="C4961" s="1"/>
      <c r="D4961" s="2"/>
      <c r="E4961" s="2"/>
      <c r="F4961" s="2"/>
      <c r="G4961" s="2"/>
      <c r="H4961" s="2"/>
      <c r="I4961" s="2"/>
    </row>
    <row r="4962">
      <c r="A4962" s="1" t="s">
        <v>5032</v>
      </c>
      <c r="B4962" s="2" t="s">
        <v>5008</v>
      </c>
      <c r="C4962" s="2"/>
      <c r="D4962" s="2" t="s">
        <v>11</v>
      </c>
      <c r="E4962" s="2">
        <v>10.0</v>
      </c>
      <c r="F4962" s="2" t="s">
        <v>12</v>
      </c>
      <c r="G4962" s="2"/>
      <c r="H4962" s="2"/>
      <c r="I4962" s="2"/>
    </row>
    <row r="4963">
      <c r="A4963" s="1" t="s">
        <v>5033</v>
      </c>
      <c r="B4963" s="2" t="s">
        <v>5008</v>
      </c>
      <c r="C4963" s="2"/>
      <c r="D4963" s="2" t="s">
        <v>11</v>
      </c>
      <c r="E4963" s="2">
        <v>10.0</v>
      </c>
      <c r="F4963" s="2" t="s">
        <v>12</v>
      </c>
      <c r="G4963" s="2"/>
      <c r="H4963" s="2"/>
      <c r="I4963" s="2"/>
    </row>
    <row r="4964">
      <c r="A4964" s="2" t="s">
        <v>5034</v>
      </c>
      <c r="B4964" s="2" t="s">
        <v>5008</v>
      </c>
      <c r="C4964" s="2"/>
      <c r="D4964" s="2" t="s">
        <v>11</v>
      </c>
      <c r="E4964" s="2">
        <v>10.0</v>
      </c>
      <c r="F4964" s="2" t="s">
        <v>12</v>
      </c>
      <c r="G4964" s="2"/>
      <c r="H4964" s="2"/>
      <c r="I4964" s="2"/>
    </row>
    <row r="4965">
      <c r="A4965" s="2" t="s">
        <v>5035</v>
      </c>
      <c r="B4965" s="2" t="s">
        <v>5008</v>
      </c>
      <c r="C4965" s="2"/>
      <c r="D4965" s="2" t="s">
        <v>11</v>
      </c>
      <c r="E4965" s="2">
        <v>10.0</v>
      </c>
      <c r="F4965" s="2" t="s">
        <v>12</v>
      </c>
      <c r="G4965" s="2"/>
      <c r="H4965" s="2"/>
      <c r="I4965" s="2"/>
    </row>
    <row r="4966">
      <c r="A4966" s="2" t="s">
        <v>5036</v>
      </c>
      <c r="B4966" s="2" t="s">
        <v>5008</v>
      </c>
      <c r="C4966" s="2"/>
      <c r="D4966" s="2" t="s">
        <v>11</v>
      </c>
      <c r="E4966" s="2">
        <v>10.0</v>
      </c>
      <c r="F4966" s="2" t="s">
        <v>12</v>
      </c>
      <c r="G4966" s="2"/>
      <c r="H4966" s="2"/>
      <c r="I4966" s="2"/>
    </row>
    <row r="4967">
      <c r="A4967" s="2" t="s">
        <v>5037</v>
      </c>
      <c r="B4967" s="2" t="s">
        <v>5038</v>
      </c>
      <c r="C4967" s="2"/>
      <c r="D4967" s="2" t="s">
        <v>37</v>
      </c>
      <c r="E4967" s="2">
        <v>10.0</v>
      </c>
      <c r="F4967" s="2" t="s">
        <v>12</v>
      </c>
      <c r="G4967" s="2"/>
      <c r="H4967" s="2"/>
      <c r="I4967" s="2"/>
    </row>
    <row r="4968">
      <c r="A4968" s="2" t="s">
        <v>5039</v>
      </c>
      <c r="B4968" s="2" t="s">
        <v>5038</v>
      </c>
      <c r="C4968" s="2"/>
      <c r="D4968" s="2" t="s">
        <v>11</v>
      </c>
      <c r="E4968" s="2">
        <v>10.0</v>
      </c>
      <c r="F4968" s="2" t="s">
        <v>12</v>
      </c>
      <c r="G4968" s="2"/>
      <c r="H4968" s="2"/>
      <c r="I4968" s="2"/>
    </row>
    <row r="4969">
      <c r="A4969" s="2" t="s">
        <v>5040</v>
      </c>
      <c r="B4969" s="2" t="s">
        <v>5038</v>
      </c>
      <c r="C4969" s="1"/>
      <c r="D4969" s="2"/>
      <c r="E4969" s="2"/>
      <c r="F4969" s="2"/>
      <c r="G4969" s="2"/>
      <c r="H4969" s="2"/>
      <c r="I4969" s="2"/>
    </row>
    <row r="4970">
      <c r="A4970" s="2" t="s">
        <v>5041</v>
      </c>
      <c r="B4970" s="2" t="s">
        <v>5038</v>
      </c>
      <c r="C4970" s="1"/>
      <c r="D4970" s="2"/>
      <c r="E4970" s="2"/>
      <c r="F4970" s="2"/>
      <c r="G4970" s="2"/>
      <c r="H4970" s="2"/>
      <c r="I4970" s="2"/>
    </row>
    <row r="4971">
      <c r="A4971" s="2" t="s">
        <v>5042</v>
      </c>
      <c r="B4971" s="2" t="s">
        <v>5038</v>
      </c>
      <c r="C4971" s="1"/>
      <c r="D4971" s="2"/>
      <c r="E4971" s="2"/>
      <c r="F4971" s="2"/>
      <c r="G4971" s="2"/>
      <c r="H4971" s="2"/>
      <c r="I4971" s="2"/>
    </row>
    <row r="4972">
      <c r="A4972" s="2" t="s">
        <v>5043</v>
      </c>
      <c r="B4972" s="2" t="s">
        <v>5038</v>
      </c>
      <c r="C4972" s="2"/>
      <c r="D4972" s="2" t="s">
        <v>37</v>
      </c>
      <c r="E4972" s="2"/>
      <c r="F4972" s="2" t="s">
        <v>12</v>
      </c>
      <c r="G4972" s="2"/>
      <c r="H4972" s="2"/>
      <c r="I4972" s="2"/>
    </row>
    <row r="4973">
      <c r="A4973" s="2" t="s">
        <v>5044</v>
      </c>
      <c r="B4973" s="2" t="s">
        <v>5038</v>
      </c>
      <c r="C4973" s="2"/>
      <c r="D4973" s="2" t="s">
        <v>11</v>
      </c>
      <c r="E4973" s="2">
        <v>10.0</v>
      </c>
      <c r="F4973" s="2" t="s">
        <v>12</v>
      </c>
      <c r="G4973" s="2"/>
      <c r="H4973" s="2"/>
      <c r="I4973" s="2"/>
    </row>
    <row r="4974">
      <c r="A4974" s="1" t="s">
        <v>5045</v>
      </c>
      <c r="B4974" s="2" t="s">
        <v>5038</v>
      </c>
      <c r="C4974" s="2"/>
      <c r="D4974" s="2" t="s">
        <v>11</v>
      </c>
      <c r="E4974" s="2">
        <v>10.0</v>
      </c>
      <c r="F4974" s="2" t="s">
        <v>12</v>
      </c>
      <c r="G4974" s="2"/>
      <c r="H4974" s="2"/>
      <c r="I4974" s="2"/>
    </row>
    <row r="4975">
      <c r="A4975" s="2" t="s">
        <v>5046</v>
      </c>
      <c r="B4975" s="2" t="s">
        <v>5038</v>
      </c>
      <c r="C4975" s="2"/>
      <c r="D4975" s="2" t="s">
        <v>11</v>
      </c>
      <c r="E4975" s="2">
        <v>10.0</v>
      </c>
      <c r="F4975" s="2" t="s">
        <v>12</v>
      </c>
      <c r="G4975" s="2"/>
      <c r="H4975" s="2"/>
      <c r="I4975" s="2"/>
    </row>
    <row r="4976">
      <c r="A4976" s="1" t="s">
        <v>5047</v>
      </c>
      <c r="B4976" s="2" t="s">
        <v>5038</v>
      </c>
      <c r="C4976" s="2"/>
      <c r="D4976" s="2" t="s">
        <v>11</v>
      </c>
      <c r="E4976" s="2">
        <v>10.0</v>
      </c>
      <c r="F4976" s="2" t="s">
        <v>12</v>
      </c>
      <c r="G4976" s="2"/>
      <c r="H4976" s="2"/>
      <c r="I4976" s="2"/>
    </row>
    <row r="4977">
      <c r="A4977" s="1" t="s">
        <v>5048</v>
      </c>
      <c r="B4977" s="2" t="s">
        <v>5038</v>
      </c>
      <c r="C4977" s="2"/>
      <c r="D4977" s="2" t="s">
        <v>11</v>
      </c>
      <c r="E4977" s="2">
        <v>10.0</v>
      </c>
      <c r="F4977" s="2" t="s">
        <v>12</v>
      </c>
      <c r="G4977" s="2"/>
      <c r="H4977" s="2"/>
      <c r="I4977" s="2"/>
    </row>
    <row r="4978">
      <c r="A4978" s="2" t="s">
        <v>5049</v>
      </c>
      <c r="B4978" s="2" t="s">
        <v>5038</v>
      </c>
      <c r="C4978" s="2"/>
      <c r="D4978" s="2" t="s">
        <v>1023</v>
      </c>
      <c r="E4978" s="2">
        <v>4.0</v>
      </c>
      <c r="F4978" s="2"/>
      <c r="G4978" s="2"/>
      <c r="H4978" s="2"/>
      <c r="I4978" s="2"/>
    </row>
    <row r="4979">
      <c r="A4979" s="2" t="s">
        <v>5050</v>
      </c>
      <c r="B4979" s="2" t="s">
        <v>5038</v>
      </c>
      <c r="C4979" s="1"/>
      <c r="D4979" s="2"/>
      <c r="E4979" s="2"/>
      <c r="F4979" s="2"/>
      <c r="G4979" s="2"/>
      <c r="H4979" s="2"/>
      <c r="I4979" s="2"/>
    </row>
    <row r="4980">
      <c r="A4980" s="2" t="s">
        <v>5051</v>
      </c>
      <c r="B4980" s="2" t="s">
        <v>5038</v>
      </c>
      <c r="C4980" s="1"/>
      <c r="D4980" s="2"/>
      <c r="E4980" s="2"/>
      <c r="F4980" s="2"/>
      <c r="G4980" s="2"/>
      <c r="H4980" s="2"/>
      <c r="I4980" s="2"/>
    </row>
    <row r="4981">
      <c r="A4981" s="2" t="s">
        <v>5052</v>
      </c>
      <c r="B4981" s="2" t="s">
        <v>5038</v>
      </c>
      <c r="C4981" s="2"/>
      <c r="D4981" s="2" t="s">
        <v>11</v>
      </c>
      <c r="E4981" s="2">
        <v>10.0</v>
      </c>
      <c r="F4981" s="2" t="s">
        <v>12</v>
      </c>
      <c r="G4981" s="2"/>
      <c r="H4981" s="2"/>
      <c r="I4981" s="2"/>
    </row>
    <row r="4982">
      <c r="A4982" s="2" t="s">
        <v>5053</v>
      </c>
      <c r="B4982" s="2" t="s">
        <v>5038</v>
      </c>
      <c r="C4982" s="1"/>
      <c r="D4982" s="2"/>
      <c r="E4982" s="2"/>
      <c r="F4982" s="2"/>
      <c r="G4982" s="2"/>
      <c r="H4982" s="2"/>
      <c r="I4982" s="2"/>
    </row>
    <row r="4983">
      <c r="A4983" s="2" t="s">
        <v>5054</v>
      </c>
      <c r="B4983" s="2" t="s">
        <v>5038</v>
      </c>
      <c r="C4983" s="1"/>
      <c r="D4983" s="2"/>
      <c r="E4983" s="2"/>
      <c r="F4983" s="2"/>
      <c r="G4983" s="2"/>
      <c r="H4983" s="2"/>
      <c r="I4983" s="2"/>
    </row>
    <row r="4984">
      <c r="A4984" s="2" t="s">
        <v>5055</v>
      </c>
      <c r="B4984" s="2" t="s">
        <v>5038</v>
      </c>
      <c r="C4984" s="2"/>
      <c r="D4984" s="2" t="s">
        <v>37</v>
      </c>
      <c r="E4984" s="2">
        <v>10.0</v>
      </c>
      <c r="F4984" s="2" t="s">
        <v>12</v>
      </c>
      <c r="G4984" s="2"/>
      <c r="H4984" s="2"/>
      <c r="I4984" s="2"/>
    </row>
    <row r="4985">
      <c r="A4985" s="2" t="s">
        <v>5056</v>
      </c>
      <c r="B4985" s="2" t="s">
        <v>5038</v>
      </c>
      <c r="C4985" s="2"/>
      <c r="D4985" s="2" t="s">
        <v>37</v>
      </c>
      <c r="E4985" s="2">
        <v>10.0</v>
      </c>
      <c r="F4985" s="2" t="s">
        <v>12</v>
      </c>
      <c r="G4985" s="2"/>
      <c r="H4985" s="2"/>
      <c r="I4985" s="2"/>
    </row>
    <row r="4986">
      <c r="A4986" s="2" t="s">
        <v>5057</v>
      </c>
      <c r="B4986" s="2" t="s">
        <v>5038</v>
      </c>
      <c r="C4986" s="2"/>
      <c r="D4986" s="2" t="s">
        <v>11</v>
      </c>
      <c r="E4986" s="2">
        <v>10.0</v>
      </c>
      <c r="F4986" s="2" t="s">
        <v>12</v>
      </c>
      <c r="G4986" s="2"/>
      <c r="H4986" s="2"/>
      <c r="I4986" s="2"/>
    </row>
    <row r="4987">
      <c r="A4987" s="2" t="s">
        <v>5058</v>
      </c>
      <c r="B4987" s="2" t="s">
        <v>5038</v>
      </c>
      <c r="C4987" s="2"/>
      <c r="D4987" s="2" t="s">
        <v>21</v>
      </c>
      <c r="E4987" s="2">
        <v>1.0</v>
      </c>
      <c r="F4987" s="2" t="s">
        <v>22</v>
      </c>
      <c r="G4987" s="2"/>
      <c r="H4987" s="2"/>
      <c r="I4987" s="2"/>
    </row>
    <row r="4988">
      <c r="A4988" s="2" t="s">
        <v>5059</v>
      </c>
      <c r="B4988" s="2" t="s">
        <v>5038</v>
      </c>
      <c r="C4988" s="2"/>
      <c r="D4988" s="2" t="s">
        <v>37</v>
      </c>
      <c r="E4988" s="2">
        <v>10.0</v>
      </c>
      <c r="F4988" s="2" t="s">
        <v>12</v>
      </c>
      <c r="G4988" s="2"/>
      <c r="H4988" s="2"/>
      <c r="I4988" s="2"/>
    </row>
    <row r="4989">
      <c r="A4989" s="2" t="s">
        <v>5060</v>
      </c>
      <c r="B4989" s="2" t="s">
        <v>5038</v>
      </c>
      <c r="C4989" s="1"/>
      <c r="D4989" s="2"/>
      <c r="E4989" s="2"/>
      <c r="F4989" s="2"/>
      <c r="G4989" s="2"/>
      <c r="H4989" s="2"/>
      <c r="I4989" s="2"/>
    </row>
    <row r="4990">
      <c r="A4990" s="2" t="s">
        <v>5061</v>
      </c>
      <c r="B4990" s="2" t="s">
        <v>5038</v>
      </c>
      <c r="C4990" s="2"/>
      <c r="D4990" s="2" t="s">
        <v>37</v>
      </c>
      <c r="E4990" s="2">
        <v>10.0</v>
      </c>
      <c r="F4990" s="2" t="s">
        <v>12</v>
      </c>
      <c r="G4990" s="2"/>
      <c r="H4990" s="2"/>
      <c r="I4990" s="2"/>
    </row>
    <row r="4991">
      <c r="A4991" s="2" t="s">
        <v>5062</v>
      </c>
      <c r="B4991" s="2" t="s">
        <v>5038</v>
      </c>
      <c r="C4991" s="1"/>
      <c r="D4991" s="2"/>
      <c r="E4991" s="2"/>
      <c r="F4991" s="2"/>
      <c r="G4991" s="2"/>
      <c r="H4991" s="2"/>
      <c r="I4991" s="2"/>
    </row>
    <row r="4992">
      <c r="A4992" s="2" t="s">
        <v>5063</v>
      </c>
      <c r="B4992" s="2" t="s">
        <v>5038</v>
      </c>
      <c r="C4992" s="1"/>
      <c r="D4992" s="2"/>
      <c r="E4992" s="2"/>
      <c r="F4992" s="2"/>
      <c r="G4992" s="2"/>
      <c r="H4992" s="2"/>
      <c r="I4992" s="2"/>
    </row>
    <row r="4993">
      <c r="A4993" s="2" t="s">
        <v>5064</v>
      </c>
      <c r="B4993" s="2" t="s">
        <v>5038</v>
      </c>
      <c r="C4993" s="1"/>
      <c r="D4993" s="2"/>
      <c r="E4993" s="2"/>
      <c r="F4993" s="2"/>
      <c r="G4993" s="2"/>
      <c r="H4993" s="2"/>
      <c r="I4993" s="2"/>
    </row>
    <row r="4994">
      <c r="A4994" s="2" t="s">
        <v>5065</v>
      </c>
      <c r="B4994" s="2" t="s">
        <v>5038</v>
      </c>
      <c r="C4994" s="1"/>
      <c r="D4994" s="2"/>
      <c r="E4994" s="2"/>
      <c r="F4994" s="2"/>
      <c r="G4994" s="2"/>
      <c r="H4994" s="2"/>
      <c r="I4994" s="2"/>
    </row>
    <row r="4995">
      <c r="A4995" s="2" t="s">
        <v>5066</v>
      </c>
      <c r="B4995" s="2" t="s">
        <v>5038</v>
      </c>
      <c r="C4995" s="1"/>
      <c r="D4995" s="2"/>
      <c r="E4995" s="2"/>
      <c r="F4995" s="2"/>
      <c r="G4995" s="2"/>
      <c r="H4995" s="2"/>
      <c r="I4995" s="2"/>
    </row>
    <row r="4996">
      <c r="A4996" s="2" t="s">
        <v>5067</v>
      </c>
      <c r="B4996" s="2" t="s">
        <v>5038</v>
      </c>
      <c r="C4996" s="1"/>
      <c r="D4996" s="2"/>
      <c r="E4996" s="2"/>
      <c r="F4996" s="2"/>
      <c r="G4996" s="2"/>
      <c r="H4996" s="2"/>
      <c r="I4996" s="2"/>
    </row>
    <row r="4997">
      <c r="A4997" s="1" t="s">
        <v>5068</v>
      </c>
      <c r="B4997" s="2" t="s">
        <v>5069</v>
      </c>
      <c r="C4997" s="2"/>
      <c r="D4997" s="2" t="s">
        <v>11</v>
      </c>
      <c r="E4997" s="2">
        <v>10.0</v>
      </c>
      <c r="F4997" s="2" t="s">
        <v>12</v>
      </c>
      <c r="G4997" s="2"/>
      <c r="H4997" s="2"/>
      <c r="I4997" s="2"/>
    </row>
    <row r="4998">
      <c r="A4998" s="1" t="s">
        <v>5070</v>
      </c>
      <c r="B4998" s="2" t="s">
        <v>5069</v>
      </c>
      <c r="C4998" s="2"/>
      <c r="D4998" s="2" t="s">
        <v>11</v>
      </c>
      <c r="E4998" s="2">
        <v>10.0</v>
      </c>
      <c r="F4998" s="2" t="s">
        <v>12</v>
      </c>
      <c r="G4998" s="2"/>
      <c r="H4998" s="2"/>
      <c r="I4998" s="2"/>
    </row>
    <row r="4999">
      <c r="A4999" s="2" t="s">
        <v>5071</v>
      </c>
      <c r="B4999" s="2" t="s">
        <v>5069</v>
      </c>
      <c r="C4999" s="2"/>
      <c r="D4999" s="2" t="s">
        <v>37</v>
      </c>
      <c r="E4999" s="2">
        <v>10.0</v>
      </c>
      <c r="F4999" s="2" t="s">
        <v>12</v>
      </c>
      <c r="G4999" s="2"/>
      <c r="H4999" s="2"/>
      <c r="I4999" s="2"/>
    </row>
    <row r="5000">
      <c r="A5000" s="2" t="s">
        <v>5072</v>
      </c>
      <c r="B5000" s="2" t="s">
        <v>5069</v>
      </c>
      <c r="C5000" s="2"/>
      <c r="D5000" s="2" t="s">
        <v>1023</v>
      </c>
      <c r="E5000" s="2">
        <v>4.0</v>
      </c>
      <c r="F5000" s="2"/>
      <c r="G5000" s="2"/>
      <c r="H5000" s="2"/>
      <c r="I5000" s="2"/>
    </row>
    <row r="5001">
      <c r="A5001" s="2" t="s">
        <v>5073</v>
      </c>
      <c r="B5001" s="2" t="s">
        <v>5069</v>
      </c>
      <c r="C5001" s="2"/>
      <c r="D5001" s="2" t="s">
        <v>11</v>
      </c>
      <c r="E5001" s="2">
        <v>10.0</v>
      </c>
      <c r="F5001" s="2" t="s">
        <v>12</v>
      </c>
      <c r="G5001" s="2"/>
      <c r="H5001" s="2"/>
      <c r="I5001" s="2"/>
    </row>
    <row r="5002">
      <c r="A5002" s="2" t="s">
        <v>5074</v>
      </c>
      <c r="B5002" s="2" t="s">
        <v>5069</v>
      </c>
      <c r="C5002" s="1"/>
      <c r="D5002" s="2"/>
      <c r="E5002" s="2"/>
      <c r="F5002" s="2"/>
      <c r="G5002" s="2"/>
      <c r="H5002" s="2"/>
      <c r="I5002" s="2"/>
    </row>
    <row r="5003">
      <c r="A5003" s="2" t="s">
        <v>5075</v>
      </c>
      <c r="B5003" s="2" t="s">
        <v>5069</v>
      </c>
      <c r="C5003" s="2"/>
      <c r="D5003" s="2" t="s">
        <v>21</v>
      </c>
      <c r="E5003" s="2">
        <v>1.0</v>
      </c>
      <c r="F5003" s="2" t="s">
        <v>22</v>
      </c>
      <c r="G5003" s="2"/>
      <c r="H5003" s="2"/>
      <c r="I5003" s="2"/>
    </row>
    <row r="5004">
      <c r="A5004" s="1" t="s">
        <v>5076</v>
      </c>
      <c r="B5004" s="2" t="s">
        <v>5069</v>
      </c>
      <c r="C5004" s="2"/>
      <c r="D5004" s="2" t="s">
        <v>11</v>
      </c>
      <c r="E5004" s="2">
        <v>10.0</v>
      </c>
      <c r="F5004" s="2" t="s">
        <v>12</v>
      </c>
      <c r="G5004" s="2"/>
      <c r="H5004" s="2"/>
      <c r="I5004" s="2"/>
    </row>
    <row r="5005">
      <c r="A5005" s="1" t="s">
        <v>5077</v>
      </c>
      <c r="B5005" s="2" t="s">
        <v>5069</v>
      </c>
      <c r="C5005" s="2"/>
      <c r="D5005" s="2" t="s">
        <v>37</v>
      </c>
      <c r="E5005" s="2">
        <v>15.0</v>
      </c>
      <c r="F5005" s="2" t="s">
        <v>12</v>
      </c>
      <c r="G5005" s="2"/>
      <c r="H5005" s="2"/>
      <c r="I5005" s="2"/>
    </row>
    <row r="5006">
      <c r="A5006" s="1" t="s">
        <v>5078</v>
      </c>
      <c r="B5006" s="2" t="s">
        <v>5069</v>
      </c>
      <c r="C5006" s="2"/>
      <c r="D5006" s="2" t="s">
        <v>37</v>
      </c>
      <c r="E5006" s="2">
        <v>10.0</v>
      </c>
      <c r="F5006" s="2" t="s">
        <v>12</v>
      </c>
      <c r="G5006" s="2"/>
      <c r="H5006" s="2"/>
      <c r="I5006" s="2"/>
    </row>
    <row r="5007">
      <c r="A5007" s="1" t="s">
        <v>5079</v>
      </c>
      <c r="B5007" s="2" t="s">
        <v>5069</v>
      </c>
      <c r="C5007" s="2"/>
      <c r="D5007" s="2" t="s">
        <v>37</v>
      </c>
      <c r="E5007" s="2">
        <v>15.0</v>
      </c>
      <c r="F5007" s="2" t="s">
        <v>12</v>
      </c>
      <c r="G5007" s="2"/>
      <c r="H5007" s="2"/>
      <c r="I5007" s="2"/>
    </row>
    <row r="5008">
      <c r="A5008" s="2" t="s">
        <v>5080</v>
      </c>
      <c r="B5008" s="2" t="s">
        <v>5069</v>
      </c>
      <c r="C5008" s="1"/>
      <c r="D5008" s="2"/>
      <c r="E5008" s="2"/>
      <c r="F5008" s="2"/>
      <c r="G5008" s="2"/>
      <c r="H5008" s="2"/>
      <c r="I5008" s="2"/>
    </row>
    <row r="5009">
      <c r="A5009" s="2" t="s">
        <v>5081</v>
      </c>
      <c r="B5009" s="2" t="s">
        <v>5069</v>
      </c>
      <c r="C5009" s="2"/>
      <c r="D5009" s="2" t="s">
        <v>11</v>
      </c>
      <c r="E5009" s="2">
        <v>10.0</v>
      </c>
      <c r="F5009" s="2" t="s">
        <v>12</v>
      </c>
      <c r="G5009" s="2"/>
      <c r="H5009" s="2"/>
      <c r="I5009" s="2"/>
    </row>
    <row r="5010">
      <c r="A5010" s="2" t="s">
        <v>5082</v>
      </c>
      <c r="B5010" s="2" t="s">
        <v>5069</v>
      </c>
      <c r="C5010" s="2"/>
      <c r="D5010" s="2" t="s">
        <v>11</v>
      </c>
      <c r="E5010" s="2">
        <v>10.0</v>
      </c>
      <c r="F5010" s="2" t="s">
        <v>12</v>
      </c>
      <c r="G5010" s="2"/>
      <c r="H5010" s="2"/>
      <c r="I5010" s="2"/>
    </row>
    <row r="5011">
      <c r="A5011" s="1" t="s">
        <v>5083</v>
      </c>
      <c r="B5011" s="2" t="s">
        <v>5069</v>
      </c>
      <c r="C5011" s="2"/>
      <c r="D5011" s="2" t="s">
        <v>11</v>
      </c>
      <c r="E5011" s="2">
        <v>10.0</v>
      </c>
      <c r="F5011" s="2" t="s">
        <v>12</v>
      </c>
      <c r="G5011" s="2"/>
      <c r="H5011" s="2"/>
      <c r="I5011" s="2"/>
    </row>
    <row r="5012">
      <c r="A5012" s="1" t="s">
        <v>5084</v>
      </c>
      <c r="B5012" s="2" t="s">
        <v>5069</v>
      </c>
      <c r="C5012" s="2"/>
      <c r="D5012" s="2" t="s">
        <v>11</v>
      </c>
      <c r="E5012" s="2">
        <v>10.0</v>
      </c>
      <c r="F5012" s="2" t="s">
        <v>12</v>
      </c>
      <c r="G5012" s="2"/>
      <c r="H5012" s="2"/>
      <c r="I5012" s="2"/>
    </row>
    <row r="5013">
      <c r="A5013" s="2" t="s">
        <v>5085</v>
      </c>
      <c r="B5013" s="2" t="s">
        <v>5069</v>
      </c>
      <c r="C5013" s="2"/>
      <c r="D5013" s="2" t="s">
        <v>11</v>
      </c>
      <c r="E5013" s="2">
        <v>10.0</v>
      </c>
      <c r="F5013" s="2" t="s">
        <v>12</v>
      </c>
      <c r="G5013" s="2"/>
      <c r="H5013" s="2"/>
      <c r="I5013" s="2"/>
    </row>
    <row r="5014">
      <c r="A5014" s="2" t="s">
        <v>5086</v>
      </c>
      <c r="B5014" s="2" t="s">
        <v>5069</v>
      </c>
      <c r="C5014" s="2"/>
      <c r="D5014" s="2" t="s">
        <v>11</v>
      </c>
      <c r="E5014" s="2">
        <v>10.0</v>
      </c>
      <c r="F5014" s="2" t="s">
        <v>12</v>
      </c>
      <c r="G5014" s="2"/>
      <c r="H5014" s="2"/>
      <c r="I5014" s="2"/>
    </row>
    <row r="5015">
      <c r="A5015" s="1" t="s">
        <v>5087</v>
      </c>
      <c r="B5015" s="2" t="s">
        <v>5069</v>
      </c>
      <c r="C5015" s="2"/>
      <c r="D5015" s="2" t="s">
        <v>11</v>
      </c>
      <c r="E5015" s="2">
        <v>10.0</v>
      </c>
      <c r="F5015" s="2" t="s">
        <v>12</v>
      </c>
      <c r="G5015" s="2"/>
      <c r="H5015" s="2"/>
      <c r="I5015" s="2"/>
    </row>
    <row r="5016">
      <c r="A5016" s="1" t="s">
        <v>5088</v>
      </c>
      <c r="B5016" s="2" t="s">
        <v>5069</v>
      </c>
      <c r="C5016" s="2"/>
      <c r="D5016" s="2" t="s">
        <v>11</v>
      </c>
      <c r="E5016" s="2">
        <v>10.0</v>
      </c>
      <c r="F5016" s="2" t="s">
        <v>12</v>
      </c>
      <c r="G5016" s="2"/>
      <c r="H5016" s="2"/>
      <c r="I5016" s="2"/>
    </row>
    <row r="5017">
      <c r="A5017" s="1" t="s">
        <v>5089</v>
      </c>
      <c r="B5017" s="2" t="s">
        <v>5069</v>
      </c>
      <c r="C5017" s="2"/>
      <c r="D5017" s="2" t="s">
        <v>11</v>
      </c>
      <c r="E5017" s="2">
        <v>10.0</v>
      </c>
      <c r="F5017" s="2" t="s">
        <v>12</v>
      </c>
      <c r="G5017" s="2"/>
      <c r="H5017" s="2"/>
      <c r="I5017" s="2"/>
    </row>
    <row r="5018">
      <c r="A5018" s="1" t="s">
        <v>5090</v>
      </c>
      <c r="B5018" s="2" t="s">
        <v>5069</v>
      </c>
      <c r="C5018" s="2"/>
      <c r="D5018" s="2" t="s">
        <v>11</v>
      </c>
      <c r="E5018" s="2">
        <v>10.0</v>
      </c>
      <c r="F5018" s="2" t="s">
        <v>12</v>
      </c>
      <c r="G5018" s="2"/>
      <c r="H5018" s="2"/>
      <c r="I5018" s="2"/>
    </row>
    <row r="5019">
      <c r="A5019" s="1" t="s">
        <v>5091</v>
      </c>
      <c r="B5019" s="2" t="s">
        <v>5069</v>
      </c>
      <c r="C5019" s="2"/>
      <c r="D5019" s="2" t="s">
        <v>11</v>
      </c>
      <c r="E5019" s="2">
        <v>10.0</v>
      </c>
      <c r="F5019" s="2" t="s">
        <v>12</v>
      </c>
      <c r="G5019" s="2"/>
      <c r="H5019" s="2"/>
      <c r="I5019" s="2"/>
    </row>
    <row r="5020">
      <c r="A5020" s="1" t="s">
        <v>5092</v>
      </c>
      <c r="B5020" s="2" t="s">
        <v>5069</v>
      </c>
      <c r="C5020" s="2"/>
      <c r="D5020" s="2" t="s">
        <v>11</v>
      </c>
      <c r="E5020" s="2">
        <v>10.0</v>
      </c>
      <c r="F5020" s="2" t="s">
        <v>12</v>
      </c>
      <c r="G5020" s="2"/>
      <c r="H5020" s="2"/>
      <c r="I5020" s="2"/>
    </row>
    <row r="5021">
      <c r="A5021" s="2" t="s">
        <v>5093</v>
      </c>
      <c r="B5021" s="2" t="s">
        <v>5069</v>
      </c>
      <c r="C5021" s="2"/>
      <c r="D5021" s="2" t="s">
        <v>11</v>
      </c>
      <c r="E5021" s="2">
        <v>10.0</v>
      </c>
      <c r="F5021" s="2" t="s">
        <v>12</v>
      </c>
      <c r="G5021" s="2"/>
      <c r="H5021" s="2"/>
      <c r="I5021" s="2"/>
    </row>
    <row r="5022">
      <c r="A5022" s="2" t="s">
        <v>5094</v>
      </c>
      <c r="B5022" s="2" t="s">
        <v>5069</v>
      </c>
      <c r="C5022" s="2"/>
      <c r="D5022" s="2" t="s">
        <v>37</v>
      </c>
      <c r="E5022" s="2">
        <v>10.0</v>
      </c>
      <c r="F5022" s="2" t="s">
        <v>12</v>
      </c>
      <c r="G5022" s="2"/>
      <c r="H5022" s="2"/>
      <c r="I5022" s="2"/>
    </row>
    <row r="5023">
      <c r="A5023" s="1" t="s">
        <v>5095</v>
      </c>
      <c r="B5023" s="2" t="s">
        <v>5096</v>
      </c>
      <c r="C5023" s="2"/>
      <c r="D5023" s="2" t="s">
        <v>11</v>
      </c>
      <c r="E5023" s="2">
        <v>10.0</v>
      </c>
      <c r="F5023" s="2" t="s">
        <v>12</v>
      </c>
      <c r="G5023" s="2"/>
      <c r="H5023" s="2"/>
      <c r="I5023" s="2"/>
    </row>
    <row r="5024">
      <c r="A5024" s="1" t="s">
        <v>5097</v>
      </c>
      <c r="B5024" s="2" t="s">
        <v>5096</v>
      </c>
      <c r="C5024" s="2"/>
      <c r="D5024" s="2" t="s">
        <v>11</v>
      </c>
      <c r="E5024" s="2">
        <v>10.0</v>
      </c>
      <c r="F5024" s="2" t="s">
        <v>12</v>
      </c>
      <c r="G5024" s="2"/>
      <c r="H5024" s="2"/>
      <c r="I5024" s="2"/>
    </row>
    <row r="5025">
      <c r="A5025" s="1" t="s">
        <v>5098</v>
      </c>
      <c r="B5025" s="2" t="s">
        <v>5096</v>
      </c>
      <c r="C5025" s="2"/>
      <c r="D5025" s="2" t="s">
        <v>11</v>
      </c>
      <c r="E5025" s="2">
        <v>10.0</v>
      </c>
      <c r="F5025" s="2" t="s">
        <v>12</v>
      </c>
      <c r="G5025" s="2"/>
      <c r="H5025" s="2"/>
      <c r="I5025" s="2"/>
    </row>
    <row r="5026">
      <c r="A5026" s="1" t="s">
        <v>5099</v>
      </c>
      <c r="B5026" s="2" t="s">
        <v>5096</v>
      </c>
      <c r="C5026" s="2"/>
      <c r="D5026" s="2" t="s">
        <v>11</v>
      </c>
      <c r="E5026" s="2">
        <v>10.0</v>
      </c>
      <c r="F5026" s="2" t="s">
        <v>12</v>
      </c>
      <c r="G5026" s="2"/>
      <c r="H5026" s="2"/>
      <c r="I5026" s="2"/>
    </row>
    <row r="5027">
      <c r="A5027" s="2" t="s">
        <v>5100</v>
      </c>
      <c r="B5027" s="2" t="s">
        <v>5096</v>
      </c>
      <c r="C5027" s="2"/>
      <c r="D5027" s="2" t="s">
        <v>11</v>
      </c>
      <c r="E5027" s="2">
        <v>10.0</v>
      </c>
      <c r="F5027" s="2" t="s">
        <v>12</v>
      </c>
      <c r="G5027" s="2"/>
      <c r="H5027" s="2"/>
      <c r="I5027" s="2"/>
    </row>
    <row r="5028">
      <c r="A5028" s="1" t="s">
        <v>5101</v>
      </c>
      <c r="B5028" s="2" t="s">
        <v>5096</v>
      </c>
      <c r="C5028" s="2"/>
      <c r="D5028" s="2" t="s">
        <v>11</v>
      </c>
      <c r="E5028" s="2">
        <v>10.0</v>
      </c>
      <c r="F5028" s="2" t="s">
        <v>12</v>
      </c>
      <c r="G5028" s="2"/>
      <c r="H5028" s="2"/>
      <c r="I5028" s="2"/>
    </row>
    <row r="5029">
      <c r="A5029" s="1" t="s">
        <v>5102</v>
      </c>
      <c r="B5029" s="2" t="s">
        <v>5096</v>
      </c>
      <c r="C5029" s="2"/>
      <c r="D5029" s="2" t="s">
        <v>11</v>
      </c>
      <c r="E5029" s="2">
        <v>10.0</v>
      </c>
      <c r="F5029" s="2" t="s">
        <v>12</v>
      </c>
      <c r="G5029" s="2"/>
      <c r="H5029" s="2"/>
      <c r="I5029" s="2"/>
    </row>
    <row r="5030">
      <c r="A5030" s="1" t="s">
        <v>5103</v>
      </c>
      <c r="B5030" s="2" t="s">
        <v>5096</v>
      </c>
      <c r="C5030" s="2"/>
      <c r="D5030" s="2" t="s">
        <v>11</v>
      </c>
      <c r="E5030" s="2">
        <v>10.0</v>
      </c>
      <c r="F5030" s="2" t="s">
        <v>12</v>
      </c>
      <c r="G5030" s="2"/>
      <c r="H5030" s="2"/>
      <c r="I5030" s="2"/>
    </row>
    <row r="5031">
      <c r="A5031" s="1" t="s">
        <v>5104</v>
      </c>
      <c r="B5031" s="2" t="s">
        <v>5096</v>
      </c>
      <c r="C5031" s="2"/>
      <c r="D5031" s="2" t="s">
        <v>11</v>
      </c>
      <c r="E5031" s="2">
        <v>10.0</v>
      </c>
      <c r="F5031" s="2" t="s">
        <v>12</v>
      </c>
      <c r="G5031" s="2"/>
      <c r="H5031" s="2"/>
      <c r="I5031" s="2"/>
    </row>
    <row r="5032">
      <c r="A5032" s="1" t="s">
        <v>5105</v>
      </c>
      <c r="B5032" s="2" t="s">
        <v>5096</v>
      </c>
      <c r="C5032" s="2"/>
      <c r="D5032" s="2" t="s">
        <v>11</v>
      </c>
      <c r="E5032" s="2">
        <v>10.0</v>
      </c>
      <c r="F5032" s="2" t="s">
        <v>12</v>
      </c>
      <c r="G5032" s="2"/>
      <c r="H5032" s="2"/>
      <c r="I5032" s="2"/>
    </row>
    <row r="5033">
      <c r="A5033" s="1" t="s">
        <v>5106</v>
      </c>
      <c r="B5033" s="2" t="s">
        <v>5096</v>
      </c>
      <c r="C5033" s="2"/>
      <c r="D5033" s="2" t="s">
        <v>11</v>
      </c>
      <c r="E5033" s="2">
        <v>10.0</v>
      </c>
      <c r="F5033" s="2" t="s">
        <v>12</v>
      </c>
      <c r="G5033" s="2"/>
      <c r="H5033" s="2"/>
      <c r="I5033" s="2"/>
    </row>
    <row r="5034">
      <c r="A5034" s="2" t="s">
        <v>5107</v>
      </c>
      <c r="B5034" s="2" t="s">
        <v>5096</v>
      </c>
      <c r="C5034" s="2"/>
      <c r="D5034" s="2" t="s">
        <v>11</v>
      </c>
      <c r="E5034" s="2">
        <v>10.0</v>
      </c>
      <c r="F5034" s="2" t="s">
        <v>12</v>
      </c>
      <c r="G5034" s="2"/>
      <c r="H5034" s="2"/>
      <c r="I5034" s="2"/>
    </row>
    <row r="5035">
      <c r="A5035" s="2" t="s">
        <v>5108</v>
      </c>
      <c r="B5035" s="2" t="s">
        <v>5096</v>
      </c>
      <c r="C5035" s="2"/>
      <c r="D5035" s="2" t="s">
        <v>11</v>
      </c>
      <c r="E5035" s="2">
        <v>10.0</v>
      </c>
      <c r="F5035" s="2" t="s">
        <v>12</v>
      </c>
      <c r="G5035" s="2"/>
      <c r="H5035" s="2"/>
      <c r="I5035" s="2"/>
    </row>
    <row r="5036">
      <c r="A5036" s="1" t="s">
        <v>5109</v>
      </c>
      <c r="B5036" s="2" t="s">
        <v>5096</v>
      </c>
      <c r="C5036" s="2"/>
      <c r="D5036" s="2" t="s">
        <v>11</v>
      </c>
      <c r="E5036" s="2">
        <v>10.0</v>
      </c>
      <c r="F5036" s="2" t="s">
        <v>12</v>
      </c>
      <c r="G5036" s="2"/>
      <c r="H5036" s="2"/>
      <c r="I5036" s="2"/>
    </row>
    <row r="5037">
      <c r="A5037" s="1" t="s">
        <v>5110</v>
      </c>
      <c r="B5037" s="2" t="s">
        <v>5096</v>
      </c>
      <c r="C5037" s="2"/>
      <c r="D5037" s="2" t="s">
        <v>11</v>
      </c>
      <c r="E5037" s="2">
        <v>10.0</v>
      </c>
      <c r="F5037" s="2" t="s">
        <v>12</v>
      </c>
      <c r="G5037" s="2"/>
      <c r="H5037" s="2"/>
      <c r="I5037" s="2"/>
    </row>
    <row r="5038">
      <c r="A5038" s="1" t="s">
        <v>5111</v>
      </c>
      <c r="B5038" s="2" t="s">
        <v>5112</v>
      </c>
      <c r="C5038" s="2"/>
      <c r="D5038" s="2" t="s">
        <v>11</v>
      </c>
      <c r="E5038" s="2">
        <v>10.0</v>
      </c>
      <c r="F5038" s="2" t="s">
        <v>12</v>
      </c>
      <c r="G5038" s="2"/>
      <c r="H5038" s="2"/>
      <c r="I5038" s="2"/>
    </row>
    <row r="5039">
      <c r="A5039" s="1" t="s">
        <v>5113</v>
      </c>
      <c r="B5039" s="2" t="s">
        <v>5112</v>
      </c>
      <c r="C5039" s="2"/>
      <c r="D5039" s="2" t="s">
        <v>11</v>
      </c>
      <c r="E5039" s="2">
        <v>10.0</v>
      </c>
      <c r="F5039" s="2" t="s">
        <v>12</v>
      </c>
      <c r="G5039" s="2"/>
      <c r="H5039" s="2"/>
      <c r="I5039" s="2"/>
    </row>
    <row r="5040">
      <c r="A5040" s="2" t="s">
        <v>5114</v>
      </c>
      <c r="B5040" s="2" t="s">
        <v>5112</v>
      </c>
      <c r="C5040" s="1"/>
      <c r="D5040" s="2"/>
      <c r="E5040" s="2"/>
      <c r="F5040" s="2"/>
      <c r="G5040" s="2"/>
      <c r="H5040" s="2"/>
      <c r="I5040" s="2"/>
    </row>
    <row r="5041">
      <c r="A5041" s="2" t="s">
        <v>5115</v>
      </c>
      <c r="B5041" s="2" t="s">
        <v>5112</v>
      </c>
      <c r="C5041" s="2"/>
      <c r="D5041" s="2"/>
      <c r="E5041" s="2"/>
      <c r="F5041" s="2"/>
      <c r="G5041" s="2"/>
      <c r="H5041" s="2"/>
      <c r="I5041" s="2"/>
    </row>
    <row r="5042">
      <c r="A5042" s="2" t="s">
        <v>5116</v>
      </c>
      <c r="B5042" s="2" t="s">
        <v>5112</v>
      </c>
      <c r="C5042" s="1"/>
      <c r="D5042" s="2"/>
      <c r="E5042" s="2"/>
      <c r="F5042" s="2"/>
      <c r="G5042" s="2"/>
      <c r="H5042" s="2"/>
      <c r="I5042" s="2"/>
    </row>
    <row r="5043">
      <c r="A5043" s="2" t="s">
        <v>5117</v>
      </c>
      <c r="B5043" s="2" t="s">
        <v>5112</v>
      </c>
      <c r="C5043" s="2"/>
      <c r="D5043" s="2" t="s">
        <v>21</v>
      </c>
      <c r="E5043" s="2">
        <v>30.0</v>
      </c>
      <c r="F5043" s="2" t="s">
        <v>22</v>
      </c>
      <c r="G5043" s="2"/>
      <c r="H5043" s="2"/>
      <c r="I5043" s="2"/>
    </row>
    <row r="5044">
      <c r="A5044" s="2" t="s">
        <v>5118</v>
      </c>
      <c r="B5044" s="2" t="s">
        <v>5112</v>
      </c>
      <c r="C5044" s="2"/>
      <c r="D5044" s="2" t="s">
        <v>37</v>
      </c>
      <c r="E5044" s="2">
        <v>30.0</v>
      </c>
      <c r="F5044" s="2" t="s">
        <v>22</v>
      </c>
      <c r="G5044" s="2"/>
      <c r="H5044" s="2"/>
      <c r="I5044" s="2"/>
    </row>
    <row r="5045">
      <c r="A5045" s="2" t="s">
        <v>5119</v>
      </c>
      <c r="B5045" s="2" t="s">
        <v>5112</v>
      </c>
      <c r="C5045" s="1"/>
      <c r="D5045" s="2"/>
      <c r="E5045" s="2"/>
      <c r="F5045" s="2"/>
      <c r="G5045" s="2"/>
      <c r="H5045" s="2"/>
      <c r="I5045" s="2"/>
    </row>
    <row r="5046">
      <c r="A5046" s="2" t="s">
        <v>5120</v>
      </c>
      <c r="B5046" s="2" t="s">
        <v>5112</v>
      </c>
      <c r="C5046" s="1"/>
      <c r="D5046" s="2"/>
      <c r="E5046" s="2"/>
      <c r="F5046" s="2"/>
      <c r="G5046" s="2"/>
      <c r="H5046" s="2"/>
      <c r="I5046" s="2"/>
    </row>
    <row r="5047">
      <c r="A5047" s="2" t="s">
        <v>5121</v>
      </c>
      <c r="B5047" s="2" t="s">
        <v>5112</v>
      </c>
      <c r="C5047" s="1"/>
      <c r="D5047" s="2"/>
      <c r="E5047" s="2"/>
      <c r="F5047" s="2"/>
      <c r="G5047" s="2"/>
      <c r="H5047" s="2"/>
      <c r="I5047" s="2"/>
    </row>
    <row r="5048">
      <c r="A5048" s="2" t="s">
        <v>5122</v>
      </c>
      <c r="B5048" s="2" t="s">
        <v>5112</v>
      </c>
      <c r="C5048" s="2"/>
      <c r="D5048" s="2" t="s">
        <v>37</v>
      </c>
      <c r="E5048" s="2">
        <v>20.0</v>
      </c>
      <c r="F5048" s="2" t="s">
        <v>12</v>
      </c>
      <c r="G5048" s="2"/>
      <c r="H5048" s="2"/>
      <c r="I5048" s="2"/>
    </row>
    <row r="5049">
      <c r="A5049" s="2" t="s">
        <v>5123</v>
      </c>
      <c r="B5049" s="2" t="s">
        <v>5112</v>
      </c>
      <c r="C5049" s="2"/>
      <c r="D5049" s="2" t="s">
        <v>37</v>
      </c>
      <c r="E5049" s="2">
        <v>30.0</v>
      </c>
      <c r="F5049" s="2" t="s">
        <v>22</v>
      </c>
      <c r="G5049" s="2"/>
      <c r="H5049" s="2"/>
      <c r="I5049" s="2"/>
    </row>
    <row r="5050">
      <c r="A5050" s="2" t="s">
        <v>5124</v>
      </c>
      <c r="B5050" s="2" t="s">
        <v>5112</v>
      </c>
      <c r="C5050" s="2"/>
      <c r="D5050" s="2" t="s">
        <v>11</v>
      </c>
      <c r="E5050" s="2"/>
      <c r="F5050" s="2"/>
      <c r="G5050" s="2"/>
      <c r="H5050" s="2"/>
      <c r="I5050" s="2"/>
    </row>
    <row r="5051">
      <c r="A5051" s="2" t="s">
        <v>5125</v>
      </c>
      <c r="B5051" s="2" t="s">
        <v>5112</v>
      </c>
      <c r="C5051" s="1"/>
      <c r="D5051" s="2"/>
      <c r="E5051" s="2"/>
      <c r="F5051" s="2"/>
      <c r="G5051" s="2"/>
      <c r="H5051" s="2"/>
      <c r="I5051" s="2"/>
    </row>
    <row r="5052">
      <c r="A5052" s="2" t="s">
        <v>5126</v>
      </c>
      <c r="B5052" s="2" t="s">
        <v>5112</v>
      </c>
      <c r="C5052" s="1"/>
      <c r="D5052" s="2"/>
      <c r="E5052" s="2"/>
      <c r="F5052" s="2"/>
      <c r="G5052" s="2"/>
      <c r="H5052" s="2"/>
      <c r="I5052" s="2"/>
    </row>
    <row r="5053">
      <c r="A5053" s="2" t="s">
        <v>5127</v>
      </c>
      <c r="B5053" s="2" t="s">
        <v>5112</v>
      </c>
      <c r="C5053" s="1"/>
      <c r="D5053" s="2"/>
      <c r="E5053" s="2"/>
      <c r="F5053" s="2"/>
      <c r="G5053" s="2"/>
      <c r="H5053" s="2"/>
      <c r="I5053" s="2"/>
    </row>
    <row r="5054">
      <c r="A5054" s="2" t="s">
        <v>5128</v>
      </c>
      <c r="B5054" s="2" t="s">
        <v>5112</v>
      </c>
      <c r="C5054" s="1"/>
      <c r="D5054" s="2"/>
      <c r="E5054" s="2"/>
      <c r="F5054" s="2"/>
      <c r="G5054" s="2"/>
      <c r="H5054" s="2"/>
      <c r="I5054" s="2"/>
    </row>
    <row r="5055">
      <c r="A5055" s="2" t="s">
        <v>5129</v>
      </c>
      <c r="B5055" s="2" t="s">
        <v>5112</v>
      </c>
      <c r="C5055" s="1"/>
      <c r="D5055" s="2"/>
      <c r="E5055" s="2"/>
      <c r="F5055" s="2"/>
      <c r="G5055" s="2"/>
      <c r="H5055" s="2"/>
      <c r="I5055" s="2"/>
    </row>
    <row r="5056">
      <c r="A5056" s="2" t="s">
        <v>5130</v>
      </c>
      <c r="B5056" s="2" t="s">
        <v>5112</v>
      </c>
      <c r="C5056" s="1"/>
      <c r="D5056" s="2"/>
      <c r="E5056" s="2"/>
      <c r="F5056" s="2"/>
      <c r="G5056" s="2"/>
      <c r="H5056" s="2"/>
      <c r="I5056" s="2"/>
    </row>
    <row r="5057">
      <c r="A5057" s="1" t="s">
        <v>5131</v>
      </c>
      <c r="B5057" s="2" t="s">
        <v>5112</v>
      </c>
      <c r="C5057" s="1"/>
      <c r="D5057" s="2"/>
      <c r="E5057" s="2"/>
      <c r="F5057" s="2"/>
      <c r="G5057" s="2"/>
      <c r="H5057" s="2"/>
      <c r="I5057" s="2"/>
    </row>
    <row r="5058">
      <c r="A5058" s="2" t="s">
        <v>5132</v>
      </c>
      <c r="B5058" s="2" t="s">
        <v>5112</v>
      </c>
      <c r="C5058" s="1"/>
      <c r="D5058" s="2"/>
      <c r="E5058" s="2"/>
      <c r="F5058" s="2"/>
      <c r="G5058" s="2"/>
      <c r="H5058" s="2"/>
      <c r="I5058" s="2"/>
    </row>
    <row r="5059">
      <c r="A5059" s="2" t="s">
        <v>5133</v>
      </c>
      <c r="B5059" s="2" t="s">
        <v>5112</v>
      </c>
      <c r="C5059" s="2"/>
      <c r="D5059" s="2" t="s">
        <v>11</v>
      </c>
      <c r="E5059" s="2">
        <v>10.0</v>
      </c>
      <c r="F5059" s="2" t="s">
        <v>12</v>
      </c>
      <c r="G5059" s="2"/>
      <c r="H5059" s="2"/>
      <c r="I5059" s="2"/>
    </row>
    <row r="5060">
      <c r="A5060" s="2" t="s">
        <v>5134</v>
      </c>
      <c r="B5060" s="2" t="s">
        <v>5112</v>
      </c>
      <c r="C5060" s="2"/>
      <c r="D5060" s="2" t="s">
        <v>11</v>
      </c>
      <c r="E5060" s="2">
        <v>20.0</v>
      </c>
      <c r="F5060" s="2" t="s">
        <v>12</v>
      </c>
      <c r="G5060" s="2"/>
      <c r="H5060" s="2"/>
      <c r="I5060" s="2"/>
    </row>
    <row r="5061">
      <c r="A5061" s="2" t="s">
        <v>5135</v>
      </c>
      <c r="B5061" s="2" t="s">
        <v>5112</v>
      </c>
      <c r="C5061" s="2"/>
      <c r="D5061" s="2" t="s">
        <v>11</v>
      </c>
      <c r="E5061" s="2">
        <v>15.0</v>
      </c>
      <c r="F5061" s="2" t="s">
        <v>12</v>
      </c>
      <c r="G5061" s="2"/>
      <c r="H5061" s="2"/>
      <c r="I5061" s="2"/>
    </row>
    <row r="5062">
      <c r="A5062" s="2" t="s">
        <v>5136</v>
      </c>
      <c r="B5062" s="2" t="s">
        <v>5112</v>
      </c>
      <c r="C5062" s="1"/>
      <c r="D5062" s="2"/>
      <c r="E5062" s="2"/>
      <c r="F5062" s="2"/>
      <c r="G5062" s="2"/>
      <c r="H5062" s="2"/>
      <c r="I5062" s="2"/>
    </row>
    <row r="5063">
      <c r="A5063" s="2" t="s">
        <v>5137</v>
      </c>
      <c r="B5063" s="2" t="s">
        <v>5112</v>
      </c>
      <c r="C5063" s="2"/>
      <c r="D5063" s="2" t="s">
        <v>37</v>
      </c>
      <c r="E5063" s="2">
        <v>10.0</v>
      </c>
      <c r="F5063" s="2" t="s">
        <v>12</v>
      </c>
      <c r="G5063" s="2"/>
      <c r="H5063" s="2"/>
      <c r="I5063" s="2"/>
    </row>
    <row r="5064">
      <c r="A5064" s="2" t="s">
        <v>5138</v>
      </c>
      <c r="B5064" s="2" t="s">
        <v>5112</v>
      </c>
      <c r="C5064" s="2"/>
      <c r="D5064" s="2" t="s">
        <v>11</v>
      </c>
      <c r="E5064" s="2">
        <v>10.0</v>
      </c>
      <c r="F5064" s="2" t="s">
        <v>12</v>
      </c>
      <c r="G5064" s="2"/>
      <c r="H5064" s="2"/>
      <c r="I5064" s="2"/>
    </row>
    <row r="5065">
      <c r="A5065" s="2" t="s">
        <v>5139</v>
      </c>
      <c r="B5065" s="2" t="s">
        <v>5112</v>
      </c>
      <c r="C5065" s="2"/>
      <c r="D5065" s="2" t="s">
        <v>37</v>
      </c>
      <c r="E5065" s="2">
        <v>10.0</v>
      </c>
      <c r="F5065" s="2" t="s">
        <v>12</v>
      </c>
      <c r="G5065" s="2"/>
      <c r="H5065" s="2"/>
      <c r="I5065" s="2"/>
    </row>
    <row r="5066">
      <c r="A5066" s="2" t="s">
        <v>5140</v>
      </c>
      <c r="B5066" s="2" t="s">
        <v>5112</v>
      </c>
      <c r="C5066" s="2"/>
      <c r="D5066" s="2" t="s">
        <v>37</v>
      </c>
      <c r="E5066" s="2">
        <v>10.0</v>
      </c>
      <c r="F5066" s="2" t="s">
        <v>12</v>
      </c>
      <c r="G5066" s="2"/>
      <c r="H5066" s="2"/>
      <c r="I5066" s="2"/>
    </row>
    <row r="5067">
      <c r="A5067" s="2" t="s">
        <v>5141</v>
      </c>
      <c r="B5067" s="2" t="s">
        <v>5142</v>
      </c>
      <c r="C5067" s="2"/>
      <c r="D5067" s="2" t="s">
        <v>11</v>
      </c>
      <c r="E5067" s="2">
        <v>10.0</v>
      </c>
      <c r="F5067" s="2" t="s">
        <v>12</v>
      </c>
      <c r="G5067" s="2"/>
      <c r="H5067" s="2"/>
      <c r="I5067" s="2"/>
    </row>
    <row r="5068">
      <c r="A5068" s="2" t="s">
        <v>5143</v>
      </c>
      <c r="B5068" s="2" t="s">
        <v>5142</v>
      </c>
      <c r="C5068" s="2"/>
      <c r="D5068" s="2" t="s">
        <v>11</v>
      </c>
      <c r="E5068" s="2">
        <v>10.0</v>
      </c>
      <c r="F5068" s="2" t="s">
        <v>12</v>
      </c>
      <c r="G5068" s="2"/>
      <c r="H5068" s="2"/>
      <c r="I5068" s="2"/>
    </row>
    <row r="5069">
      <c r="A5069" s="2" t="s">
        <v>5144</v>
      </c>
      <c r="B5069" s="2" t="s">
        <v>5142</v>
      </c>
      <c r="C5069" s="2"/>
      <c r="D5069" s="2" t="s">
        <v>11</v>
      </c>
      <c r="E5069" s="2">
        <v>10.0</v>
      </c>
      <c r="F5069" s="2" t="s">
        <v>12</v>
      </c>
      <c r="G5069" s="2"/>
      <c r="H5069" s="2"/>
      <c r="I5069" s="2"/>
    </row>
    <row r="5070">
      <c r="A5070" s="1" t="s">
        <v>5145</v>
      </c>
      <c r="B5070" s="2" t="s">
        <v>5142</v>
      </c>
      <c r="C5070" s="2"/>
      <c r="D5070" s="2" t="s">
        <v>11</v>
      </c>
      <c r="E5070" s="2">
        <v>6.0</v>
      </c>
      <c r="F5070" s="2" t="s">
        <v>12</v>
      </c>
      <c r="G5070" s="2"/>
      <c r="H5070" s="2"/>
      <c r="I5070" s="2"/>
    </row>
    <row r="5071">
      <c r="A5071" s="2" t="s">
        <v>5146</v>
      </c>
      <c r="B5071" s="2" t="s">
        <v>5142</v>
      </c>
      <c r="C5071" s="1"/>
      <c r="D5071" s="2"/>
      <c r="E5071" s="2"/>
      <c r="F5071" s="2"/>
      <c r="G5071" s="2"/>
      <c r="H5071" s="2"/>
      <c r="I5071" s="2"/>
    </row>
    <row r="5072">
      <c r="A5072" s="2" t="s">
        <v>5147</v>
      </c>
      <c r="B5072" s="2" t="s">
        <v>5142</v>
      </c>
      <c r="C5072" s="1"/>
      <c r="D5072" s="2"/>
      <c r="E5072" s="2"/>
      <c r="F5072" s="2"/>
      <c r="G5072" s="2"/>
      <c r="H5072" s="2"/>
      <c r="I5072" s="2"/>
    </row>
    <row r="5073">
      <c r="A5073" s="2" t="s">
        <v>5148</v>
      </c>
      <c r="B5073" s="2" t="s">
        <v>5142</v>
      </c>
      <c r="C5073" s="2"/>
      <c r="D5073" s="2" t="s">
        <v>11</v>
      </c>
      <c r="E5073" s="2">
        <v>10.0</v>
      </c>
      <c r="F5073" s="2" t="s">
        <v>12</v>
      </c>
      <c r="G5073" s="2"/>
      <c r="H5073" s="2"/>
      <c r="I5073" s="2"/>
    </row>
    <row r="5074">
      <c r="A5074" s="1" t="s">
        <v>5149</v>
      </c>
      <c r="B5074" s="2" t="s">
        <v>5150</v>
      </c>
      <c r="C5074" s="1"/>
      <c r="D5074" s="2"/>
      <c r="E5074" s="2"/>
      <c r="F5074" s="2"/>
      <c r="G5074" s="2"/>
      <c r="H5074" s="2"/>
      <c r="I5074" s="2"/>
    </row>
    <row r="5075">
      <c r="A5075" s="1" t="s">
        <v>5151</v>
      </c>
      <c r="B5075" s="2" t="s">
        <v>5150</v>
      </c>
      <c r="C5075" s="1"/>
      <c r="D5075" s="2"/>
      <c r="E5075" s="2"/>
      <c r="F5075" s="2"/>
      <c r="G5075" s="2"/>
      <c r="H5075" s="2"/>
      <c r="I5075" s="2"/>
    </row>
    <row r="5076">
      <c r="A5076" s="1" t="s">
        <v>5152</v>
      </c>
      <c r="B5076" s="2" t="s">
        <v>5150</v>
      </c>
      <c r="C5076" s="2"/>
      <c r="D5076" s="2" t="s">
        <v>11</v>
      </c>
      <c r="E5076" s="2">
        <v>3.0</v>
      </c>
      <c r="F5076" s="2" t="s">
        <v>12</v>
      </c>
      <c r="G5076" s="2"/>
      <c r="H5076" s="2"/>
      <c r="I5076" s="2"/>
    </row>
    <row r="5077">
      <c r="A5077" s="1" t="s">
        <v>5153</v>
      </c>
      <c r="B5077" s="2" t="s">
        <v>5150</v>
      </c>
      <c r="C5077" s="1"/>
      <c r="D5077" s="2"/>
      <c r="E5077" s="2"/>
      <c r="F5077" s="2"/>
      <c r="G5077" s="2"/>
      <c r="H5077" s="2"/>
      <c r="I5077" s="2"/>
    </row>
    <row r="5078">
      <c r="A5078" s="1" t="s">
        <v>5154</v>
      </c>
      <c r="B5078" s="2" t="s">
        <v>5150</v>
      </c>
      <c r="C5078" s="2"/>
      <c r="D5078" s="2" t="s">
        <v>11</v>
      </c>
      <c r="E5078" s="2">
        <v>10.0</v>
      </c>
      <c r="F5078" s="2" t="s">
        <v>12</v>
      </c>
      <c r="G5078" s="2"/>
      <c r="H5078" s="2"/>
      <c r="I5078" s="2"/>
    </row>
    <row r="5079">
      <c r="A5079" s="1" t="s">
        <v>5155</v>
      </c>
      <c r="B5079" s="2" t="s">
        <v>5150</v>
      </c>
      <c r="C5079" s="2"/>
      <c r="D5079" s="2" t="s">
        <v>11</v>
      </c>
      <c r="E5079" s="2">
        <v>6.0</v>
      </c>
      <c r="F5079" s="2" t="s">
        <v>12</v>
      </c>
      <c r="G5079" s="2"/>
      <c r="H5079" s="2"/>
      <c r="I5079" s="2"/>
    </row>
    <row r="5080">
      <c r="A5080" s="2" t="s">
        <v>5156</v>
      </c>
      <c r="B5080" s="2" t="s">
        <v>5150</v>
      </c>
      <c r="C5080" s="2"/>
      <c r="D5080" s="2" t="s">
        <v>37</v>
      </c>
      <c r="E5080" s="2">
        <v>10.0</v>
      </c>
      <c r="F5080" s="2" t="s">
        <v>12</v>
      </c>
      <c r="G5080" s="2"/>
      <c r="H5080" s="2"/>
      <c r="I5080" s="2"/>
    </row>
    <row r="5081">
      <c r="A5081" s="2" t="s">
        <v>5157</v>
      </c>
      <c r="B5081" s="2" t="s">
        <v>5150</v>
      </c>
      <c r="C5081" s="2"/>
      <c r="D5081" s="2" t="s">
        <v>11</v>
      </c>
      <c r="E5081" s="2">
        <v>10.0</v>
      </c>
      <c r="F5081" s="2" t="s">
        <v>12</v>
      </c>
      <c r="G5081" s="2"/>
      <c r="H5081" s="2"/>
      <c r="I5081" s="2"/>
    </row>
    <row r="5082">
      <c r="A5082" s="1" t="s">
        <v>5158</v>
      </c>
      <c r="B5082" s="2" t="s">
        <v>5150</v>
      </c>
      <c r="C5082" s="2"/>
      <c r="D5082" s="2" t="s">
        <v>11</v>
      </c>
      <c r="E5082" s="2">
        <v>6.0</v>
      </c>
      <c r="F5082" s="2" t="s">
        <v>12</v>
      </c>
      <c r="G5082" s="2"/>
      <c r="H5082" s="2"/>
      <c r="I5082" s="2"/>
    </row>
    <row r="5083">
      <c r="A5083" s="1" t="s">
        <v>5159</v>
      </c>
      <c r="B5083" s="2" t="s">
        <v>5150</v>
      </c>
      <c r="C5083" s="2"/>
      <c r="D5083" s="2" t="s">
        <v>11</v>
      </c>
      <c r="E5083" s="2">
        <v>6.0</v>
      </c>
      <c r="F5083" s="2" t="s">
        <v>12</v>
      </c>
      <c r="G5083" s="2"/>
      <c r="H5083" s="2"/>
      <c r="I5083" s="2"/>
    </row>
    <row r="5084">
      <c r="A5084" s="1" t="s">
        <v>5160</v>
      </c>
      <c r="B5084" s="2" t="s">
        <v>5150</v>
      </c>
      <c r="C5084" s="2"/>
      <c r="D5084" s="2" t="s">
        <v>11</v>
      </c>
      <c r="E5084" s="2">
        <v>10.0</v>
      </c>
      <c r="F5084" s="2" t="s">
        <v>12</v>
      </c>
      <c r="G5084" s="2"/>
      <c r="H5084" s="2"/>
      <c r="I5084" s="2"/>
    </row>
    <row r="5085">
      <c r="A5085" s="1" t="s">
        <v>5161</v>
      </c>
      <c r="B5085" s="2" t="s">
        <v>5150</v>
      </c>
      <c r="C5085" s="2"/>
      <c r="D5085" s="2" t="s">
        <v>11</v>
      </c>
      <c r="E5085" s="2">
        <v>10.0</v>
      </c>
      <c r="F5085" s="2" t="s">
        <v>12</v>
      </c>
      <c r="G5085" s="2"/>
      <c r="H5085" s="2"/>
      <c r="I5085" s="2"/>
    </row>
    <row r="5086">
      <c r="A5086" s="2" t="s">
        <v>5162</v>
      </c>
      <c r="B5086" s="2" t="s">
        <v>5150</v>
      </c>
      <c r="C5086" s="1"/>
      <c r="D5086" s="2"/>
      <c r="E5086" s="2"/>
      <c r="F5086" s="2"/>
      <c r="G5086" s="2"/>
      <c r="H5086" s="2"/>
      <c r="I5086" s="2"/>
    </row>
    <row r="5087">
      <c r="A5087" s="2" t="s">
        <v>5163</v>
      </c>
      <c r="B5087" s="2" t="s">
        <v>5150</v>
      </c>
      <c r="C5087" s="1"/>
      <c r="D5087" s="2"/>
      <c r="E5087" s="2"/>
      <c r="F5087" s="2"/>
      <c r="G5087" s="2"/>
      <c r="H5087" s="2"/>
      <c r="I5087" s="2"/>
    </row>
    <row r="5088">
      <c r="A5088" s="2" t="s">
        <v>5164</v>
      </c>
      <c r="B5088" s="2" t="s">
        <v>5150</v>
      </c>
      <c r="C5088" s="1"/>
      <c r="D5088" s="2"/>
      <c r="E5088" s="2"/>
      <c r="F5088" s="2"/>
      <c r="G5088" s="2"/>
      <c r="H5088" s="2"/>
      <c r="I5088" s="2"/>
    </row>
    <row r="5089">
      <c r="A5089" s="2" t="s">
        <v>5165</v>
      </c>
      <c r="B5089" s="2" t="s">
        <v>5150</v>
      </c>
      <c r="C5089" s="1"/>
      <c r="D5089" s="2"/>
      <c r="E5089" s="2"/>
      <c r="F5089" s="2"/>
      <c r="G5089" s="2"/>
      <c r="H5089" s="2"/>
      <c r="I5089" s="2"/>
    </row>
    <row r="5090">
      <c r="A5090" s="2" t="s">
        <v>5166</v>
      </c>
      <c r="B5090" s="2" t="s">
        <v>5150</v>
      </c>
      <c r="C5090" s="1"/>
      <c r="D5090" s="2"/>
      <c r="E5090" s="2"/>
      <c r="F5090" s="2"/>
      <c r="G5090" s="2"/>
      <c r="H5090" s="2"/>
      <c r="I5090" s="2"/>
    </row>
    <row r="5091">
      <c r="A5091" s="2" t="s">
        <v>5167</v>
      </c>
      <c r="B5091" s="2" t="s">
        <v>5150</v>
      </c>
      <c r="C5091" s="1"/>
      <c r="D5091" s="2"/>
      <c r="E5091" s="2"/>
      <c r="F5091" s="2"/>
      <c r="G5091" s="2"/>
      <c r="H5091" s="2"/>
      <c r="I5091" s="2"/>
    </row>
    <row r="5092">
      <c r="A5092" s="2" t="s">
        <v>5168</v>
      </c>
      <c r="B5092" s="2" t="s">
        <v>5150</v>
      </c>
      <c r="C5092" s="1"/>
      <c r="D5092" s="2"/>
      <c r="E5092" s="2"/>
      <c r="F5092" s="2"/>
      <c r="G5092" s="2"/>
      <c r="H5092" s="2"/>
      <c r="I5092" s="2"/>
    </row>
    <row r="5093">
      <c r="A5093" s="1" t="s">
        <v>5169</v>
      </c>
      <c r="B5093" s="2" t="s">
        <v>5150</v>
      </c>
      <c r="C5093" s="2"/>
      <c r="D5093" s="2" t="s">
        <v>11</v>
      </c>
      <c r="E5093" s="2">
        <v>10.0</v>
      </c>
      <c r="F5093" s="2" t="s">
        <v>12</v>
      </c>
      <c r="G5093" s="2"/>
      <c r="H5093" s="2"/>
      <c r="I5093" s="2"/>
    </row>
    <row r="5094">
      <c r="A5094" s="2" t="s">
        <v>5170</v>
      </c>
      <c r="B5094" s="2" t="s">
        <v>5150</v>
      </c>
      <c r="C5094" s="2"/>
      <c r="D5094" s="2" t="s">
        <v>11</v>
      </c>
      <c r="E5094" s="2">
        <v>10.0</v>
      </c>
      <c r="F5094" s="2" t="s">
        <v>12</v>
      </c>
      <c r="G5094" s="2"/>
      <c r="H5094" s="2"/>
      <c r="I5094" s="2"/>
    </row>
    <row r="5095">
      <c r="A5095" s="1" t="s">
        <v>5171</v>
      </c>
      <c r="B5095" s="2" t="s">
        <v>5150</v>
      </c>
      <c r="C5095" s="2"/>
      <c r="D5095" s="2" t="s">
        <v>11</v>
      </c>
      <c r="E5095" s="2">
        <v>10.0</v>
      </c>
      <c r="F5095" s="2" t="s">
        <v>12</v>
      </c>
      <c r="G5095" s="2"/>
      <c r="H5095" s="2"/>
      <c r="I5095" s="2"/>
    </row>
    <row r="5096">
      <c r="A5096" s="2" t="s">
        <v>5172</v>
      </c>
      <c r="B5096" s="2" t="s">
        <v>5150</v>
      </c>
      <c r="C5096" s="1"/>
      <c r="D5096" s="2"/>
      <c r="E5096" s="2"/>
      <c r="F5096" s="2"/>
      <c r="G5096" s="2"/>
      <c r="H5096" s="2"/>
      <c r="I5096" s="2"/>
    </row>
    <row r="5097">
      <c r="A5097" s="2" t="s">
        <v>5173</v>
      </c>
      <c r="B5097" s="2" t="s">
        <v>5150</v>
      </c>
      <c r="C5097" s="1"/>
      <c r="D5097" s="2"/>
      <c r="E5097" s="2"/>
      <c r="F5097" s="2"/>
      <c r="G5097" s="2"/>
      <c r="H5097" s="2"/>
      <c r="I5097" s="2"/>
    </row>
    <row r="5098">
      <c r="A5098" s="2" t="s">
        <v>5174</v>
      </c>
      <c r="B5098" s="2" t="s">
        <v>5150</v>
      </c>
      <c r="C5098" s="1"/>
      <c r="D5098" s="2"/>
      <c r="E5098" s="2"/>
      <c r="F5098" s="2"/>
      <c r="G5098" s="2"/>
      <c r="H5098" s="2"/>
      <c r="I5098" s="2"/>
    </row>
    <row r="5099">
      <c r="A5099" s="2" t="s">
        <v>5175</v>
      </c>
      <c r="B5099" s="2" t="s">
        <v>5150</v>
      </c>
      <c r="C5099" s="2"/>
      <c r="D5099" s="2" t="s">
        <v>11</v>
      </c>
      <c r="E5099" s="2">
        <v>10.0</v>
      </c>
      <c r="F5099" s="2" t="s">
        <v>12</v>
      </c>
      <c r="G5099" s="2"/>
      <c r="H5099" s="2"/>
      <c r="I5099" s="2"/>
    </row>
    <row r="5100">
      <c r="A5100" s="2" t="s">
        <v>5176</v>
      </c>
      <c r="B5100" s="2" t="s">
        <v>5150</v>
      </c>
      <c r="C5100" s="2"/>
      <c r="D5100" s="2" t="s">
        <v>11</v>
      </c>
      <c r="E5100" s="2">
        <v>10.0</v>
      </c>
      <c r="F5100" s="2" t="s">
        <v>12</v>
      </c>
      <c r="G5100" s="2"/>
      <c r="H5100" s="2"/>
      <c r="I5100" s="2"/>
    </row>
    <row r="5101">
      <c r="A5101" s="1" t="s">
        <v>5177</v>
      </c>
      <c r="B5101" s="2" t="s">
        <v>5150</v>
      </c>
      <c r="C5101" s="2"/>
      <c r="D5101" s="2" t="s">
        <v>11</v>
      </c>
      <c r="E5101" s="2">
        <v>10.0</v>
      </c>
      <c r="F5101" s="2" t="s">
        <v>12</v>
      </c>
      <c r="G5101" s="2"/>
      <c r="H5101" s="2"/>
      <c r="I5101" s="2"/>
    </row>
    <row r="5102">
      <c r="A5102" s="1" t="s">
        <v>5178</v>
      </c>
      <c r="B5102" s="2" t="s">
        <v>5150</v>
      </c>
      <c r="C5102" s="1"/>
      <c r="D5102" s="2"/>
      <c r="E5102" s="2"/>
      <c r="F5102" s="2"/>
      <c r="G5102" s="2"/>
      <c r="H5102" s="2"/>
      <c r="I5102" s="2"/>
    </row>
    <row r="5103">
      <c r="A5103" s="1" t="s">
        <v>5179</v>
      </c>
      <c r="B5103" s="2" t="s">
        <v>5150</v>
      </c>
      <c r="C5103" s="2"/>
      <c r="D5103" s="2" t="s">
        <v>11</v>
      </c>
      <c r="E5103" s="2">
        <v>10.0</v>
      </c>
      <c r="F5103" s="2" t="s">
        <v>12</v>
      </c>
      <c r="G5103" s="2"/>
      <c r="H5103" s="2"/>
      <c r="I5103" s="2"/>
    </row>
    <row r="5104">
      <c r="A5104" s="2" t="s">
        <v>5180</v>
      </c>
      <c r="B5104" s="2" t="s">
        <v>5150</v>
      </c>
      <c r="C5104" s="1"/>
      <c r="D5104" s="2"/>
      <c r="E5104" s="2"/>
      <c r="F5104" s="2"/>
      <c r="G5104" s="2"/>
      <c r="H5104" s="2"/>
      <c r="I5104" s="2"/>
    </row>
    <row r="5105">
      <c r="A5105" s="2" t="s">
        <v>5181</v>
      </c>
      <c r="B5105" s="2" t="s">
        <v>5150</v>
      </c>
      <c r="C5105" s="2"/>
      <c r="D5105" s="2" t="s">
        <v>11</v>
      </c>
      <c r="E5105" s="2">
        <v>10.0</v>
      </c>
      <c r="F5105" s="2" t="s">
        <v>12</v>
      </c>
      <c r="G5105" s="2"/>
      <c r="H5105" s="2"/>
      <c r="I5105" s="2"/>
    </row>
    <row r="5106">
      <c r="A5106" s="1" t="s">
        <v>5182</v>
      </c>
      <c r="B5106" s="2" t="s">
        <v>5150</v>
      </c>
      <c r="C5106" s="2"/>
      <c r="D5106" s="2" t="s">
        <v>11</v>
      </c>
      <c r="E5106" s="2">
        <v>10.0</v>
      </c>
      <c r="F5106" s="2" t="s">
        <v>12</v>
      </c>
      <c r="G5106" s="2"/>
      <c r="H5106" s="2"/>
      <c r="I5106" s="2"/>
    </row>
    <row r="5107">
      <c r="A5107" s="1" t="s">
        <v>5183</v>
      </c>
      <c r="B5107" s="2" t="s">
        <v>5150</v>
      </c>
      <c r="C5107" s="2"/>
      <c r="D5107" s="2" t="s">
        <v>11</v>
      </c>
      <c r="E5107" s="2">
        <v>10.0</v>
      </c>
      <c r="F5107" s="2" t="s">
        <v>12</v>
      </c>
      <c r="G5107" s="2"/>
      <c r="H5107" s="2"/>
      <c r="I5107" s="2"/>
    </row>
    <row r="5108">
      <c r="A5108" s="1" t="s">
        <v>5184</v>
      </c>
      <c r="B5108" s="2" t="s">
        <v>5150</v>
      </c>
      <c r="C5108" s="2"/>
      <c r="D5108" s="2" t="s">
        <v>2789</v>
      </c>
      <c r="E5108" s="2">
        <v>1.0</v>
      </c>
      <c r="F5108" s="2"/>
      <c r="G5108" s="2"/>
      <c r="H5108" s="2"/>
      <c r="I5108" s="2"/>
    </row>
    <row r="5109">
      <c r="A5109" s="1" t="s">
        <v>5185</v>
      </c>
      <c r="B5109" s="2" t="s">
        <v>5150</v>
      </c>
      <c r="C5109" s="2"/>
      <c r="D5109" s="2" t="s">
        <v>2789</v>
      </c>
      <c r="E5109" s="2">
        <v>1.0</v>
      </c>
      <c r="F5109" s="2"/>
      <c r="G5109" s="2"/>
      <c r="H5109" s="2"/>
      <c r="I5109" s="2"/>
    </row>
    <row r="5110">
      <c r="A5110" s="1" t="s">
        <v>5186</v>
      </c>
      <c r="B5110" s="2" t="s">
        <v>5150</v>
      </c>
      <c r="C5110" s="2"/>
      <c r="D5110" s="2" t="s">
        <v>2789</v>
      </c>
      <c r="E5110" s="2">
        <v>1.0</v>
      </c>
      <c r="F5110" s="2"/>
      <c r="G5110" s="2"/>
      <c r="H5110" s="2"/>
      <c r="I5110" s="2"/>
    </row>
    <row r="5111">
      <c r="A5111" s="1" t="s">
        <v>5187</v>
      </c>
      <c r="B5111" s="2" t="s">
        <v>5150</v>
      </c>
      <c r="C5111" s="2"/>
      <c r="D5111" s="2" t="s">
        <v>11</v>
      </c>
      <c r="E5111" s="2">
        <v>10.0</v>
      </c>
      <c r="F5111" s="2" t="s">
        <v>12</v>
      </c>
      <c r="G5111" s="2"/>
      <c r="H5111" s="2"/>
      <c r="I5111" s="2"/>
    </row>
    <row r="5112">
      <c r="A5112" s="2" t="s">
        <v>5188</v>
      </c>
      <c r="B5112" s="2" t="s">
        <v>5150</v>
      </c>
      <c r="C5112" s="2"/>
      <c r="D5112" s="2" t="s">
        <v>37</v>
      </c>
      <c r="E5112" s="2">
        <v>10.0</v>
      </c>
      <c r="F5112" s="2" t="s">
        <v>12</v>
      </c>
      <c r="G5112" s="2"/>
      <c r="H5112" s="2"/>
      <c r="I5112" s="2"/>
    </row>
    <row r="5113">
      <c r="A5113" s="2" t="s">
        <v>5189</v>
      </c>
      <c r="B5113" s="2" t="s">
        <v>5150</v>
      </c>
      <c r="C5113" s="2"/>
      <c r="D5113" s="2" t="s">
        <v>37</v>
      </c>
      <c r="E5113" s="2">
        <v>10.0</v>
      </c>
      <c r="F5113" s="2" t="s">
        <v>12</v>
      </c>
      <c r="G5113" s="2"/>
      <c r="H5113" s="2"/>
      <c r="I5113" s="2"/>
    </row>
    <row r="5114">
      <c r="A5114" s="2" t="s">
        <v>5190</v>
      </c>
      <c r="B5114" s="2" t="s">
        <v>5150</v>
      </c>
      <c r="C5114" s="2"/>
      <c r="D5114" s="2" t="s">
        <v>11</v>
      </c>
      <c r="E5114" s="2">
        <v>10.0</v>
      </c>
      <c r="F5114" s="2" t="s">
        <v>12</v>
      </c>
      <c r="G5114" s="2"/>
      <c r="H5114" s="2"/>
      <c r="I5114" s="2"/>
    </row>
    <row r="5115">
      <c r="A5115" s="1" t="s">
        <v>5191</v>
      </c>
      <c r="B5115" s="2" t="s">
        <v>5192</v>
      </c>
      <c r="C5115" s="2"/>
      <c r="D5115" s="2" t="s">
        <v>11</v>
      </c>
      <c r="E5115" s="2">
        <v>10.0</v>
      </c>
      <c r="F5115" s="2" t="s">
        <v>12</v>
      </c>
      <c r="G5115" s="2"/>
      <c r="H5115" s="2"/>
      <c r="I5115" s="2"/>
    </row>
    <row r="5116">
      <c r="A5116" s="1" t="s">
        <v>5193</v>
      </c>
      <c r="B5116" s="2" t="s">
        <v>5192</v>
      </c>
      <c r="C5116" s="2"/>
      <c r="D5116" s="2" t="s">
        <v>11</v>
      </c>
      <c r="E5116" s="2">
        <v>10.0</v>
      </c>
      <c r="F5116" s="2" t="s">
        <v>12</v>
      </c>
      <c r="G5116" s="2"/>
      <c r="H5116" s="2"/>
      <c r="I5116" s="2"/>
    </row>
    <row r="5117">
      <c r="A5117" s="1" t="s">
        <v>5194</v>
      </c>
      <c r="B5117" s="2" t="s">
        <v>5192</v>
      </c>
      <c r="C5117" s="2"/>
      <c r="D5117" s="2" t="s">
        <v>11</v>
      </c>
      <c r="E5117" s="2">
        <v>10.0</v>
      </c>
      <c r="F5117" s="2" t="s">
        <v>12</v>
      </c>
      <c r="G5117" s="2"/>
      <c r="H5117" s="2"/>
      <c r="I5117" s="2"/>
    </row>
    <row r="5118">
      <c r="A5118" s="1" t="s">
        <v>5195</v>
      </c>
      <c r="B5118" s="2" t="s">
        <v>5192</v>
      </c>
      <c r="C5118" s="2"/>
      <c r="D5118" s="2" t="s">
        <v>11</v>
      </c>
      <c r="E5118" s="2">
        <v>10.0</v>
      </c>
      <c r="F5118" s="2" t="s">
        <v>12</v>
      </c>
      <c r="G5118" s="2"/>
      <c r="H5118" s="2"/>
      <c r="I5118" s="2"/>
    </row>
    <row r="5119">
      <c r="A5119" s="2" t="s">
        <v>5196</v>
      </c>
      <c r="B5119" s="2" t="s">
        <v>5192</v>
      </c>
      <c r="C5119" s="2"/>
      <c r="D5119" s="2" t="s">
        <v>37</v>
      </c>
      <c r="E5119" s="2">
        <v>10.0</v>
      </c>
      <c r="F5119" s="2" t="s">
        <v>12</v>
      </c>
      <c r="G5119" s="2"/>
      <c r="H5119" s="2"/>
      <c r="I5119" s="2"/>
    </row>
    <row r="5120">
      <c r="A5120" s="1" t="s">
        <v>5197</v>
      </c>
      <c r="B5120" s="2" t="s">
        <v>5192</v>
      </c>
      <c r="C5120" s="2"/>
      <c r="D5120" s="2" t="s">
        <v>11</v>
      </c>
      <c r="E5120" s="2">
        <v>10.0</v>
      </c>
      <c r="F5120" s="2" t="s">
        <v>12</v>
      </c>
      <c r="G5120" s="2"/>
      <c r="H5120" s="2"/>
      <c r="I5120" s="2"/>
    </row>
    <row r="5121">
      <c r="A5121" s="1" t="s">
        <v>5198</v>
      </c>
      <c r="B5121" s="2" t="s">
        <v>5192</v>
      </c>
      <c r="C5121" s="2"/>
      <c r="D5121" s="2" t="s">
        <v>11</v>
      </c>
      <c r="E5121" s="2">
        <v>10.0</v>
      </c>
      <c r="F5121" s="2" t="s">
        <v>12</v>
      </c>
      <c r="G5121" s="2"/>
      <c r="H5121" s="2"/>
      <c r="I5121" s="2"/>
    </row>
    <row r="5122">
      <c r="A5122" s="1" t="s">
        <v>5199</v>
      </c>
      <c r="B5122" s="2" t="s">
        <v>5192</v>
      </c>
      <c r="C5122" s="2"/>
      <c r="D5122" s="2" t="s">
        <v>11</v>
      </c>
      <c r="E5122" s="2">
        <v>10.0</v>
      </c>
      <c r="F5122" s="2" t="s">
        <v>12</v>
      </c>
      <c r="G5122" s="2"/>
      <c r="H5122" s="2"/>
      <c r="I5122" s="2"/>
    </row>
    <row r="5123">
      <c r="A5123" s="1" t="s">
        <v>5200</v>
      </c>
      <c r="B5123" s="2" t="s">
        <v>5192</v>
      </c>
      <c r="C5123" s="2"/>
      <c r="D5123" s="2" t="s">
        <v>11</v>
      </c>
      <c r="E5123" s="2">
        <v>10.0</v>
      </c>
      <c r="F5123" s="2" t="s">
        <v>12</v>
      </c>
      <c r="G5123" s="2"/>
      <c r="H5123" s="2"/>
      <c r="I5123" s="2"/>
    </row>
    <row r="5124">
      <c r="A5124" s="1" t="s">
        <v>5201</v>
      </c>
      <c r="B5124" s="2" t="s">
        <v>5192</v>
      </c>
      <c r="C5124" s="2"/>
      <c r="D5124" s="2" t="s">
        <v>11</v>
      </c>
      <c r="E5124" s="2">
        <v>10.0</v>
      </c>
      <c r="F5124" s="2" t="s">
        <v>12</v>
      </c>
      <c r="G5124" s="2"/>
      <c r="H5124" s="2"/>
      <c r="I5124" s="2"/>
    </row>
    <row r="5125">
      <c r="A5125" s="1" t="s">
        <v>5202</v>
      </c>
      <c r="B5125" s="2" t="s">
        <v>5192</v>
      </c>
      <c r="C5125" s="2"/>
      <c r="D5125" s="2" t="s">
        <v>11</v>
      </c>
      <c r="E5125" s="2">
        <v>10.0</v>
      </c>
      <c r="F5125" s="2" t="s">
        <v>12</v>
      </c>
      <c r="G5125" s="2"/>
      <c r="H5125" s="2"/>
      <c r="I5125" s="2"/>
    </row>
    <row r="5126">
      <c r="A5126" s="1" t="s">
        <v>5203</v>
      </c>
      <c r="B5126" s="2" t="s">
        <v>5192</v>
      </c>
      <c r="C5126" s="2"/>
      <c r="D5126" s="2" t="s">
        <v>11</v>
      </c>
      <c r="E5126" s="2">
        <v>10.0</v>
      </c>
      <c r="F5126" s="2" t="s">
        <v>12</v>
      </c>
      <c r="G5126" s="2"/>
      <c r="H5126" s="2"/>
      <c r="I5126" s="2"/>
    </row>
    <row r="5127">
      <c r="A5127" s="1" t="s">
        <v>5204</v>
      </c>
      <c r="B5127" s="2" t="s">
        <v>5192</v>
      </c>
      <c r="C5127" s="2"/>
      <c r="D5127" s="2" t="s">
        <v>11</v>
      </c>
      <c r="E5127" s="2">
        <v>10.0</v>
      </c>
      <c r="F5127" s="2" t="s">
        <v>12</v>
      </c>
      <c r="G5127" s="2"/>
      <c r="H5127" s="2"/>
      <c r="I5127" s="2"/>
    </row>
    <row r="5128">
      <c r="A5128" s="2" t="s">
        <v>5205</v>
      </c>
      <c r="B5128" s="2" t="s">
        <v>5192</v>
      </c>
      <c r="C5128" s="1"/>
      <c r="D5128" s="2"/>
      <c r="E5128" s="2"/>
      <c r="F5128" s="2"/>
      <c r="G5128" s="2"/>
      <c r="H5128" s="2"/>
      <c r="I5128" s="2"/>
    </row>
    <row r="5129">
      <c r="A5129" s="2" t="s">
        <v>5206</v>
      </c>
      <c r="B5129" s="2" t="s">
        <v>5192</v>
      </c>
      <c r="C5129" s="2"/>
      <c r="D5129" s="2" t="s">
        <v>11</v>
      </c>
      <c r="E5129" s="2">
        <v>10.0</v>
      </c>
      <c r="F5129" s="2" t="s">
        <v>12</v>
      </c>
      <c r="G5129" s="2"/>
      <c r="H5129" s="2"/>
      <c r="I5129" s="2"/>
    </row>
    <row r="5130">
      <c r="A5130" s="1" t="s">
        <v>5207</v>
      </c>
      <c r="B5130" s="2" t="s">
        <v>5192</v>
      </c>
      <c r="C5130" s="2"/>
      <c r="D5130" s="2" t="s">
        <v>11</v>
      </c>
      <c r="E5130" s="2">
        <v>10.0</v>
      </c>
      <c r="F5130" s="2" t="s">
        <v>12</v>
      </c>
      <c r="G5130" s="2"/>
      <c r="H5130" s="2"/>
      <c r="I5130" s="2"/>
    </row>
    <row r="5131">
      <c r="A5131" s="1" t="s">
        <v>5208</v>
      </c>
      <c r="B5131" s="2" t="s">
        <v>5192</v>
      </c>
      <c r="C5131" s="2"/>
      <c r="D5131" s="2" t="s">
        <v>11</v>
      </c>
      <c r="E5131" s="2">
        <v>10.0</v>
      </c>
      <c r="F5131" s="2" t="s">
        <v>12</v>
      </c>
      <c r="G5131" s="2"/>
      <c r="H5131" s="2"/>
      <c r="I5131" s="2"/>
    </row>
    <row r="5132">
      <c r="A5132" s="1" t="s">
        <v>5209</v>
      </c>
      <c r="B5132" s="2" t="s">
        <v>5192</v>
      </c>
      <c r="C5132" s="2"/>
      <c r="D5132" s="2" t="s">
        <v>11</v>
      </c>
      <c r="E5132" s="2">
        <v>10.0</v>
      </c>
      <c r="F5132" s="2" t="s">
        <v>12</v>
      </c>
      <c r="G5132" s="2"/>
      <c r="H5132" s="2"/>
      <c r="I5132" s="2"/>
    </row>
    <row r="5133">
      <c r="A5133" s="1" t="s">
        <v>5210</v>
      </c>
      <c r="B5133" s="2" t="s">
        <v>5192</v>
      </c>
      <c r="C5133" s="2"/>
      <c r="D5133" s="2" t="s">
        <v>11</v>
      </c>
      <c r="E5133" s="2">
        <v>10.0</v>
      </c>
      <c r="F5133" s="2" t="s">
        <v>12</v>
      </c>
      <c r="G5133" s="2"/>
      <c r="H5133" s="2"/>
      <c r="I5133" s="2"/>
    </row>
    <row r="5134">
      <c r="A5134" s="1" t="s">
        <v>5211</v>
      </c>
      <c r="B5134" s="2" t="s">
        <v>5192</v>
      </c>
      <c r="C5134" s="2"/>
      <c r="D5134" s="2" t="s">
        <v>11</v>
      </c>
      <c r="E5134" s="2">
        <v>10.0</v>
      </c>
      <c r="F5134" s="2" t="s">
        <v>12</v>
      </c>
      <c r="G5134" s="2"/>
      <c r="H5134" s="2"/>
      <c r="I5134" s="2"/>
    </row>
    <row r="5135">
      <c r="A5135" s="1" t="s">
        <v>5212</v>
      </c>
      <c r="B5135" s="2" t="s">
        <v>5192</v>
      </c>
      <c r="C5135" s="2"/>
      <c r="D5135" s="2" t="s">
        <v>11</v>
      </c>
      <c r="E5135" s="2">
        <v>10.0</v>
      </c>
      <c r="F5135" s="2" t="s">
        <v>12</v>
      </c>
      <c r="G5135" s="2"/>
      <c r="H5135" s="2"/>
      <c r="I5135" s="2"/>
    </row>
    <row r="5136">
      <c r="A5136" s="1" t="s">
        <v>5213</v>
      </c>
      <c r="B5136" s="2" t="s">
        <v>5192</v>
      </c>
      <c r="C5136" s="2"/>
      <c r="D5136" s="2" t="s">
        <v>11</v>
      </c>
      <c r="E5136" s="2">
        <v>10.0</v>
      </c>
      <c r="F5136" s="2" t="s">
        <v>12</v>
      </c>
      <c r="G5136" s="2"/>
      <c r="H5136" s="2"/>
      <c r="I5136" s="2"/>
    </row>
    <row r="5137">
      <c r="A5137" s="2" t="s">
        <v>5214</v>
      </c>
      <c r="B5137" s="2" t="s">
        <v>5192</v>
      </c>
      <c r="C5137" s="2"/>
      <c r="D5137" s="2" t="s">
        <v>11</v>
      </c>
      <c r="E5137" s="2">
        <v>10.0</v>
      </c>
      <c r="F5137" s="2" t="s">
        <v>12</v>
      </c>
      <c r="G5137" s="2"/>
      <c r="H5137" s="2"/>
      <c r="I5137" s="2"/>
    </row>
    <row r="5138">
      <c r="A5138" s="1" t="s">
        <v>5215</v>
      </c>
      <c r="B5138" s="2" t="s">
        <v>5192</v>
      </c>
      <c r="C5138" s="2"/>
      <c r="D5138" s="2" t="s">
        <v>37</v>
      </c>
      <c r="E5138" s="2">
        <v>10.0</v>
      </c>
      <c r="F5138" s="2" t="s">
        <v>12</v>
      </c>
      <c r="G5138" s="2"/>
      <c r="H5138" s="2"/>
      <c r="I5138" s="2"/>
    </row>
    <row r="5139">
      <c r="A5139" s="1" t="s">
        <v>5216</v>
      </c>
      <c r="B5139" s="2" t="s">
        <v>5192</v>
      </c>
      <c r="C5139" s="2"/>
      <c r="D5139" s="2" t="s">
        <v>37</v>
      </c>
      <c r="E5139" s="2">
        <v>10.0</v>
      </c>
      <c r="F5139" s="2" t="s">
        <v>12</v>
      </c>
      <c r="G5139" s="2"/>
      <c r="H5139" s="2"/>
      <c r="I5139" s="2"/>
    </row>
    <row r="5140">
      <c r="A5140" s="1" t="s">
        <v>5217</v>
      </c>
      <c r="B5140" s="2" t="s">
        <v>5192</v>
      </c>
      <c r="C5140" s="2"/>
      <c r="D5140" s="2" t="s">
        <v>11</v>
      </c>
      <c r="E5140" s="2">
        <v>10.0</v>
      </c>
      <c r="F5140" s="2" t="s">
        <v>12</v>
      </c>
      <c r="G5140" s="2"/>
      <c r="H5140" s="2"/>
      <c r="I5140" s="2"/>
    </row>
    <row r="5141">
      <c r="A5141" s="1" t="s">
        <v>5218</v>
      </c>
      <c r="B5141" s="2" t="s">
        <v>5192</v>
      </c>
      <c r="C5141" s="2"/>
      <c r="D5141" s="2" t="s">
        <v>11</v>
      </c>
      <c r="E5141" s="2">
        <v>10.0</v>
      </c>
      <c r="F5141" s="2" t="s">
        <v>12</v>
      </c>
      <c r="G5141" s="2"/>
      <c r="H5141" s="2"/>
      <c r="I5141" s="2"/>
    </row>
    <row r="5142">
      <c r="A5142" s="1" t="s">
        <v>5219</v>
      </c>
      <c r="B5142" s="2" t="s">
        <v>5192</v>
      </c>
      <c r="C5142" s="2"/>
      <c r="D5142" s="2" t="s">
        <v>11</v>
      </c>
      <c r="E5142" s="2">
        <v>10.0</v>
      </c>
      <c r="F5142" s="2" t="s">
        <v>12</v>
      </c>
      <c r="G5142" s="2"/>
      <c r="H5142" s="2"/>
      <c r="I5142" s="2"/>
    </row>
    <row r="5143">
      <c r="A5143" s="1" t="s">
        <v>5220</v>
      </c>
      <c r="B5143" s="2" t="s">
        <v>5192</v>
      </c>
      <c r="C5143" s="2"/>
      <c r="D5143" s="2" t="s">
        <v>11</v>
      </c>
      <c r="E5143" s="2">
        <v>10.0</v>
      </c>
      <c r="F5143" s="2" t="s">
        <v>12</v>
      </c>
      <c r="G5143" s="2"/>
      <c r="H5143" s="2"/>
      <c r="I5143" s="2"/>
    </row>
    <row r="5144">
      <c r="A5144" s="1" t="s">
        <v>5221</v>
      </c>
      <c r="B5144" s="2" t="s">
        <v>5192</v>
      </c>
      <c r="C5144" s="2"/>
      <c r="D5144" s="2" t="s">
        <v>11</v>
      </c>
      <c r="E5144" s="2">
        <v>10.0</v>
      </c>
      <c r="F5144" s="2" t="s">
        <v>12</v>
      </c>
      <c r="G5144" s="2"/>
      <c r="H5144" s="2"/>
      <c r="I5144" s="2"/>
    </row>
    <row r="5145">
      <c r="A5145" s="1" t="s">
        <v>5222</v>
      </c>
      <c r="B5145" s="2" t="s">
        <v>5192</v>
      </c>
      <c r="C5145" s="2"/>
      <c r="D5145" s="2" t="s">
        <v>11</v>
      </c>
      <c r="E5145" s="2">
        <v>10.0</v>
      </c>
      <c r="F5145" s="2" t="s">
        <v>12</v>
      </c>
      <c r="G5145" s="2"/>
      <c r="H5145" s="2"/>
      <c r="I5145" s="2"/>
    </row>
    <row r="5146">
      <c r="A5146" s="1" t="s">
        <v>5223</v>
      </c>
      <c r="B5146" s="2" t="s">
        <v>5192</v>
      </c>
      <c r="C5146" s="2"/>
      <c r="D5146" s="2" t="s">
        <v>11</v>
      </c>
      <c r="E5146" s="2">
        <v>10.0</v>
      </c>
      <c r="F5146" s="2" t="s">
        <v>12</v>
      </c>
      <c r="G5146" s="2"/>
      <c r="H5146" s="2"/>
      <c r="I5146" s="2"/>
    </row>
    <row r="5147">
      <c r="A5147" s="2" t="s">
        <v>5224</v>
      </c>
      <c r="B5147" s="2" t="s">
        <v>5225</v>
      </c>
      <c r="C5147" s="1"/>
      <c r="D5147" s="2"/>
      <c r="E5147" s="2"/>
      <c r="F5147" s="2"/>
      <c r="G5147" s="2"/>
      <c r="H5147" s="2"/>
      <c r="I5147" s="2"/>
    </row>
    <row r="5148">
      <c r="A5148" s="1" t="s">
        <v>5226</v>
      </c>
      <c r="B5148" s="2" t="s">
        <v>5225</v>
      </c>
      <c r="C5148" s="2"/>
      <c r="D5148" s="2" t="s">
        <v>11</v>
      </c>
      <c r="E5148" s="2">
        <v>10.0</v>
      </c>
      <c r="F5148" s="2" t="s">
        <v>12</v>
      </c>
      <c r="G5148" s="2"/>
      <c r="H5148" s="2"/>
      <c r="I5148" s="2"/>
    </row>
    <row r="5149">
      <c r="A5149" s="2" t="s">
        <v>5227</v>
      </c>
      <c r="B5149" s="2" t="s">
        <v>5225</v>
      </c>
      <c r="C5149" s="2"/>
      <c r="D5149" s="2" t="s">
        <v>11</v>
      </c>
      <c r="E5149" s="2">
        <v>10.0</v>
      </c>
      <c r="F5149" s="2" t="s">
        <v>12</v>
      </c>
      <c r="G5149" s="2"/>
      <c r="H5149" s="2"/>
      <c r="I5149" s="2"/>
    </row>
    <row r="5150">
      <c r="A5150" s="1" t="s">
        <v>5228</v>
      </c>
      <c r="B5150" s="2" t="s">
        <v>5225</v>
      </c>
      <c r="C5150" s="1"/>
      <c r="D5150" s="2"/>
      <c r="E5150" s="2"/>
      <c r="F5150" s="2"/>
      <c r="G5150" s="2"/>
      <c r="H5150" s="2"/>
      <c r="I5150" s="2"/>
    </row>
    <row r="5151">
      <c r="A5151" s="1" t="s">
        <v>5229</v>
      </c>
      <c r="B5151" s="2" t="s">
        <v>5225</v>
      </c>
      <c r="C5151" s="1"/>
      <c r="D5151" s="2"/>
      <c r="E5151" s="2"/>
      <c r="F5151" s="2"/>
      <c r="G5151" s="2"/>
      <c r="H5151" s="2"/>
      <c r="I5151" s="2"/>
    </row>
    <row r="5152">
      <c r="A5152" s="1" t="s">
        <v>5230</v>
      </c>
      <c r="B5152" s="2" t="s">
        <v>5225</v>
      </c>
      <c r="C5152" s="1"/>
      <c r="D5152" s="2"/>
      <c r="E5152" s="2"/>
      <c r="F5152" s="2"/>
      <c r="G5152" s="2"/>
      <c r="H5152" s="2"/>
      <c r="I5152" s="2"/>
    </row>
    <row r="5153">
      <c r="A5153" s="1" t="s">
        <v>5231</v>
      </c>
      <c r="B5153" s="2" t="s">
        <v>5225</v>
      </c>
      <c r="C5153" s="1"/>
      <c r="D5153" s="2"/>
      <c r="E5153" s="2"/>
      <c r="F5153" s="2"/>
      <c r="G5153" s="2"/>
      <c r="H5153" s="2"/>
      <c r="I5153" s="2"/>
    </row>
    <row r="5154">
      <c r="A5154" s="2" t="s">
        <v>5232</v>
      </c>
      <c r="B5154" s="2" t="s">
        <v>5225</v>
      </c>
      <c r="C5154" s="2"/>
      <c r="D5154" s="2"/>
      <c r="E5154" s="2"/>
      <c r="F5154" s="2"/>
      <c r="G5154" s="2"/>
      <c r="H5154" s="2"/>
      <c r="I5154" s="2"/>
    </row>
    <row r="5155">
      <c r="A5155" s="2" t="s">
        <v>5233</v>
      </c>
      <c r="B5155" s="2" t="s">
        <v>5225</v>
      </c>
      <c r="C5155" s="2"/>
      <c r="D5155" s="2" t="s">
        <v>37</v>
      </c>
      <c r="E5155" s="2">
        <v>10.0</v>
      </c>
      <c r="F5155" s="2" t="s">
        <v>12</v>
      </c>
      <c r="G5155" s="2"/>
      <c r="H5155" s="2"/>
      <c r="I5155" s="2"/>
    </row>
    <row r="5156">
      <c r="A5156" s="1" t="s">
        <v>5234</v>
      </c>
      <c r="B5156" s="2" t="s">
        <v>5225</v>
      </c>
      <c r="C5156" s="2"/>
      <c r="D5156" s="2" t="s">
        <v>37</v>
      </c>
      <c r="E5156" s="2">
        <v>15.0</v>
      </c>
      <c r="F5156" s="2" t="s">
        <v>12</v>
      </c>
      <c r="G5156" s="2"/>
      <c r="H5156" s="2"/>
      <c r="I5156" s="2"/>
    </row>
    <row r="5157">
      <c r="A5157" s="1" t="s">
        <v>5235</v>
      </c>
      <c r="B5157" s="2" t="s">
        <v>5225</v>
      </c>
      <c r="C5157" s="1"/>
      <c r="D5157" s="2"/>
      <c r="E5157" s="2"/>
      <c r="F5157" s="2"/>
      <c r="G5157" s="2"/>
      <c r="H5157" s="2"/>
      <c r="I5157" s="2"/>
    </row>
    <row r="5158">
      <c r="A5158" s="1" t="s">
        <v>5236</v>
      </c>
      <c r="B5158" s="2" t="s">
        <v>5225</v>
      </c>
      <c r="C5158" s="2"/>
      <c r="D5158" s="2" t="s">
        <v>37</v>
      </c>
      <c r="E5158" s="2">
        <v>15.0</v>
      </c>
      <c r="F5158" s="2" t="s">
        <v>12</v>
      </c>
      <c r="G5158" s="2"/>
      <c r="H5158" s="2"/>
      <c r="I5158" s="2"/>
    </row>
    <row r="5159">
      <c r="A5159" s="1" t="s">
        <v>5237</v>
      </c>
      <c r="B5159" s="2" t="s">
        <v>5225</v>
      </c>
      <c r="C5159" s="1"/>
      <c r="D5159" s="2"/>
      <c r="E5159" s="2"/>
      <c r="F5159" s="2"/>
      <c r="G5159" s="2"/>
      <c r="H5159" s="2"/>
      <c r="I5159" s="2"/>
    </row>
    <row r="5160">
      <c r="A5160" s="2" t="s">
        <v>5238</v>
      </c>
      <c r="B5160" s="2" t="s">
        <v>5225</v>
      </c>
      <c r="C5160" s="1"/>
      <c r="D5160" s="2"/>
      <c r="E5160" s="2"/>
      <c r="F5160" s="2"/>
      <c r="G5160" s="2"/>
      <c r="H5160" s="2"/>
      <c r="I5160" s="2"/>
    </row>
    <row r="5161">
      <c r="A5161" s="1" t="s">
        <v>5239</v>
      </c>
      <c r="B5161" s="2" t="s">
        <v>5225</v>
      </c>
      <c r="C5161" s="1"/>
      <c r="D5161" s="2"/>
      <c r="E5161" s="2"/>
      <c r="F5161" s="2"/>
      <c r="G5161" s="2"/>
      <c r="H5161" s="2"/>
      <c r="I5161" s="2"/>
    </row>
    <row r="5162">
      <c r="A5162" s="1" t="s">
        <v>5240</v>
      </c>
      <c r="B5162" s="2" t="s">
        <v>5225</v>
      </c>
      <c r="C5162" s="2"/>
      <c r="D5162" s="2" t="s">
        <v>11</v>
      </c>
      <c r="E5162" s="2">
        <v>5.0</v>
      </c>
      <c r="F5162" s="2" t="s">
        <v>12</v>
      </c>
      <c r="G5162" s="2"/>
      <c r="H5162" s="2"/>
      <c r="I5162" s="2"/>
    </row>
    <row r="5163">
      <c r="A5163" s="2" t="s">
        <v>5241</v>
      </c>
      <c r="B5163" s="2" t="s">
        <v>5225</v>
      </c>
      <c r="C5163" s="2"/>
      <c r="D5163" s="2" t="s">
        <v>37</v>
      </c>
      <c r="E5163" s="2">
        <v>10.0</v>
      </c>
      <c r="F5163" s="2" t="s">
        <v>12</v>
      </c>
      <c r="G5163" s="2"/>
      <c r="H5163" s="2"/>
      <c r="I5163" s="2"/>
    </row>
    <row r="5164">
      <c r="A5164" s="1" t="s">
        <v>5242</v>
      </c>
      <c r="B5164" s="2" t="s">
        <v>5225</v>
      </c>
      <c r="C5164" s="1"/>
      <c r="D5164" s="2"/>
      <c r="E5164" s="2"/>
      <c r="F5164" s="2"/>
      <c r="G5164" s="2"/>
      <c r="H5164" s="2"/>
      <c r="I5164" s="2"/>
    </row>
    <row r="5165">
      <c r="A5165" s="2" t="s">
        <v>5243</v>
      </c>
      <c r="B5165" s="2" t="s">
        <v>5225</v>
      </c>
      <c r="C5165" s="1"/>
      <c r="D5165" s="2"/>
      <c r="E5165" s="2"/>
      <c r="F5165" s="2"/>
      <c r="G5165" s="2"/>
      <c r="H5165" s="2"/>
      <c r="I5165" s="2"/>
    </row>
    <row r="5166">
      <c r="A5166" s="2" t="s">
        <v>5244</v>
      </c>
      <c r="B5166" s="2" t="s">
        <v>5225</v>
      </c>
      <c r="C5166" s="2"/>
      <c r="D5166" s="2" t="s">
        <v>11</v>
      </c>
      <c r="E5166" s="2">
        <v>10.0</v>
      </c>
      <c r="F5166" s="2" t="s">
        <v>12</v>
      </c>
      <c r="G5166" s="2"/>
      <c r="H5166" s="2"/>
      <c r="I5166" s="2"/>
    </row>
    <row r="5167">
      <c r="A5167" s="1" t="s">
        <v>5245</v>
      </c>
      <c r="B5167" s="2" t="s">
        <v>5225</v>
      </c>
      <c r="C5167" s="2"/>
      <c r="D5167" s="2" t="s">
        <v>11</v>
      </c>
      <c r="E5167" s="2">
        <v>10.0</v>
      </c>
      <c r="F5167" s="2" t="s">
        <v>12</v>
      </c>
      <c r="G5167" s="2"/>
      <c r="H5167" s="2"/>
      <c r="I5167" s="2"/>
    </row>
    <row r="5168">
      <c r="A5168" s="1" t="s">
        <v>5246</v>
      </c>
      <c r="B5168" s="2" t="s">
        <v>5225</v>
      </c>
      <c r="C5168" s="2"/>
      <c r="D5168" s="2" t="s">
        <v>11</v>
      </c>
      <c r="E5168" s="2">
        <v>6.0</v>
      </c>
      <c r="F5168" s="2" t="s">
        <v>12</v>
      </c>
      <c r="G5168" s="2"/>
      <c r="H5168" s="2"/>
      <c r="I5168" s="2"/>
    </row>
    <row r="5169">
      <c r="A5169" s="2" t="s">
        <v>5247</v>
      </c>
      <c r="B5169" s="2" t="s">
        <v>5225</v>
      </c>
      <c r="C5169" s="2"/>
      <c r="D5169" s="2" t="s">
        <v>11</v>
      </c>
      <c r="E5169" s="2">
        <v>5.0</v>
      </c>
      <c r="F5169" s="2" t="s">
        <v>12</v>
      </c>
      <c r="G5169" s="2"/>
      <c r="H5169" s="2"/>
      <c r="I5169" s="2"/>
    </row>
    <row r="5170">
      <c r="A5170" s="2" t="s">
        <v>5248</v>
      </c>
      <c r="B5170" s="2" t="s">
        <v>5225</v>
      </c>
      <c r="C5170" s="2"/>
      <c r="D5170" s="2" t="s">
        <v>11</v>
      </c>
      <c r="E5170" s="2">
        <v>10.0</v>
      </c>
      <c r="F5170" s="2" t="s">
        <v>12</v>
      </c>
      <c r="G5170" s="2"/>
      <c r="H5170" s="2"/>
      <c r="I5170" s="2"/>
    </row>
    <row r="5171">
      <c r="A5171" s="2" t="s">
        <v>5249</v>
      </c>
      <c r="B5171" s="2" t="s">
        <v>5225</v>
      </c>
      <c r="C5171" s="1"/>
      <c r="D5171" s="2"/>
      <c r="E5171" s="2"/>
      <c r="F5171" s="2"/>
      <c r="G5171" s="2"/>
      <c r="H5171" s="2"/>
      <c r="I5171" s="2"/>
    </row>
    <row r="5172">
      <c r="A5172" s="2" t="s">
        <v>5250</v>
      </c>
      <c r="B5172" s="2" t="s">
        <v>5225</v>
      </c>
      <c r="C5172" s="1"/>
      <c r="D5172" s="2"/>
      <c r="E5172" s="2"/>
      <c r="F5172" s="2"/>
      <c r="G5172" s="2"/>
      <c r="H5172" s="2"/>
      <c r="I5172" s="2"/>
    </row>
    <row r="5173">
      <c r="A5173" s="2" t="s">
        <v>5251</v>
      </c>
      <c r="B5173" s="2" t="s">
        <v>5225</v>
      </c>
      <c r="C5173" s="2"/>
      <c r="D5173" s="2" t="s">
        <v>11</v>
      </c>
      <c r="E5173" s="2">
        <v>10.0</v>
      </c>
      <c r="F5173" s="2" t="s">
        <v>12</v>
      </c>
      <c r="G5173" s="2"/>
      <c r="H5173" s="2"/>
      <c r="I5173" s="2"/>
    </row>
    <row r="5174">
      <c r="A5174" s="1" t="s">
        <v>5252</v>
      </c>
      <c r="B5174" s="2" t="s">
        <v>5225</v>
      </c>
      <c r="C5174" s="2"/>
      <c r="D5174" s="2" t="s">
        <v>11</v>
      </c>
      <c r="E5174" s="2">
        <v>5.0</v>
      </c>
      <c r="F5174" s="2" t="s">
        <v>12</v>
      </c>
      <c r="G5174" s="2"/>
      <c r="H5174" s="2"/>
      <c r="I5174" s="2"/>
    </row>
    <row r="5175">
      <c r="A5175" s="2" t="s">
        <v>5253</v>
      </c>
      <c r="B5175" s="2" t="s">
        <v>5225</v>
      </c>
      <c r="C5175" s="2"/>
      <c r="D5175" s="2" t="s">
        <v>37</v>
      </c>
      <c r="E5175" s="2">
        <v>10.0</v>
      </c>
      <c r="F5175" s="2" t="s">
        <v>12</v>
      </c>
      <c r="G5175" s="2"/>
      <c r="H5175" s="2"/>
      <c r="I5175" s="2"/>
    </row>
    <row r="5176">
      <c r="A5176" s="2" t="s">
        <v>5254</v>
      </c>
      <c r="B5176" s="2" t="s">
        <v>5225</v>
      </c>
      <c r="C5176" s="2"/>
      <c r="D5176" s="2" t="s">
        <v>11</v>
      </c>
      <c r="E5176" s="2">
        <v>10.0</v>
      </c>
      <c r="F5176" s="2" t="s">
        <v>12</v>
      </c>
      <c r="G5176" s="2"/>
      <c r="H5176" s="2"/>
      <c r="I5176" s="2"/>
    </row>
    <row r="5177">
      <c r="A5177" s="2" t="s">
        <v>5255</v>
      </c>
      <c r="B5177" s="2" t="s">
        <v>5225</v>
      </c>
      <c r="C5177" s="2"/>
      <c r="D5177" s="2" t="s">
        <v>11</v>
      </c>
      <c r="E5177" s="2">
        <v>10.0</v>
      </c>
      <c r="F5177" s="2" t="s">
        <v>12</v>
      </c>
      <c r="G5177" s="2"/>
      <c r="H5177" s="2"/>
      <c r="I5177" s="2"/>
    </row>
    <row r="5178">
      <c r="A5178" s="2" t="s">
        <v>5256</v>
      </c>
      <c r="B5178" s="2" t="s">
        <v>5225</v>
      </c>
      <c r="C5178" s="2"/>
      <c r="D5178" s="2" t="s">
        <v>11</v>
      </c>
      <c r="E5178" s="2">
        <v>15.0</v>
      </c>
      <c r="F5178" s="2" t="s">
        <v>12</v>
      </c>
      <c r="G5178" s="2"/>
      <c r="H5178" s="2"/>
      <c r="I5178" s="2"/>
    </row>
    <row r="5179">
      <c r="A5179" s="2" t="s">
        <v>5257</v>
      </c>
      <c r="B5179" s="2" t="s">
        <v>5225</v>
      </c>
      <c r="C5179" s="2"/>
      <c r="D5179" s="1" t="s">
        <v>2789</v>
      </c>
      <c r="E5179" s="1">
        <v>3.0</v>
      </c>
      <c r="F5179" s="2" t="s">
        <v>22</v>
      </c>
      <c r="G5179" s="2"/>
      <c r="H5179" s="2"/>
      <c r="I5179" s="2"/>
    </row>
    <row r="5180">
      <c r="A5180" s="1" t="s">
        <v>5258</v>
      </c>
      <c r="B5180" s="2" t="s">
        <v>5225</v>
      </c>
      <c r="C5180" s="2"/>
      <c r="D5180" s="2" t="s">
        <v>11</v>
      </c>
      <c r="E5180" s="2">
        <v>10.0</v>
      </c>
      <c r="F5180" s="2" t="s">
        <v>12</v>
      </c>
      <c r="G5180" s="2"/>
      <c r="H5180" s="2"/>
      <c r="I5180" s="2"/>
    </row>
    <row r="5181">
      <c r="A5181" s="1" t="s">
        <v>5259</v>
      </c>
      <c r="B5181" s="2" t="s">
        <v>5225</v>
      </c>
      <c r="C5181" s="2"/>
      <c r="D5181" s="2" t="s">
        <v>11</v>
      </c>
      <c r="E5181" s="2">
        <v>10.0</v>
      </c>
      <c r="F5181" s="2" t="s">
        <v>12</v>
      </c>
      <c r="G5181" s="2"/>
      <c r="H5181" s="2"/>
      <c r="I5181" s="2"/>
    </row>
    <row r="5182">
      <c r="A5182" s="2" t="s">
        <v>5260</v>
      </c>
      <c r="B5182" s="2" t="s">
        <v>5225</v>
      </c>
      <c r="C5182" s="2"/>
      <c r="D5182" s="2" t="s">
        <v>11</v>
      </c>
      <c r="E5182" s="2">
        <v>10.0</v>
      </c>
      <c r="F5182" s="2" t="s">
        <v>12</v>
      </c>
      <c r="G5182" s="2"/>
      <c r="H5182" s="2"/>
      <c r="I5182" s="2"/>
    </row>
    <row r="5183">
      <c r="A5183" s="2" t="s">
        <v>5261</v>
      </c>
      <c r="B5183" s="2" t="s">
        <v>5225</v>
      </c>
      <c r="C5183" s="2"/>
      <c r="D5183" s="2" t="s">
        <v>11</v>
      </c>
      <c r="E5183" s="2">
        <v>10.0</v>
      </c>
      <c r="F5183" s="2" t="s">
        <v>12</v>
      </c>
      <c r="G5183" s="2"/>
      <c r="H5183" s="2"/>
      <c r="I5183" s="2"/>
    </row>
    <row r="5184">
      <c r="A5184" s="2" t="s">
        <v>5262</v>
      </c>
      <c r="B5184" s="2" t="s">
        <v>5225</v>
      </c>
      <c r="C5184" s="2"/>
      <c r="D5184" s="2" t="s">
        <v>11</v>
      </c>
      <c r="E5184" s="2">
        <v>10.0</v>
      </c>
      <c r="F5184" s="2" t="s">
        <v>12</v>
      </c>
      <c r="G5184" s="2"/>
      <c r="H5184" s="2"/>
      <c r="I5184" s="2"/>
    </row>
    <row r="5185">
      <c r="A5185" s="2" t="s">
        <v>5263</v>
      </c>
      <c r="B5185" s="2" t="s">
        <v>5225</v>
      </c>
      <c r="C5185" s="1"/>
      <c r="D5185" s="2"/>
      <c r="E5185" s="2"/>
      <c r="F5185" s="2"/>
      <c r="G5185" s="2"/>
      <c r="H5185" s="2"/>
      <c r="I5185" s="2"/>
    </row>
    <row r="5186">
      <c r="A5186" s="2" t="s">
        <v>5264</v>
      </c>
      <c r="B5186" s="2" t="s">
        <v>5225</v>
      </c>
      <c r="C5186" s="2"/>
      <c r="D5186" s="2" t="s">
        <v>11</v>
      </c>
      <c r="E5186" s="2">
        <v>10.0</v>
      </c>
      <c r="F5186" s="2" t="s">
        <v>12</v>
      </c>
      <c r="G5186" s="2"/>
      <c r="H5186" s="2"/>
      <c r="I5186" s="2"/>
    </row>
    <row r="5187">
      <c r="A5187" s="2" t="s">
        <v>5265</v>
      </c>
      <c r="B5187" s="2" t="s">
        <v>5266</v>
      </c>
      <c r="C5187" s="1"/>
      <c r="D5187" s="2"/>
      <c r="E5187" s="2"/>
      <c r="F5187" s="2"/>
      <c r="G5187" s="2"/>
      <c r="H5187" s="2"/>
      <c r="I5187" s="2"/>
    </row>
    <row r="5188">
      <c r="A5188" s="1" t="s">
        <v>5267</v>
      </c>
      <c r="B5188" s="2" t="s">
        <v>5266</v>
      </c>
      <c r="C5188" s="2"/>
      <c r="D5188" s="2" t="s">
        <v>11</v>
      </c>
      <c r="E5188" s="2">
        <v>10.0</v>
      </c>
      <c r="F5188" s="2" t="s">
        <v>12</v>
      </c>
      <c r="G5188" s="2"/>
      <c r="H5188" s="2"/>
      <c r="I5188" s="2"/>
    </row>
    <row r="5189">
      <c r="A5189" s="2" t="s">
        <v>5268</v>
      </c>
      <c r="B5189" s="2" t="s">
        <v>5266</v>
      </c>
      <c r="C5189" s="1"/>
      <c r="D5189" s="2"/>
      <c r="E5189" s="2"/>
      <c r="F5189" s="2"/>
      <c r="G5189" s="2"/>
      <c r="H5189" s="2"/>
      <c r="I5189" s="2"/>
    </row>
    <row r="5190">
      <c r="A5190" s="2" t="s">
        <v>5269</v>
      </c>
      <c r="B5190" s="2" t="s">
        <v>5266</v>
      </c>
      <c r="C5190" s="1"/>
      <c r="D5190" s="2"/>
      <c r="E5190" s="2"/>
      <c r="F5190" s="2"/>
      <c r="G5190" s="2"/>
      <c r="H5190" s="2"/>
      <c r="I5190" s="2"/>
    </row>
    <row r="5191">
      <c r="A5191" s="2" t="s">
        <v>5270</v>
      </c>
      <c r="B5191" s="2" t="s">
        <v>5266</v>
      </c>
      <c r="C5191" s="1"/>
      <c r="D5191" s="2"/>
      <c r="E5191" s="2"/>
      <c r="F5191" s="2"/>
      <c r="G5191" s="2"/>
      <c r="H5191" s="2"/>
      <c r="I5191" s="2"/>
    </row>
    <row r="5192">
      <c r="A5192" s="2" t="s">
        <v>5271</v>
      </c>
      <c r="B5192" s="2" t="s">
        <v>5266</v>
      </c>
      <c r="C5192" s="1"/>
      <c r="D5192" s="2"/>
      <c r="E5192" s="2"/>
      <c r="F5192" s="2"/>
      <c r="G5192" s="2"/>
      <c r="H5192" s="2"/>
      <c r="I5192" s="2"/>
    </row>
    <row r="5193">
      <c r="A5193" s="2" t="s">
        <v>5272</v>
      </c>
      <c r="B5193" s="2" t="s">
        <v>5266</v>
      </c>
      <c r="C5193" s="2"/>
      <c r="D5193" s="2" t="s">
        <v>37</v>
      </c>
      <c r="E5193" s="2">
        <v>15.0</v>
      </c>
      <c r="F5193" s="2" t="s">
        <v>12</v>
      </c>
      <c r="G5193" s="2"/>
      <c r="H5193" s="2"/>
      <c r="I5193" s="2"/>
    </row>
    <row r="5194">
      <c r="A5194" s="2" t="s">
        <v>5273</v>
      </c>
      <c r="B5194" s="2" t="s">
        <v>5266</v>
      </c>
      <c r="C5194" s="1"/>
      <c r="D5194" s="2"/>
      <c r="E5194" s="2"/>
      <c r="F5194" s="2"/>
      <c r="G5194" s="2"/>
      <c r="H5194" s="2"/>
      <c r="I5194" s="2"/>
    </row>
    <row r="5195">
      <c r="A5195" s="2" t="s">
        <v>5274</v>
      </c>
      <c r="B5195" s="2" t="s">
        <v>5266</v>
      </c>
      <c r="C5195" s="1"/>
      <c r="D5195" s="2"/>
      <c r="E5195" s="2"/>
      <c r="F5195" s="2"/>
      <c r="G5195" s="2"/>
      <c r="H5195" s="2"/>
      <c r="I5195" s="2"/>
    </row>
    <row r="5196">
      <c r="A5196" s="2" t="s">
        <v>5275</v>
      </c>
      <c r="B5196" s="2" t="s">
        <v>5266</v>
      </c>
      <c r="C5196" s="2"/>
      <c r="D5196" s="2" t="s">
        <v>11</v>
      </c>
      <c r="E5196" s="2">
        <v>10.0</v>
      </c>
      <c r="F5196" s="2" t="s">
        <v>12</v>
      </c>
      <c r="G5196" s="2"/>
      <c r="H5196" s="2"/>
      <c r="I5196" s="2"/>
    </row>
    <row r="5197">
      <c r="A5197" s="1" t="s">
        <v>5276</v>
      </c>
      <c r="B5197" s="2" t="s">
        <v>5266</v>
      </c>
      <c r="C5197" s="2"/>
      <c r="D5197" s="2" t="s">
        <v>11</v>
      </c>
      <c r="E5197" s="2">
        <v>15.0</v>
      </c>
      <c r="F5197" s="2" t="s">
        <v>12</v>
      </c>
      <c r="G5197" s="2"/>
      <c r="H5197" s="2"/>
      <c r="I5197" s="2"/>
    </row>
    <row r="5198">
      <c r="A5198" s="1" t="s">
        <v>5277</v>
      </c>
      <c r="B5198" s="2" t="s">
        <v>5266</v>
      </c>
      <c r="C5198" s="2"/>
      <c r="D5198" s="2" t="s">
        <v>11</v>
      </c>
      <c r="E5198" s="2">
        <v>15.0</v>
      </c>
      <c r="F5198" s="2" t="s">
        <v>12</v>
      </c>
      <c r="G5198" s="2"/>
      <c r="H5198" s="2"/>
      <c r="I5198" s="2"/>
    </row>
    <row r="5199">
      <c r="A5199" s="1" t="s">
        <v>5278</v>
      </c>
      <c r="B5199" s="2" t="s">
        <v>5266</v>
      </c>
      <c r="C5199" s="2"/>
      <c r="D5199" s="2" t="s">
        <v>11</v>
      </c>
      <c r="E5199" s="2">
        <v>15.0</v>
      </c>
      <c r="F5199" s="2" t="s">
        <v>12</v>
      </c>
      <c r="G5199" s="2"/>
      <c r="H5199" s="2"/>
      <c r="I5199" s="2"/>
    </row>
    <row r="5200">
      <c r="A5200" s="1" t="s">
        <v>5279</v>
      </c>
      <c r="B5200" s="2" t="s">
        <v>5266</v>
      </c>
      <c r="C5200" s="2"/>
      <c r="D5200" s="2" t="s">
        <v>11</v>
      </c>
      <c r="E5200" s="2">
        <v>10.0</v>
      </c>
      <c r="F5200" s="2" t="s">
        <v>12</v>
      </c>
      <c r="G5200" s="2"/>
      <c r="H5200" s="2"/>
      <c r="I5200" s="2"/>
    </row>
    <row r="5201">
      <c r="A5201" s="2" t="s">
        <v>5280</v>
      </c>
      <c r="B5201" s="2" t="s">
        <v>5266</v>
      </c>
      <c r="C5201" s="2"/>
      <c r="D5201" s="2" t="s">
        <v>11</v>
      </c>
      <c r="E5201" s="2">
        <v>15.0</v>
      </c>
      <c r="F5201" s="2" t="s">
        <v>12</v>
      </c>
      <c r="G5201" s="2"/>
      <c r="H5201" s="2"/>
      <c r="I5201" s="2"/>
    </row>
    <row r="5202">
      <c r="A5202" s="2" t="s">
        <v>5281</v>
      </c>
      <c r="B5202" s="2" t="s">
        <v>5266</v>
      </c>
      <c r="C5202" s="2"/>
      <c r="D5202" s="2" t="s">
        <v>11</v>
      </c>
      <c r="E5202" s="2">
        <v>10.0</v>
      </c>
      <c r="F5202" s="2" t="s">
        <v>12</v>
      </c>
      <c r="G5202" s="2"/>
      <c r="H5202" s="2"/>
      <c r="I5202" s="2"/>
    </row>
    <row r="5203">
      <c r="A5203" s="2" t="s">
        <v>5281</v>
      </c>
      <c r="B5203" s="2" t="s">
        <v>5266</v>
      </c>
      <c r="C5203" s="2"/>
      <c r="D5203" s="2" t="s">
        <v>11</v>
      </c>
      <c r="E5203" s="2">
        <v>15.0</v>
      </c>
      <c r="F5203" s="2" t="s">
        <v>12</v>
      </c>
      <c r="G5203" s="2"/>
      <c r="H5203" s="2"/>
      <c r="I5203" s="2"/>
    </row>
    <row r="5204">
      <c r="A5204" s="1" t="s">
        <v>5282</v>
      </c>
      <c r="B5204" s="2" t="s">
        <v>5266</v>
      </c>
      <c r="C5204" s="2"/>
      <c r="D5204" s="2" t="s">
        <v>11</v>
      </c>
      <c r="E5204" s="2">
        <v>10.0</v>
      </c>
      <c r="F5204" s="2" t="s">
        <v>12</v>
      </c>
      <c r="G5204" s="2"/>
      <c r="H5204" s="2"/>
      <c r="I5204" s="2"/>
    </row>
    <row r="5205">
      <c r="A5205" s="1" t="s">
        <v>5283</v>
      </c>
      <c r="B5205" s="2" t="s">
        <v>5266</v>
      </c>
      <c r="C5205" s="2"/>
      <c r="D5205" s="2" t="s">
        <v>11</v>
      </c>
      <c r="E5205" s="2">
        <v>10.0</v>
      </c>
      <c r="F5205" s="2" t="s">
        <v>12</v>
      </c>
      <c r="G5205" s="2"/>
      <c r="H5205" s="2"/>
      <c r="I5205" s="2"/>
    </row>
    <row r="5206">
      <c r="A5206" s="2" t="s">
        <v>5284</v>
      </c>
      <c r="B5206" s="2" t="s">
        <v>5266</v>
      </c>
      <c r="C5206" s="2"/>
      <c r="D5206" s="2" t="s">
        <v>11</v>
      </c>
      <c r="E5206" s="2">
        <v>10.0</v>
      </c>
      <c r="F5206" s="2" t="s">
        <v>12</v>
      </c>
      <c r="G5206" s="2"/>
      <c r="H5206" s="2"/>
      <c r="I5206" s="2"/>
    </row>
    <row r="5207">
      <c r="A5207" s="1" t="s">
        <v>5285</v>
      </c>
      <c r="B5207" s="2" t="s">
        <v>5266</v>
      </c>
      <c r="C5207" s="2"/>
      <c r="D5207" s="2" t="s">
        <v>11</v>
      </c>
      <c r="E5207" s="2">
        <v>15.0</v>
      </c>
      <c r="F5207" s="2" t="s">
        <v>12</v>
      </c>
      <c r="G5207" s="2"/>
      <c r="H5207" s="2"/>
      <c r="I5207" s="2"/>
    </row>
    <row r="5208">
      <c r="A5208" s="1" t="s">
        <v>5286</v>
      </c>
      <c r="B5208" s="2" t="s">
        <v>5266</v>
      </c>
      <c r="C5208" s="2"/>
      <c r="D5208" s="2" t="s">
        <v>11</v>
      </c>
      <c r="E5208" s="2">
        <v>15.0</v>
      </c>
      <c r="F5208" s="2" t="s">
        <v>12</v>
      </c>
      <c r="G5208" s="2"/>
      <c r="H5208" s="2"/>
      <c r="I5208" s="2"/>
    </row>
    <row r="5209">
      <c r="A5209" s="2" t="s">
        <v>5287</v>
      </c>
      <c r="B5209" s="2" t="s">
        <v>5266</v>
      </c>
      <c r="C5209" s="2"/>
      <c r="D5209" s="2" t="s">
        <v>11</v>
      </c>
      <c r="E5209" s="2">
        <v>10.0</v>
      </c>
      <c r="F5209" s="2" t="s">
        <v>12</v>
      </c>
      <c r="G5209" s="2"/>
      <c r="H5209" s="2"/>
      <c r="I5209" s="2"/>
    </row>
    <row r="5210">
      <c r="A5210" s="2" t="s">
        <v>5288</v>
      </c>
      <c r="B5210" s="2" t="s">
        <v>5266</v>
      </c>
      <c r="C5210" s="2"/>
      <c r="D5210" s="2" t="s">
        <v>11</v>
      </c>
      <c r="E5210" s="2">
        <v>10.0</v>
      </c>
      <c r="F5210" s="2" t="s">
        <v>12</v>
      </c>
      <c r="G5210" s="2"/>
      <c r="H5210" s="2"/>
      <c r="I5210" s="2"/>
    </row>
    <row r="5211">
      <c r="A5211" s="2" t="s">
        <v>5289</v>
      </c>
      <c r="B5211" s="2" t="s">
        <v>5266</v>
      </c>
      <c r="C5211" s="1"/>
      <c r="D5211" s="2"/>
      <c r="E5211" s="2"/>
      <c r="F5211" s="2"/>
      <c r="G5211" s="2"/>
      <c r="H5211" s="2"/>
      <c r="I5211" s="2"/>
    </row>
    <row r="5212">
      <c r="A5212" s="2" t="s">
        <v>5290</v>
      </c>
      <c r="B5212" s="2" t="s">
        <v>5266</v>
      </c>
      <c r="C5212" s="1"/>
      <c r="D5212" s="2"/>
      <c r="E5212" s="2"/>
      <c r="F5212" s="2"/>
      <c r="G5212" s="2"/>
      <c r="H5212" s="2"/>
      <c r="I5212" s="2"/>
    </row>
    <row r="5213">
      <c r="A5213" s="2" t="s">
        <v>5291</v>
      </c>
      <c r="B5213" s="2" t="s">
        <v>5266</v>
      </c>
      <c r="C5213" s="2"/>
      <c r="D5213" s="2" t="s">
        <v>11</v>
      </c>
      <c r="E5213" s="2">
        <v>10.0</v>
      </c>
      <c r="F5213" s="2" t="s">
        <v>12</v>
      </c>
      <c r="G5213" s="2"/>
      <c r="H5213" s="2"/>
      <c r="I5213" s="2"/>
    </row>
    <row r="5214">
      <c r="A5214" s="2" t="s">
        <v>5292</v>
      </c>
      <c r="B5214" s="2" t="s">
        <v>5266</v>
      </c>
      <c r="C5214" s="2"/>
      <c r="D5214" s="2" t="s">
        <v>37</v>
      </c>
      <c r="E5214" s="2">
        <v>10.0</v>
      </c>
      <c r="F5214" s="2" t="s">
        <v>12</v>
      </c>
      <c r="G5214" s="2"/>
      <c r="H5214" s="2"/>
      <c r="I5214" s="2"/>
    </row>
    <row r="5215">
      <c r="A5215" s="1" t="s">
        <v>5293</v>
      </c>
      <c r="B5215" s="2" t="s">
        <v>5266</v>
      </c>
      <c r="C5215" s="2"/>
      <c r="D5215" s="2" t="s">
        <v>37</v>
      </c>
      <c r="E5215" s="2">
        <v>10.0</v>
      </c>
      <c r="F5215" s="2" t="s">
        <v>12</v>
      </c>
      <c r="G5215" s="2"/>
      <c r="H5215" s="2"/>
      <c r="I5215" s="2"/>
    </row>
    <row r="5216">
      <c r="A5216" s="2" t="s">
        <v>5294</v>
      </c>
      <c r="B5216" s="2" t="s">
        <v>5266</v>
      </c>
      <c r="C5216" s="1"/>
      <c r="D5216" s="2"/>
      <c r="E5216" s="2"/>
      <c r="F5216" s="2"/>
      <c r="G5216" s="2"/>
      <c r="H5216" s="2"/>
      <c r="I5216" s="2"/>
    </row>
    <row r="5217">
      <c r="A5217" s="2" t="s">
        <v>5295</v>
      </c>
      <c r="B5217" s="2" t="s">
        <v>5266</v>
      </c>
      <c r="C5217" s="2"/>
      <c r="D5217" s="2" t="s">
        <v>37</v>
      </c>
      <c r="E5217" s="2">
        <v>30.0</v>
      </c>
      <c r="F5217" s="2" t="s">
        <v>22</v>
      </c>
      <c r="G5217" s="2"/>
      <c r="H5217" s="2"/>
      <c r="I5217" s="2"/>
    </row>
    <row r="5218">
      <c r="A5218" s="2" t="s">
        <v>5296</v>
      </c>
      <c r="B5218" s="2" t="s">
        <v>5266</v>
      </c>
      <c r="C5218" s="2"/>
      <c r="D5218" s="2" t="s">
        <v>11</v>
      </c>
      <c r="E5218" s="2">
        <v>10.0</v>
      </c>
      <c r="F5218" s="2" t="s">
        <v>12</v>
      </c>
      <c r="G5218" s="2"/>
      <c r="H5218" s="2"/>
      <c r="I5218" s="2"/>
    </row>
    <row r="5219">
      <c r="A5219" s="2" t="s">
        <v>5297</v>
      </c>
      <c r="B5219" s="2" t="s">
        <v>5266</v>
      </c>
      <c r="C5219" s="1"/>
      <c r="D5219" s="2"/>
      <c r="E5219" s="2"/>
      <c r="F5219" s="2"/>
      <c r="G5219" s="2"/>
      <c r="H5219" s="2"/>
      <c r="I5219" s="2"/>
    </row>
    <row r="5220">
      <c r="A5220" s="2" t="s">
        <v>5298</v>
      </c>
      <c r="B5220" s="2" t="s">
        <v>5266</v>
      </c>
      <c r="C5220" s="1"/>
      <c r="D5220" s="2"/>
      <c r="E5220" s="2"/>
      <c r="F5220" s="2"/>
      <c r="G5220" s="2"/>
      <c r="H5220" s="2"/>
      <c r="I5220" s="2"/>
    </row>
    <row r="5221">
      <c r="A5221" s="2" t="s">
        <v>5299</v>
      </c>
      <c r="B5221" s="2" t="s">
        <v>5266</v>
      </c>
      <c r="C5221" s="1"/>
      <c r="D5221" s="2"/>
      <c r="E5221" s="2"/>
      <c r="F5221" s="2"/>
      <c r="G5221" s="2"/>
      <c r="H5221" s="2"/>
      <c r="I5221" s="2"/>
    </row>
    <row r="5222">
      <c r="A5222" s="2" t="s">
        <v>5300</v>
      </c>
      <c r="B5222" s="2" t="s">
        <v>5266</v>
      </c>
      <c r="C5222" s="1"/>
      <c r="D5222" s="2"/>
      <c r="E5222" s="2"/>
      <c r="F5222" s="2"/>
      <c r="G5222" s="2"/>
      <c r="H5222" s="2"/>
      <c r="I5222" s="2"/>
    </row>
    <row r="5223">
      <c r="A5223" s="2" t="s">
        <v>5301</v>
      </c>
      <c r="B5223" s="2" t="s">
        <v>5266</v>
      </c>
      <c r="C5223" s="1"/>
      <c r="D5223" s="2"/>
      <c r="E5223" s="2"/>
      <c r="F5223" s="2"/>
      <c r="G5223" s="2"/>
      <c r="H5223" s="2"/>
      <c r="I5223" s="2"/>
    </row>
    <row r="5224">
      <c r="A5224" s="2" t="s">
        <v>5302</v>
      </c>
      <c r="B5224" s="2" t="s">
        <v>5266</v>
      </c>
      <c r="C5224" s="2"/>
      <c r="D5224" s="2" t="s">
        <v>11</v>
      </c>
      <c r="E5224" s="2">
        <v>10.0</v>
      </c>
      <c r="F5224" s="2" t="s">
        <v>12</v>
      </c>
      <c r="G5224" s="2"/>
      <c r="H5224" s="2"/>
      <c r="I5224" s="2"/>
    </row>
    <row r="5225">
      <c r="A5225" s="2" t="s">
        <v>5303</v>
      </c>
      <c r="B5225" s="2" t="s">
        <v>5266</v>
      </c>
      <c r="C5225" s="1"/>
      <c r="D5225" s="2"/>
      <c r="E5225" s="2"/>
      <c r="F5225" s="2"/>
      <c r="G5225" s="2"/>
      <c r="H5225" s="2"/>
      <c r="I5225" s="2"/>
    </row>
    <row r="5226">
      <c r="A5226" s="2" t="s">
        <v>5304</v>
      </c>
      <c r="B5226" s="2" t="s">
        <v>5266</v>
      </c>
      <c r="C5226" s="2"/>
      <c r="D5226" s="2" t="s">
        <v>11</v>
      </c>
      <c r="E5226" s="2">
        <v>10.0</v>
      </c>
      <c r="F5226" s="2" t="s">
        <v>12</v>
      </c>
      <c r="G5226" s="2"/>
      <c r="H5226" s="2"/>
      <c r="I5226" s="2"/>
    </row>
    <row r="5227">
      <c r="A5227" s="2" t="s">
        <v>5305</v>
      </c>
      <c r="B5227" s="2" t="s">
        <v>5266</v>
      </c>
      <c r="C5227" s="1"/>
      <c r="D5227" s="2"/>
      <c r="E5227" s="2"/>
      <c r="F5227" s="2"/>
      <c r="G5227" s="2"/>
      <c r="H5227" s="2"/>
      <c r="I5227" s="2"/>
    </row>
    <row r="5228">
      <c r="A5228" s="1" t="s">
        <v>5306</v>
      </c>
      <c r="B5228" s="2" t="s">
        <v>5266</v>
      </c>
      <c r="C5228" s="1"/>
      <c r="D5228" s="2"/>
      <c r="E5228" s="2"/>
      <c r="F5228" s="2"/>
      <c r="G5228" s="2"/>
      <c r="H5228" s="2"/>
      <c r="I5228" s="2"/>
    </row>
    <row r="5229">
      <c r="A5229" s="1" t="s">
        <v>5307</v>
      </c>
      <c r="B5229" s="2" t="s">
        <v>5266</v>
      </c>
      <c r="C5229" s="1"/>
      <c r="D5229" s="2"/>
      <c r="E5229" s="2"/>
      <c r="F5229" s="2"/>
      <c r="G5229" s="2"/>
      <c r="H5229" s="2"/>
      <c r="I5229" s="2"/>
    </row>
    <row r="5230">
      <c r="A5230" s="1" t="s">
        <v>5308</v>
      </c>
      <c r="B5230" s="2" t="s">
        <v>5266</v>
      </c>
      <c r="C5230" s="1"/>
      <c r="D5230" s="2"/>
      <c r="E5230" s="2"/>
      <c r="F5230" s="2"/>
      <c r="G5230" s="2"/>
      <c r="H5230" s="2"/>
      <c r="I5230" s="2"/>
    </row>
    <row r="5231">
      <c r="A5231" s="1" t="s">
        <v>5309</v>
      </c>
      <c r="B5231" s="2" t="s">
        <v>5266</v>
      </c>
      <c r="C5231" s="2"/>
      <c r="D5231" s="2" t="s">
        <v>11</v>
      </c>
      <c r="E5231" s="2">
        <v>10.0</v>
      </c>
      <c r="F5231" s="2" t="s">
        <v>12</v>
      </c>
      <c r="G5231" s="2"/>
      <c r="H5231" s="2"/>
      <c r="I5231" s="2"/>
    </row>
    <row r="5232">
      <c r="A5232" s="1" t="s">
        <v>5309</v>
      </c>
      <c r="B5232" s="2" t="s">
        <v>5266</v>
      </c>
      <c r="C5232" s="2"/>
      <c r="D5232" s="2" t="s">
        <v>11</v>
      </c>
      <c r="E5232" s="2">
        <v>15.0</v>
      </c>
      <c r="F5232" s="2" t="s">
        <v>12</v>
      </c>
      <c r="G5232" s="2"/>
      <c r="H5232" s="2"/>
      <c r="I5232" s="2"/>
    </row>
    <row r="5233">
      <c r="A5233" s="1" t="s">
        <v>5310</v>
      </c>
      <c r="B5233" s="2" t="s">
        <v>5266</v>
      </c>
      <c r="C5233" s="2"/>
      <c r="D5233" s="2" t="s">
        <v>11</v>
      </c>
      <c r="E5233" s="2">
        <v>10.0</v>
      </c>
      <c r="F5233" s="2" t="s">
        <v>12</v>
      </c>
      <c r="G5233" s="2"/>
      <c r="H5233" s="2"/>
      <c r="I5233" s="2"/>
    </row>
    <row r="5234">
      <c r="A5234" s="2" t="s">
        <v>5311</v>
      </c>
      <c r="B5234" s="2" t="s">
        <v>5266</v>
      </c>
      <c r="C5234" s="2"/>
      <c r="D5234" s="2" t="s">
        <v>37</v>
      </c>
      <c r="E5234" s="2">
        <v>15.0</v>
      </c>
      <c r="F5234" s="2" t="s">
        <v>12</v>
      </c>
      <c r="G5234" s="2"/>
      <c r="H5234" s="2"/>
      <c r="I5234" s="2"/>
    </row>
    <row r="5235">
      <c r="A5235" s="2" t="s">
        <v>5312</v>
      </c>
      <c r="B5235" s="2" t="s">
        <v>5266</v>
      </c>
      <c r="C5235" s="2"/>
      <c r="D5235" s="2" t="s">
        <v>37</v>
      </c>
      <c r="E5235" s="2">
        <v>10.0</v>
      </c>
      <c r="F5235" s="2" t="s">
        <v>12</v>
      </c>
      <c r="G5235" s="2"/>
      <c r="H5235" s="2"/>
      <c r="I5235" s="2"/>
    </row>
    <row r="5236">
      <c r="A5236" s="1" t="s">
        <v>5313</v>
      </c>
      <c r="B5236" s="2" t="s">
        <v>5266</v>
      </c>
      <c r="C5236" s="2"/>
      <c r="D5236" s="2" t="s">
        <v>11</v>
      </c>
      <c r="E5236" s="2">
        <v>2.0</v>
      </c>
      <c r="F5236" s="2" t="s">
        <v>12</v>
      </c>
      <c r="G5236" s="2"/>
      <c r="H5236" s="2"/>
      <c r="I5236" s="2"/>
    </row>
    <row r="5237">
      <c r="A5237" s="2" t="s">
        <v>5314</v>
      </c>
      <c r="B5237" s="2" t="s">
        <v>5266</v>
      </c>
      <c r="C5237" s="1"/>
      <c r="D5237" s="2"/>
      <c r="E5237" s="2"/>
      <c r="F5237" s="2"/>
      <c r="G5237" s="2"/>
      <c r="H5237" s="2"/>
      <c r="I5237" s="2"/>
    </row>
    <row r="5238">
      <c r="A5238" s="2" t="s">
        <v>5315</v>
      </c>
      <c r="B5238" s="2" t="s">
        <v>5266</v>
      </c>
      <c r="C5238" s="1"/>
      <c r="D5238" s="2"/>
      <c r="E5238" s="2"/>
      <c r="F5238" s="2"/>
      <c r="G5238" s="2"/>
      <c r="H5238" s="2"/>
      <c r="I5238" s="2"/>
    </row>
    <row r="5239">
      <c r="A5239" s="2" t="s">
        <v>5316</v>
      </c>
      <c r="B5239" s="2" t="s">
        <v>5266</v>
      </c>
      <c r="C5239" s="1"/>
      <c r="D5239" s="2"/>
      <c r="E5239" s="2"/>
      <c r="F5239" s="2"/>
      <c r="G5239" s="2"/>
      <c r="H5239" s="2"/>
      <c r="I5239" s="2"/>
    </row>
    <row r="5240">
      <c r="A5240" s="2" t="s">
        <v>5317</v>
      </c>
      <c r="B5240" s="2" t="s">
        <v>5266</v>
      </c>
      <c r="C5240" s="1"/>
      <c r="D5240" s="2"/>
      <c r="E5240" s="2"/>
      <c r="F5240" s="2"/>
      <c r="G5240" s="2"/>
      <c r="H5240" s="2"/>
      <c r="I5240" s="2"/>
    </row>
    <row r="5241">
      <c r="A5241" s="2" t="s">
        <v>5318</v>
      </c>
      <c r="B5241" s="2" t="s">
        <v>5266</v>
      </c>
      <c r="C5241" s="1"/>
      <c r="D5241" s="2"/>
      <c r="E5241" s="2"/>
      <c r="F5241" s="2"/>
      <c r="G5241" s="2"/>
      <c r="H5241" s="2"/>
      <c r="I5241" s="2"/>
    </row>
    <row r="5242">
      <c r="A5242" s="2" t="s">
        <v>5319</v>
      </c>
      <c r="B5242" s="2" t="s">
        <v>5266</v>
      </c>
      <c r="C5242" s="2"/>
      <c r="D5242" s="2" t="s">
        <v>11</v>
      </c>
      <c r="E5242" s="2">
        <v>10.0</v>
      </c>
      <c r="F5242" s="2" t="s">
        <v>12</v>
      </c>
      <c r="G5242" s="2"/>
      <c r="H5242" s="2"/>
      <c r="I5242" s="2"/>
    </row>
    <row r="5243">
      <c r="A5243" s="2" t="s">
        <v>5320</v>
      </c>
      <c r="B5243" s="2" t="s">
        <v>5266</v>
      </c>
      <c r="C5243" s="2"/>
      <c r="D5243" s="2" t="s">
        <v>11</v>
      </c>
      <c r="E5243" s="2">
        <v>10.0</v>
      </c>
      <c r="F5243" s="2" t="s">
        <v>12</v>
      </c>
      <c r="G5243" s="2"/>
      <c r="H5243" s="2"/>
      <c r="I5243" s="2"/>
    </row>
    <row r="5244">
      <c r="A5244" s="2" t="s">
        <v>5321</v>
      </c>
      <c r="B5244" s="2" t="s">
        <v>5266</v>
      </c>
      <c r="C5244" s="1"/>
      <c r="D5244" s="2"/>
      <c r="E5244" s="2"/>
      <c r="F5244" s="2"/>
      <c r="G5244" s="2"/>
      <c r="H5244" s="2"/>
      <c r="I5244" s="2"/>
    </row>
    <row r="5245">
      <c r="A5245" s="2" t="s">
        <v>5322</v>
      </c>
      <c r="B5245" s="2" t="s">
        <v>5266</v>
      </c>
      <c r="C5245" s="1"/>
      <c r="D5245" s="2"/>
      <c r="E5245" s="2"/>
      <c r="F5245" s="2"/>
      <c r="G5245" s="2"/>
      <c r="H5245" s="2"/>
      <c r="I5245" s="2"/>
    </row>
    <row r="5246">
      <c r="A5246" s="2" t="s">
        <v>5323</v>
      </c>
      <c r="B5246" s="2" t="s">
        <v>5266</v>
      </c>
      <c r="C5246" s="2"/>
      <c r="D5246" s="2" t="s">
        <v>21</v>
      </c>
      <c r="E5246" s="2">
        <v>1.0</v>
      </c>
      <c r="F5246" s="2" t="s">
        <v>22</v>
      </c>
      <c r="G5246" s="2"/>
      <c r="H5246" s="2"/>
      <c r="I5246" s="2"/>
    </row>
    <row r="5247">
      <c r="A5247" s="2" t="s">
        <v>5324</v>
      </c>
      <c r="B5247" s="2" t="s">
        <v>5266</v>
      </c>
      <c r="C5247" s="2"/>
      <c r="D5247" s="2" t="s">
        <v>1023</v>
      </c>
      <c r="E5247" s="2">
        <v>4.0</v>
      </c>
      <c r="F5247" s="2"/>
      <c r="G5247" s="2"/>
      <c r="H5247" s="2"/>
      <c r="I5247" s="2"/>
    </row>
    <row r="5248">
      <c r="A5248" s="2" t="s">
        <v>5325</v>
      </c>
      <c r="B5248" s="2" t="s">
        <v>5266</v>
      </c>
      <c r="C5248" s="2"/>
      <c r="D5248" s="2" t="s">
        <v>37</v>
      </c>
      <c r="E5248" s="2">
        <v>10.0</v>
      </c>
      <c r="F5248" s="2" t="s">
        <v>12</v>
      </c>
      <c r="G5248" s="2"/>
      <c r="H5248" s="2"/>
      <c r="I5248" s="2"/>
    </row>
    <row r="5249">
      <c r="A5249" s="2" t="s">
        <v>5326</v>
      </c>
      <c r="B5249" s="2" t="s">
        <v>5266</v>
      </c>
      <c r="C5249" s="2"/>
      <c r="D5249" s="2" t="s">
        <v>11</v>
      </c>
      <c r="E5249" s="2">
        <v>10.0</v>
      </c>
      <c r="F5249" s="2" t="s">
        <v>12</v>
      </c>
      <c r="G5249" s="2"/>
      <c r="H5249" s="2"/>
      <c r="I5249" s="2"/>
    </row>
    <row r="5250">
      <c r="A5250" s="2" t="s">
        <v>5327</v>
      </c>
      <c r="B5250" s="2" t="s">
        <v>5266</v>
      </c>
      <c r="C5250" s="1"/>
      <c r="D5250" s="2"/>
      <c r="E5250" s="2"/>
      <c r="F5250" s="2"/>
      <c r="G5250" s="2"/>
      <c r="H5250" s="2"/>
      <c r="I5250" s="2"/>
    </row>
    <row r="5251">
      <c r="A5251" s="1" t="s">
        <v>5328</v>
      </c>
      <c r="B5251" s="2" t="s">
        <v>5266</v>
      </c>
      <c r="C5251" s="2"/>
      <c r="D5251" s="2" t="s">
        <v>73</v>
      </c>
      <c r="E5251" s="2">
        <v>1.0</v>
      </c>
      <c r="F5251" s="2" t="s">
        <v>74</v>
      </c>
      <c r="G5251" s="2"/>
      <c r="H5251" s="2"/>
      <c r="I5251" s="2"/>
    </row>
    <row r="5252">
      <c r="A5252" s="1" t="s">
        <v>5329</v>
      </c>
      <c r="B5252" s="2" t="s">
        <v>5266</v>
      </c>
      <c r="C5252" s="2"/>
      <c r="D5252" s="2" t="s">
        <v>73</v>
      </c>
      <c r="E5252" s="2">
        <v>1.0</v>
      </c>
      <c r="F5252" s="2" t="s">
        <v>74</v>
      </c>
      <c r="G5252" s="2"/>
      <c r="H5252" s="2"/>
      <c r="I5252" s="2"/>
    </row>
    <row r="5253">
      <c r="A5253" s="1" t="s">
        <v>5330</v>
      </c>
      <c r="B5253" s="2" t="s">
        <v>5266</v>
      </c>
      <c r="C5253" s="2"/>
      <c r="D5253" s="2" t="s">
        <v>73</v>
      </c>
      <c r="E5253" s="2">
        <v>1.0</v>
      </c>
      <c r="F5253" s="2" t="s">
        <v>74</v>
      </c>
      <c r="G5253" s="2"/>
      <c r="H5253" s="2"/>
      <c r="I5253" s="2"/>
    </row>
    <row r="5254">
      <c r="A5254" s="2" t="s">
        <v>5331</v>
      </c>
      <c r="B5254" s="2" t="s">
        <v>5266</v>
      </c>
      <c r="C5254" s="1"/>
      <c r="D5254" s="2"/>
      <c r="E5254" s="2"/>
      <c r="F5254" s="2"/>
      <c r="G5254" s="2"/>
      <c r="H5254" s="2"/>
      <c r="I5254" s="2"/>
    </row>
    <row r="5255">
      <c r="A5255" s="1" t="s">
        <v>5332</v>
      </c>
      <c r="B5255" s="2" t="s">
        <v>5266</v>
      </c>
      <c r="C5255" s="2"/>
      <c r="D5255" s="2" t="s">
        <v>11</v>
      </c>
      <c r="E5255" s="2">
        <v>10.0</v>
      </c>
      <c r="F5255" s="2" t="s">
        <v>12</v>
      </c>
      <c r="G5255" s="2"/>
      <c r="H5255" s="2"/>
      <c r="I5255" s="2"/>
    </row>
    <row r="5256">
      <c r="A5256" s="2" t="s">
        <v>5333</v>
      </c>
      <c r="B5256" s="2" t="s">
        <v>5266</v>
      </c>
      <c r="C5256" s="2"/>
      <c r="D5256" s="2" t="s">
        <v>11</v>
      </c>
      <c r="E5256" s="2">
        <v>10.0</v>
      </c>
      <c r="F5256" s="2" t="s">
        <v>12</v>
      </c>
      <c r="G5256" s="2"/>
      <c r="H5256" s="2"/>
      <c r="I5256" s="2"/>
    </row>
    <row r="5257">
      <c r="A5257" s="1" t="s">
        <v>5334</v>
      </c>
      <c r="B5257" s="2" t="s">
        <v>5266</v>
      </c>
      <c r="C5257" s="2"/>
      <c r="D5257" s="2" t="s">
        <v>11</v>
      </c>
      <c r="E5257" s="2">
        <v>15.0</v>
      </c>
      <c r="F5257" s="2" t="s">
        <v>12</v>
      </c>
      <c r="G5257" s="2"/>
      <c r="H5257" s="2"/>
      <c r="I5257" s="2"/>
    </row>
    <row r="5258">
      <c r="A5258" s="2" t="s">
        <v>5335</v>
      </c>
      <c r="B5258" s="2" t="s">
        <v>5336</v>
      </c>
      <c r="C5258" s="2"/>
      <c r="D5258" s="2" t="s">
        <v>11</v>
      </c>
      <c r="E5258" s="2">
        <v>15.0</v>
      </c>
      <c r="F5258" s="2" t="s">
        <v>12</v>
      </c>
      <c r="G5258" s="2"/>
      <c r="H5258" s="2"/>
      <c r="I5258" s="2"/>
    </row>
    <row r="5259">
      <c r="A5259" s="2" t="s">
        <v>5337</v>
      </c>
      <c r="B5259" s="2" t="s">
        <v>5336</v>
      </c>
      <c r="C5259" s="1"/>
      <c r="D5259" s="2"/>
      <c r="E5259" s="2"/>
      <c r="F5259" s="2"/>
      <c r="G5259" s="2"/>
      <c r="H5259" s="2"/>
      <c r="I5259" s="2"/>
    </row>
    <row r="5260">
      <c r="A5260" s="2" t="s">
        <v>5338</v>
      </c>
      <c r="B5260" s="2" t="s">
        <v>5336</v>
      </c>
      <c r="C5260" s="2"/>
      <c r="D5260" s="2" t="s">
        <v>11</v>
      </c>
      <c r="E5260" s="2">
        <v>15.0</v>
      </c>
      <c r="F5260" s="2" t="s">
        <v>12</v>
      </c>
      <c r="G5260" s="2"/>
      <c r="H5260" s="2"/>
      <c r="I5260" s="2"/>
    </row>
    <row r="5261">
      <c r="A5261" s="2" t="s">
        <v>5339</v>
      </c>
      <c r="B5261" s="2" t="s">
        <v>5336</v>
      </c>
      <c r="C5261" s="2"/>
      <c r="D5261" s="2" t="s">
        <v>73</v>
      </c>
      <c r="E5261" s="2">
        <v>1.0</v>
      </c>
      <c r="F5261" s="2" t="s">
        <v>74</v>
      </c>
      <c r="G5261" s="2"/>
      <c r="H5261" s="2"/>
      <c r="I5261" s="2"/>
    </row>
    <row r="5262">
      <c r="A5262" s="2" t="s">
        <v>5340</v>
      </c>
      <c r="B5262" s="2" t="s">
        <v>5336</v>
      </c>
      <c r="C5262" s="1"/>
      <c r="D5262" s="2"/>
      <c r="E5262" s="2"/>
      <c r="F5262" s="2"/>
      <c r="G5262" s="2"/>
      <c r="H5262" s="2"/>
      <c r="I5262" s="2"/>
    </row>
    <row r="5263">
      <c r="A5263" s="2" t="s">
        <v>5341</v>
      </c>
      <c r="B5263" s="2" t="s">
        <v>5336</v>
      </c>
      <c r="C5263" s="2"/>
      <c r="D5263" s="2" t="s">
        <v>37</v>
      </c>
      <c r="E5263" s="2">
        <v>15.0</v>
      </c>
      <c r="F5263" s="2" t="s">
        <v>12</v>
      </c>
      <c r="G5263" s="2"/>
      <c r="H5263" s="2"/>
      <c r="I5263" s="2"/>
    </row>
    <row r="5264">
      <c r="A5264" s="2" t="s">
        <v>5342</v>
      </c>
      <c r="B5264" s="2" t="s">
        <v>5336</v>
      </c>
      <c r="C5264" s="2"/>
      <c r="D5264" s="2" t="s">
        <v>11</v>
      </c>
      <c r="E5264" s="2">
        <v>15.0</v>
      </c>
      <c r="F5264" s="2" t="s">
        <v>12</v>
      </c>
      <c r="G5264" s="2"/>
      <c r="H5264" s="2"/>
      <c r="I5264" s="2"/>
    </row>
    <row r="5265">
      <c r="A5265" s="2" t="s">
        <v>5343</v>
      </c>
      <c r="B5265" s="2" t="s">
        <v>5336</v>
      </c>
      <c r="C5265" s="2"/>
      <c r="D5265" s="2" t="s">
        <v>11</v>
      </c>
      <c r="E5265" s="2">
        <v>15.0</v>
      </c>
      <c r="F5265" s="2" t="s">
        <v>12</v>
      </c>
      <c r="G5265" s="2"/>
      <c r="H5265" s="2"/>
      <c r="I5265" s="2"/>
    </row>
    <row r="5266">
      <c r="A5266" s="2" t="s">
        <v>5344</v>
      </c>
      <c r="B5266" s="2" t="s">
        <v>5336</v>
      </c>
      <c r="C5266" s="2"/>
      <c r="D5266" s="2" t="s">
        <v>11</v>
      </c>
      <c r="E5266" s="2">
        <v>15.0</v>
      </c>
      <c r="F5266" s="2" t="s">
        <v>12</v>
      </c>
      <c r="G5266" s="2"/>
      <c r="H5266" s="2"/>
      <c r="I5266" s="2"/>
    </row>
    <row r="5267">
      <c r="A5267" s="2" t="s">
        <v>5345</v>
      </c>
      <c r="B5267" s="2" t="s">
        <v>5336</v>
      </c>
      <c r="C5267" s="2"/>
      <c r="D5267" s="2" t="s">
        <v>11</v>
      </c>
      <c r="E5267" s="2">
        <v>15.0</v>
      </c>
      <c r="F5267" s="2" t="s">
        <v>12</v>
      </c>
      <c r="G5267" s="2"/>
      <c r="H5267" s="2"/>
      <c r="I5267" s="2"/>
    </row>
    <row r="5268">
      <c r="A5268" s="2" t="s">
        <v>5346</v>
      </c>
      <c r="B5268" s="2" t="s">
        <v>5336</v>
      </c>
      <c r="C5268" s="2"/>
      <c r="D5268" s="2" t="s">
        <v>11</v>
      </c>
      <c r="E5268" s="2">
        <v>15.0</v>
      </c>
      <c r="F5268" s="2" t="s">
        <v>12</v>
      </c>
      <c r="G5268" s="2"/>
      <c r="H5268" s="2"/>
      <c r="I5268" s="2"/>
    </row>
    <row r="5269">
      <c r="A5269" s="2" t="s">
        <v>5347</v>
      </c>
      <c r="B5269" s="2" t="s">
        <v>5336</v>
      </c>
      <c r="C5269" s="2"/>
      <c r="D5269" s="2" t="s">
        <v>11</v>
      </c>
      <c r="E5269" s="2">
        <v>15.0</v>
      </c>
      <c r="F5269" s="2" t="s">
        <v>12</v>
      </c>
      <c r="G5269" s="2"/>
      <c r="H5269" s="2"/>
      <c r="I5269" s="2"/>
    </row>
    <row r="5270">
      <c r="A5270" s="2" t="s">
        <v>5348</v>
      </c>
      <c r="B5270" s="2" t="s">
        <v>5336</v>
      </c>
      <c r="C5270" s="2"/>
      <c r="D5270" s="2" t="s">
        <v>11</v>
      </c>
      <c r="E5270" s="2">
        <v>10.0</v>
      </c>
      <c r="F5270" s="2" t="s">
        <v>12</v>
      </c>
      <c r="G5270" s="2"/>
      <c r="H5270" s="2"/>
      <c r="I5270" s="2"/>
    </row>
    <row r="5271">
      <c r="A5271" s="2" t="s">
        <v>5349</v>
      </c>
      <c r="B5271" s="2" t="s">
        <v>5336</v>
      </c>
      <c r="C5271" s="2"/>
      <c r="D5271" s="2"/>
      <c r="E5271" s="2"/>
      <c r="F5271" s="2"/>
      <c r="G5271" s="2"/>
      <c r="H5271" s="2"/>
      <c r="I5271" s="2"/>
    </row>
    <row r="5272">
      <c r="A5272" s="2" t="s">
        <v>5350</v>
      </c>
      <c r="B5272" s="2" t="s">
        <v>5351</v>
      </c>
      <c r="C5272" s="1"/>
      <c r="D5272" s="2"/>
      <c r="E5272" s="2"/>
      <c r="F5272" s="2"/>
      <c r="G5272" s="2"/>
      <c r="H5272" s="2"/>
      <c r="I5272" s="2"/>
    </row>
    <row r="5273">
      <c r="A5273" s="2" t="s">
        <v>5352</v>
      </c>
      <c r="B5273" s="2" t="s">
        <v>5351</v>
      </c>
      <c r="C5273" s="1"/>
      <c r="D5273" s="2"/>
      <c r="E5273" s="2"/>
      <c r="F5273" s="2"/>
      <c r="G5273" s="2"/>
      <c r="H5273" s="2"/>
      <c r="I5273" s="2"/>
    </row>
    <row r="5274">
      <c r="A5274" s="2" t="s">
        <v>5353</v>
      </c>
      <c r="B5274" s="2" t="s">
        <v>5351</v>
      </c>
      <c r="C5274" s="1"/>
      <c r="D5274" s="2"/>
      <c r="E5274" s="2"/>
      <c r="F5274" s="2"/>
      <c r="G5274" s="2"/>
      <c r="H5274" s="2"/>
      <c r="I5274" s="2"/>
    </row>
    <row r="5275">
      <c r="A5275" s="2" t="s">
        <v>5354</v>
      </c>
      <c r="B5275" s="2" t="s">
        <v>5351</v>
      </c>
      <c r="C5275" s="1"/>
      <c r="D5275" s="2"/>
      <c r="E5275" s="2"/>
      <c r="F5275" s="2"/>
      <c r="G5275" s="2"/>
      <c r="H5275" s="2"/>
      <c r="I5275" s="2"/>
    </row>
    <row r="5276">
      <c r="A5276" s="2" t="s">
        <v>5355</v>
      </c>
      <c r="B5276" s="2" t="s">
        <v>5351</v>
      </c>
      <c r="C5276" s="1"/>
      <c r="D5276" s="2"/>
      <c r="E5276" s="2"/>
      <c r="F5276" s="2"/>
      <c r="G5276" s="2"/>
      <c r="H5276" s="2"/>
      <c r="I5276" s="2"/>
    </row>
    <row r="5277">
      <c r="A5277" s="2" t="s">
        <v>5356</v>
      </c>
      <c r="B5277" s="2" t="s">
        <v>5351</v>
      </c>
      <c r="C5277" s="1"/>
      <c r="D5277" s="2"/>
      <c r="E5277" s="2"/>
      <c r="F5277" s="2"/>
      <c r="G5277" s="2"/>
      <c r="H5277" s="2"/>
      <c r="I5277" s="2"/>
    </row>
    <row r="5278">
      <c r="A5278" s="2" t="s">
        <v>5357</v>
      </c>
      <c r="B5278" s="2" t="s">
        <v>5351</v>
      </c>
      <c r="C5278" s="1"/>
      <c r="D5278" s="2"/>
      <c r="E5278" s="2"/>
      <c r="F5278" s="2"/>
      <c r="G5278" s="2"/>
      <c r="H5278" s="2"/>
      <c r="I5278" s="2"/>
    </row>
    <row r="5279">
      <c r="A5279" s="2" t="s">
        <v>5358</v>
      </c>
      <c r="B5279" s="2" t="s">
        <v>5351</v>
      </c>
      <c r="C5279" s="1"/>
      <c r="D5279" s="2"/>
      <c r="E5279" s="2"/>
      <c r="F5279" s="2"/>
      <c r="G5279" s="2"/>
      <c r="H5279" s="2"/>
      <c r="I5279" s="2"/>
    </row>
    <row r="5280">
      <c r="A5280" s="2" t="s">
        <v>5359</v>
      </c>
      <c r="B5280" s="2" t="s">
        <v>5351</v>
      </c>
      <c r="C5280" s="1"/>
      <c r="D5280" s="2"/>
      <c r="E5280" s="2"/>
      <c r="F5280" s="2"/>
      <c r="G5280" s="2"/>
      <c r="H5280" s="2"/>
      <c r="I5280" s="2"/>
    </row>
    <row r="5281">
      <c r="A5281" s="2" t="s">
        <v>5360</v>
      </c>
      <c r="B5281" s="2" t="s">
        <v>5361</v>
      </c>
      <c r="C5281" s="1"/>
      <c r="D5281" s="2"/>
      <c r="E5281" s="2"/>
      <c r="F5281" s="2"/>
      <c r="G5281" s="2"/>
      <c r="H5281" s="2"/>
      <c r="I5281" s="2"/>
    </row>
    <row r="5282">
      <c r="A5282" s="2" t="s">
        <v>5362</v>
      </c>
      <c r="B5282" s="2" t="s">
        <v>5361</v>
      </c>
      <c r="C5282" s="1"/>
      <c r="D5282" s="2"/>
      <c r="E5282" s="2"/>
      <c r="F5282" s="2"/>
      <c r="G5282" s="2"/>
      <c r="H5282" s="2"/>
      <c r="I5282" s="2"/>
    </row>
    <row r="5283">
      <c r="A5283" s="2" t="s">
        <v>5363</v>
      </c>
      <c r="B5283" s="2" t="s">
        <v>5361</v>
      </c>
      <c r="C5283" s="2"/>
      <c r="D5283" s="2" t="s">
        <v>11</v>
      </c>
      <c r="E5283" s="2">
        <v>10.0</v>
      </c>
      <c r="F5283" s="2" t="s">
        <v>12</v>
      </c>
      <c r="G5283" s="2"/>
      <c r="H5283" s="2"/>
      <c r="I5283" s="2"/>
    </row>
    <row r="5284">
      <c r="A5284" s="2" t="s">
        <v>5364</v>
      </c>
      <c r="B5284" s="2" t="s">
        <v>5361</v>
      </c>
      <c r="C5284" s="2"/>
      <c r="D5284" s="2" t="s">
        <v>37</v>
      </c>
      <c r="E5284" s="2">
        <v>10.0</v>
      </c>
      <c r="F5284" s="2" t="s">
        <v>12</v>
      </c>
      <c r="G5284" s="2"/>
      <c r="H5284" s="2"/>
      <c r="I5284" s="2"/>
    </row>
    <row r="5285">
      <c r="A5285" s="2" t="s">
        <v>5365</v>
      </c>
      <c r="B5285" s="2" t="s">
        <v>5361</v>
      </c>
      <c r="C5285" s="2"/>
      <c r="D5285" s="2" t="s">
        <v>37</v>
      </c>
      <c r="E5285" s="2">
        <v>15.0</v>
      </c>
      <c r="F5285" s="2" t="s">
        <v>12</v>
      </c>
      <c r="G5285" s="2"/>
      <c r="H5285" s="2"/>
      <c r="I5285" s="2"/>
    </row>
    <row r="5286">
      <c r="A5286" s="2" t="s">
        <v>5366</v>
      </c>
      <c r="B5286" s="2" t="s">
        <v>5361</v>
      </c>
      <c r="C5286" s="2"/>
      <c r="D5286" s="2" t="s">
        <v>37</v>
      </c>
      <c r="E5286" s="2">
        <v>10.0</v>
      </c>
      <c r="F5286" s="2" t="s">
        <v>12</v>
      </c>
      <c r="G5286" s="2"/>
      <c r="H5286" s="2"/>
      <c r="I5286" s="2"/>
    </row>
    <row r="5287">
      <c r="A5287" s="2" t="s">
        <v>5367</v>
      </c>
      <c r="B5287" s="2" t="s">
        <v>5361</v>
      </c>
      <c r="C5287" s="2"/>
      <c r="D5287" s="2" t="s">
        <v>11</v>
      </c>
      <c r="E5287" s="2">
        <v>10.0</v>
      </c>
      <c r="F5287" s="2" t="s">
        <v>12</v>
      </c>
      <c r="G5287" s="2"/>
      <c r="H5287" s="2"/>
      <c r="I5287" s="2"/>
    </row>
    <row r="5288">
      <c r="A5288" s="2" t="s">
        <v>5368</v>
      </c>
      <c r="B5288" s="2" t="s">
        <v>5361</v>
      </c>
      <c r="C5288" s="2"/>
      <c r="D5288" s="2" t="s">
        <v>11</v>
      </c>
      <c r="E5288" s="2">
        <v>10.0</v>
      </c>
      <c r="F5288" s="2" t="s">
        <v>12</v>
      </c>
      <c r="G5288" s="2"/>
      <c r="H5288" s="2"/>
      <c r="I5288" s="2"/>
    </row>
    <row r="5289">
      <c r="A5289" s="1" t="s">
        <v>5369</v>
      </c>
      <c r="B5289" s="2" t="s">
        <v>5361</v>
      </c>
      <c r="C5289" s="2"/>
      <c r="D5289" s="2" t="s">
        <v>11</v>
      </c>
      <c r="E5289" s="2">
        <v>10.0</v>
      </c>
      <c r="F5289" s="2" t="s">
        <v>12</v>
      </c>
      <c r="G5289" s="2"/>
      <c r="H5289" s="2"/>
      <c r="I5289" s="2"/>
    </row>
    <row r="5290">
      <c r="A5290" s="2" t="s">
        <v>5370</v>
      </c>
      <c r="B5290" s="2" t="s">
        <v>5361</v>
      </c>
      <c r="C5290" s="2"/>
      <c r="D5290" s="2" t="s">
        <v>37</v>
      </c>
      <c r="E5290" s="2">
        <v>10.0</v>
      </c>
      <c r="F5290" s="2" t="s">
        <v>12</v>
      </c>
      <c r="G5290" s="2"/>
      <c r="H5290" s="2"/>
      <c r="I5290" s="2"/>
    </row>
    <row r="5291">
      <c r="A5291" s="2" t="s">
        <v>5371</v>
      </c>
      <c r="B5291" s="2" t="s">
        <v>5361</v>
      </c>
      <c r="C5291" s="1"/>
      <c r="D5291" s="2"/>
      <c r="E5291" s="2"/>
      <c r="F5291" s="2"/>
      <c r="G5291" s="2"/>
      <c r="H5291" s="2"/>
      <c r="I5291" s="2"/>
    </row>
    <row r="5292">
      <c r="A5292" s="2" t="s">
        <v>5372</v>
      </c>
      <c r="B5292" s="2" t="s">
        <v>5361</v>
      </c>
      <c r="C5292" s="1"/>
      <c r="D5292" s="2"/>
      <c r="E5292" s="2"/>
      <c r="F5292" s="2"/>
      <c r="G5292" s="2"/>
      <c r="H5292" s="2"/>
      <c r="I5292" s="2"/>
    </row>
    <row r="5293">
      <c r="A5293" s="2" t="s">
        <v>5373</v>
      </c>
      <c r="B5293" s="2" t="s">
        <v>5361</v>
      </c>
      <c r="C5293" s="2"/>
      <c r="D5293" s="2" t="s">
        <v>11</v>
      </c>
      <c r="E5293" s="2">
        <v>10.0</v>
      </c>
      <c r="F5293" s="2" t="s">
        <v>12</v>
      </c>
      <c r="G5293" s="2"/>
      <c r="H5293" s="2"/>
      <c r="I5293" s="2"/>
    </row>
    <row r="5294">
      <c r="A5294" s="2" t="s">
        <v>5374</v>
      </c>
      <c r="B5294" s="2" t="s">
        <v>5361</v>
      </c>
      <c r="C5294" s="2"/>
      <c r="D5294" s="2" t="s">
        <v>11</v>
      </c>
      <c r="E5294" s="2">
        <v>10.0</v>
      </c>
      <c r="F5294" s="2" t="s">
        <v>12</v>
      </c>
      <c r="G5294" s="2"/>
      <c r="H5294" s="2"/>
      <c r="I5294" s="2"/>
    </row>
    <row r="5295">
      <c r="A5295" s="2" t="s">
        <v>5375</v>
      </c>
      <c r="B5295" s="2" t="s">
        <v>5361</v>
      </c>
      <c r="C5295" s="1"/>
      <c r="D5295" s="2"/>
      <c r="E5295" s="2"/>
      <c r="F5295" s="2"/>
      <c r="G5295" s="2"/>
      <c r="H5295" s="2"/>
      <c r="I5295" s="2"/>
    </row>
    <row r="5296">
      <c r="A5296" s="2" t="s">
        <v>5376</v>
      </c>
      <c r="B5296" s="2" t="s">
        <v>5361</v>
      </c>
      <c r="C5296" s="2"/>
      <c r="D5296" s="2" t="s">
        <v>37</v>
      </c>
      <c r="E5296" s="2">
        <v>10.0</v>
      </c>
      <c r="F5296" s="2" t="s">
        <v>12</v>
      </c>
      <c r="G5296" s="2"/>
      <c r="H5296" s="2"/>
      <c r="I5296" s="2"/>
    </row>
    <row r="5297">
      <c r="A5297" s="1" t="s">
        <v>5377</v>
      </c>
      <c r="B5297" s="2" t="s">
        <v>5361</v>
      </c>
      <c r="C5297" s="2"/>
      <c r="D5297" s="2" t="s">
        <v>37</v>
      </c>
      <c r="E5297" s="2">
        <v>10.0</v>
      </c>
      <c r="F5297" s="2" t="s">
        <v>12</v>
      </c>
      <c r="G5297" s="2"/>
      <c r="H5297" s="2"/>
      <c r="I5297" s="2"/>
    </row>
    <row r="5298">
      <c r="A5298" s="2" t="s">
        <v>5378</v>
      </c>
      <c r="B5298" s="2" t="s">
        <v>5361</v>
      </c>
      <c r="C5298" s="1"/>
      <c r="D5298" s="2"/>
      <c r="E5298" s="2"/>
      <c r="F5298" s="2"/>
      <c r="G5298" s="2"/>
      <c r="H5298" s="2"/>
      <c r="I5298" s="2"/>
    </row>
    <row r="5299">
      <c r="A5299" s="2" t="s">
        <v>5379</v>
      </c>
      <c r="B5299" s="2" t="s">
        <v>5361</v>
      </c>
      <c r="C5299" s="2"/>
      <c r="D5299" s="1" t="s">
        <v>11</v>
      </c>
      <c r="E5299" s="2">
        <v>4.0</v>
      </c>
      <c r="F5299" s="2" t="s">
        <v>12</v>
      </c>
      <c r="G5299" s="2"/>
      <c r="H5299" s="2"/>
      <c r="I5299" s="2"/>
    </row>
    <row r="5300">
      <c r="A5300" s="2" t="s">
        <v>5380</v>
      </c>
      <c r="B5300" s="2" t="s">
        <v>5361</v>
      </c>
      <c r="C5300" s="1"/>
      <c r="D5300" s="2"/>
      <c r="E5300" s="2"/>
      <c r="F5300" s="2"/>
      <c r="G5300" s="2"/>
      <c r="H5300" s="2"/>
      <c r="I5300" s="2"/>
    </row>
    <row r="5301">
      <c r="A5301" s="2" t="s">
        <v>5381</v>
      </c>
      <c r="B5301" s="2" t="s">
        <v>5361</v>
      </c>
      <c r="C5301" s="1"/>
      <c r="D5301" s="2"/>
      <c r="E5301" s="2"/>
      <c r="F5301" s="2"/>
      <c r="G5301" s="2"/>
      <c r="H5301" s="2"/>
      <c r="I5301" s="2"/>
    </row>
    <row r="5302">
      <c r="A5302" s="2" t="s">
        <v>5382</v>
      </c>
      <c r="B5302" s="2" t="s">
        <v>5361</v>
      </c>
      <c r="C5302" s="1"/>
      <c r="D5302" s="2"/>
      <c r="E5302" s="2"/>
      <c r="F5302" s="2"/>
      <c r="G5302" s="2"/>
      <c r="H5302" s="2"/>
      <c r="I5302" s="2"/>
    </row>
    <row r="5303">
      <c r="A5303" s="2" t="s">
        <v>5383</v>
      </c>
      <c r="B5303" s="2" t="s">
        <v>5361</v>
      </c>
      <c r="C5303" s="1"/>
      <c r="D5303" s="2"/>
      <c r="E5303" s="2"/>
      <c r="F5303" s="2"/>
      <c r="G5303" s="2"/>
      <c r="H5303" s="2"/>
      <c r="I5303" s="2"/>
    </row>
    <row r="5304">
      <c r="A5304" s="1" t="s">
        <v>5384</v>
      </c>
      <c r="B5304" s="2" t="s">
        <v>5361</v>
      </c>
      <c r="C5304" s="2"/>
      <c r="D5304" s="2" t="s">
        <v>11</v>
      </c>
      <c r="E5304" s="2">
        <v>10.0</v>
      </c>
      <c r="F5304" s="2" t="s">
        <v>12</v>
      </c>
      <c r="G5304" s="2"/>
      <c r="H5304" s="2"/>
      <c r="I5304" s="2"/>
    </row>
    <row r="5305">
      <c r="A5305" s="2" t="s">
        <v>5385</v>
      </c>
      <c r="B5305" s="2" t="s">
        <v>5361</v>
      </c>
      <c r="C5305" s="2"/>
      <c r="D5305" s="2" t="s">
        <v>37</v>
      </c>
      <c r="E5305" s="2">
        <v>10.0</v>
      </c>
      <c r="F5305" s="2" t="s">
        <v>12</v>
      </c>
      <c r="G5305" s="2"/>
      <c r="H5305" s="2"/>
      <c r="I5305" s="2"/>
    </row>
    <row r="5306">
      <c r="A5306" s="2" t="s">
        <v>5386</v>
      </c>
      <c r="B5306" s="2" t="s">
        <v>5361</v>
      </c>
      <c r="C5306" s="2"/>
      <c r="D5306" s="2" t="s">
        <v>37</v>
      </c>
      <c r="E5306" s="2">
        <v>10.0</v>
      </c>
      <c r="F5306" s="2" t="s">
        <v>12</v>
      </c>
      <c r="G5306" s="2"/>
      <c r="H5306" s="2"/>
      <c r="I5306" s="2"/>
    </row>
    <row r="5307">
      <c r="A5307" s="1" t="s">
        <v>5387</v>
      </c>
      <c r="B5307" s="2" t="s">
        <v>5361</v>
      </c>
      <c r="C5307" s="2"/>
      <c r="D5307" s="2" t="s">
        <v>11</v>
      </c>
      <c r="E5307" s="2">
        <v>10.0</v>
      </c>
      <c r="F5307" s="2" t="s">
        <v>12</v>
      </c>
      <c r="G5307" s="2"/>
      <c r="H5307" s="2"/>
      <c r="I5307" s="2"/>
    </row>
    <row r="5308">
      <c r="A5308" s="2" t="s">
        <v>5388</v>
      </c>
      <c r="B5308" s="2" t="s">
        <v>5361</v>
      </c>
      <c r="C5308" s="2"/>
      <c r="D5308" s="2" t="s">
        <v>11</v>
      </c>
      <c r="E5308" s="2">
        <v>10.0</v>
      </c>
      <c r="F5308" s="2" t="s">
        <v>12</v>
      </c>
      <c r="G5308" s="2"/>
      <c r="H5308" s="2"/>
      <c r="I5308" s="2"/>
    </row>
    <row r="5309">
      <c r="A5309" s="2" t="s">
        <v>5389</v>
      </c>
      <c r="B5309" s="2" t="s">
        <v>5361</v>
      </c>
      <c r="C5309" s="2"/>
      <c r="D5309" s="2" t="s">
        <v>11</v>
      </c>
      <c r="E5309" s="2">
        <v>10.0</v>
      </c>
      <c r="F5309" s="2" t="s">
        <v>12</v>
      </c>
      <c r="G5309" s="2"/>
      <c r="H5309" s="2"/>
      <c r="I5309" s="2"/>
    </row>
    <row r="5310">
      <c r="A5310" s="1" t="s">
        <v>5390</v>
      </c>
      <c r="B5310" s="2" t="s">
        <v>5391</v>
      </c>
      <c r="C5310" s="2"/>
      <c r="D5310" s="2" t="s">
        <v>37</v>
      </c>
      <c r="E5310" s="2">
        <v>10.0</v>
      </c>
      <c r="F5310" s="2" t="s">
        <v>12</v>
      </c>
      <c r="G5310" s="2"/>
      <c r="H5310" s="2"/>
      <c r="I5310" s="2"/>
    </row>
    <row r="5311">
      <c r="A5311" s="1" t="s">
        <v>5392</v>
      </c>
      <c r="B5311" s="2" t="s">
        <v>5391</v>
      </c>
      <c r="C5311" s="2"/>
      <c r="D5311" s="2" t="s">
        <v>37</v>
      </c>
      <c r="E5311" s="2">
        <v>10.0</v>
      </c>
      <c r="F5311" s="2" t="s">
        <v>12</v>
      </c>
      <c r="G5311" s="2"/>
      <c r="H5311" s="2"/>
      <c r="I5311" s="2"/>
    </row>
    <row r="5312">
      <c r="A5312" s="1" t="s">
        <v>5393</v>
      </c>
      <c r="B5312" s="2" t="s">
        <v>5391</v>
      </c>
      <c r="C5312" s="2"/>
      <c r="D5312" s="2" t="s">
        <v>11</v>
      </c>
      <c r="E5312" s="2">
        <v>10.0</v>
      </c>
      <c r="F5312" s="2" t="s">
        <v>12</v>
      </c>
      <c r="G5312" s="2"/>
      <c r="H5312" s="2"/>
      <c r="I5312" s="2"/>
    </row>
    <row r="5313">
      <c r="A5313" s="1" t="s">
        <v>5394</v>
      </c>
      <c r="B5313" s="2" t="s">
        <v>5391</v>
      </c>
      <c r="C5313" s="2"/>
      <c r="D5313" s="2" t="s">
        <v>11</v>
      </c>
      <c r="E5313" s="2">
        <v>10.0</v>
      </c>
      <c r="F5313" s="2" t="s">
        <v>12</v>
      </c>
      <c r="G5313" s="2"/>
      <c r="H5313" s="2"/>
      <c r="I5313" s="2"/>
    </row>
    <row r="5314">
      <c r="A5314" s="1" t="s">
        <v>5395</v>
      </c>
      <c r="B5314" s="2" t="s">
        <v>5391</v>
      </c>
      <c r="C5314" s="2"/>
      <c r="D5314" s="2" t="s">
        <v>11</v>
      </c>
      <c r="E5314" s="2">
        <v>15.0</v>
      </c>
      <c r="F5314" s="2" t="s">
        <v>12</v>
      </c>
      <c r="G5314" s="2"/>
      <c r="H5314" s="2"/>
      <c r="I5314" s="2"/>
    </row>
    <row r="5315">
      <c r="A5315" s="1" t="s">
        <v>5396</v>
      </c>
      <c r="B5315" s="2" t="s">
        <v>5391</v>
      </c>
      <c r="C5315" s="2"/>
      <c r="D5315" s="2" t="s">
        <v>11</v>
      </c>
      <c r="E5315" s="2">
        <v>10.0</v>
      </c>
      <c r="F5315" s="2" t="s">
        <v>12</v>
      </c>
      <c r="G5315" s="2"/>
      <c r="H5315" s="2"/>
      <c r="I5315" s="2"/>
    </row>
    <row r="5316">
      <c r="A5316" s="1" t="s">
        <v>5396</v>
      </c>
      <c r="B5316" s="2" t="s">
        <v>5391</v>
      </c>
      <c r="C5316" s="2"/>
      <c r="D5316" s="2" t="s">
        <v>11</v>
      </c>
      <c r="E5316" s="2">
        <v>15.0</v>
      </c>
      <c r="F5316" s="2" t="s">
        <v>12</v>
      </c>
      <c r="G5316" s="2"/>
      <c r="H5316" s="2"/>
      <c r="I5316" s="2"/>
    </row>
    <row r="5317">
      <c r="A5317" s="1" t="s">
        <v>5397</v>
      </c>
      <c r="B5317" s="2" t="s">
        <v>5391</v>
      </c>
      <c r="C5317" s="2"/>
      <c r="D5317" s="2" t="s">
        <v>11</v>
      </c>
      <c r="E5317" s="2">
        <v>15.0</v>
      </c>
      <c r="F5317" s="2" t="s">
        <v>12</v>
      </c>
      <c r="G5317" s="2"/>
      <c r="H5317" s="2"/>
      <c r="I5317" s="2"/>
    </row>
    <row r="5318">
      <c r="A5318" s="1" t="s">
        <v>5398</v>
      </c>
      <c r="B5318" s="2" t="s">
        <v>5391</v>
      </c>
      <c r="C5318" s="2"/>
      <c r="D5318" s="2" t="s">
        <v>11</v>
      </c>
      <c r="E5318" s="2">
        <v>15.0</v>
      </c>
      <c r="F5318" s="2" t="s">
        <v>12</v>
      </c>
      <c r="G5318" s="2"/>
      <c r="H5318" s="2"/>
      <c r="I5318" s="2"/>
    </row>
    <row r="5319">
      <c r="A5319" s="1" t="s">
        <v>5399</v>
      </c>
      <c r="B5319" s="2" t="s">
        <v>5391</v>
      </c>
      <c r="C5319" s="2"/>
      <c r="D5319" s="2" t="s">
        <v>11</v>
      </c>
      <c r="E5319" s="2">
        <v>10.0</v>
      </c>
      <c r="F5319" s="2" t="s">
        <v>12</v>
      </c>
      <c r="G5319" s="2"/>
      <c r="H5319" s="2"/>
      <c r="I5319" s="2"/>
    </row>
    <row r="5320">
      <c r="A5320" s="1" t="s">
        <v>5399</v>
      </c>
      <c r="B5320" s="2" t="s">
        <v>5391</v>
      </c>
      <c r="C5320" s="2"/>
      <c r="D5320" s="2" t="s">
        <v>11</v>
      </c>
      <c r="E5320" s="2">
        <v>15.0</v>
      </c>
      <c r="F5320" s="2" t="s">
        <v>12</v>
      </c>
      <c r="G5320" s="2"/>
      <c r="H5320" s="2"/>
      <c r="I5320" s="2"/>
    </row>
    <row r="5321">
      <c r="A5321" s="1" t="s">
        <v>5400</v>
      </c>
      <c r="B5321" s="2" t="s">
        <v>5391</v>
      </c>
      <c r="C5321" s="2"/>
      <c r="D5321" s="2" t="s">
        <v>37</v>
      </c>
      <c r="E5321" s="2">
        <v>10.0</v>
      </c>
      <c r="F5321" s="2" t="s">
        <v>12</v>
      </c>
      <c r="G5321" s="2"/>
      <c r="H5321" s="2"/>
      <c r="I5321" s="2"/>
    </row>
    <row r="5322">
      <c r="A5322" s="1" t="s">
        <v>5401</v>
      </c>
      <c r="B5322" s="2" t="s">
        <v>5391</v>
      </c>
      <c r="C5322" s="2"/>
      <c r="D5322" s="2" t="s">
        <v>37</v>
      </c>
      <c r="E5322" s="2">
        <v>10.0</v>
      </c>
      <c r="F5322" s="2" t="s">
        <v>12</v>
      </c>
      <c r="G5322" s="2"/>
      <c r="H5322" s="2"/>
      <c r="I5322" s="2"/>
    </row>
    <row r="5323">
      <c r="A5323" s="1" t="s">
        <v>5402</v>
      </c>
      <c r="B5323" s="2" t="s">
        <v>5391</v>
      </c>
      <c r="C5323" s="2"/>
      <c r="D5323" s="2" t="s">
        <v>11</v>
      </c>
      <c r="E5323" s="2">
        <v>10.0</v>
      </c>
      <c r="F5323" s="2" t="s">
        <v>12</v>
      </c>
      <c r="G5323" s="2"/>
      <c r="H5323" s="2"/>
      <c r="I5323" s="2"/>
    </row>
    <row r="5324">
      <c r="A5324" s="1" t="s">
        <v>5403</v>
      </c>
      <c r="B5324" s="2" t="s">
        <v>5391</v>
      </c>
      <c r="C5324" s="2"/>
      <c r="D5324" s="2" t="s">
        <v>11</v>
      </c>
      <c r="E5324" s="2">
        <v>10.0</v>
      </c>
      <c r="F5324" s="2" t="s">
        <v>12</v>
      </c>
      <c r="G5324" s="2"/>
      <c r="H5324" s="2"/>
      <c r="I5324" s="2"/>
    </row>
    <row r="5325">
      <c r="A5325" s="1" t="s">
        <v>5404</v>
      </c>
      <c r="B5325" s="2" t="s">
        <v>5391</v>
      </c>
      <c r="C5325" s="2"/>
      <c r="D5325" s="2" t="s">
        <v>11</v>
      </c>
      <c r="E5325" s="2">
        <v>10.0</v>
      </c>
      <c r="F5325" s="2" t="s">
        <v>12</v>
      </c>
      <c r="G5325" s="2"/>
      <c r="H5325" s="2"/>
      <c r="I5325" s="2"/>
    </row>
    <row r="5326">
      <c r="A5326" s="1" t="s">
        <v>5405</v>
      </c>
      <c r="B5326" s="2" t="s">
        <v>5391</v>
      </c>
      <c r="C5326" s="2"/>
      <c r="D5326" s="2" t="s">
        <v>11</v>
      </c>
      <c r="E5326" s="2">
        <v>10.0</v>
      </c>
      <c r="F5326" s="2" t="s">
        <v>12</v>
      </c>
      <c r="G5326" s="2"/>
      <c r="H5326" s="2"/>
      <c r="I5326" s="2"/>
    </row>
    <row r="5327">
      <c r="A5327" s="1" t="s">
        <v>5406</v>
      </c>
      <c r="B5327" s="2" t="s">
        <v>5391</v>
      </c>
      <c r="C5327" s="2"/>
      <c r="D5327" s="2" t="s">
        <v>11</v>
      </c>
      <c r="E5327" s="2">
        <v>10.0</v>
      </c>
      <c r="F5327" s="2" t="s">
        <v>12</v>
      </c>
      <c r="G5327" s="2"/>
      <c r="H5327" s="2"/>
      <c r="I5327" s="2"/>
    </row>
    <row r="5328">
      <c r="A5328" s="1" t="s">
        <v>5407</v>
      </c>
      <c r="B5328" s="2" t="s">
        <v>5391</v>
      </c>
      <c r="C5328" s="2"/>
      <c r="D5328" s="2" t="s">
        <v>11</v>
      </c>
      <c r="E5328" s="2">
        <v>10.0</v>
      </c>
      <c r="F5328" s="2" t="s">
        <v>12</v>
      </c>
      <c r="G5328" s="2"/>
      <c r="H5328" s="2"/>
      <c r="I5328" s="2"/>
    </row>
    <row r="5329">
      <c r="A5329" s="1" t="s">
        <v>5408</v>
      </c>
      <c r="B5329" s="2" t="s">
        <v>5391</v>
      </c>
      <c r="C5329" s="2"/>
      <c r="D5329" s="2" t="s">
        <v>11</v>
      </c>
      <c r="E5329" s="2">
        <v>10.0</v>
      </c>
      <c r="F5329" s="2" t="s">
        <v>12</v>
      </c>
      <c r="G5329" s="2"/>
      <c r="H5329" s="2"/>
      <c r="I5329" s="2"/>
    </row>
    <row r="5330">
      <c r="A5330" s="1" t="s">
        <v>5409</v>
      </c>
      <c r="B5330" s="2" t="s">
        <v>5391</v>
      </c>
      <c r="C5330" s="2"/>
      <c r="D5330" s="2" t="s">
        <v>11</v>
      </c>
      <c r="E5330" s="2">
        <v>10.0</v>
      </c>
      <c r="F5330" s="2" t="s">
        <v>12</v>
      </c>
      <c r="G5330" s="2"/>
      <c r="H5330" s="2"/>
      <c r="I5330" s="2"/>
    </row>
    <row r="5331">
      <c r="A5331" s="2" t="s">
        <v>5410</v>
      </c>
      <c r="B5331" s="2" t="s">
        <v>5391</v>
      </c>
      <c r="C5331" s="2"/>
      <c r="D5331" s="2" t="s">
        <v>11</v>
      </c>
      <c r="E5331" s="2">
        <v>10.0</v>
      </c>
      <c r="F5331" s="2" t="s">
        <v>12</v>
      </c>
      <c r="G5331" s="2"/>
      <c r="H5331" s="2"/>
      <c r="I5331" s="2"/>
    </row>
    <row r="5332">
      <c r="A5332" s="1" t="s">
        <v>5411</v>
      </c>
      <c r="B5332" s="2" t="s">
        <v>5391</v>
      </c>
      <c r="C5332" s="2"/>
      <c r="D5332" s="2" t="s">
        <v>11</v>
      </c>
      <c r="E5332" s="2">
        <v>10.0</v>
      </c>
      <c r="F5332" s="2" t="s">
        <v>12</v>
      </c>
      <c r="G5332" s="2"/>
      <c r="H5332" s="2"/>
      <c r="I5332" s="2"/>
    </row>
    <row r="5333">
      <c r="A5333" s="1" t="s">
        <v>5412</v>
      </c>
      <c r="B5333" s="2" t="s">
        <v>5391</v>
      </c>
      <c r="C5333" s="2"/>
      <c r="D5333" s="2" t="s">
        <v>11</v>
      </c>
      <c r="E5333" s="2">
        <v>10.0</v>
      </c>
      <c r="F5333" s="2" t="s">
        <v>12</v>
      </c>
      <c r="G5333" s="2"/>
      <c r="H5333" s="2"/>
      <c r="I5333" s="2"/>
    </row>
    <row r="5334">
      <c r="A5334" s="1" t="s">
        <v>5413</v>
      </c>
      <c r="B5334" s="2" t="s">
        <v>5391</v>
      </c>
      <c r="C5334" s="2"/>
      <c r="D5334" s="2" t="s">
        <v>11</v>
      </c>
      <c r="E5334" s="2">
        <v>10.0</v>
      </c>
      <c r="F5334" s="2" t="s">
        <v>12</v>
      </c>
      <c r="G5334" s="2"/>
      <c r="H5334" s="2"/>
      <c r="I5334" s="2"/>
    </row>
    <row r="5335">
      <c r="A5335" s="1" t="s">
        <v>5414</v>
      </c>
      <c r="B5335" s="2" t="s">
        <v>5391</v>
      </c>
      <c r="C5335" s="2"/>
      <c r="D5335" s="2" t="s">
        <v>11</v>
      </c>
      <c r="E5335" s="2">
        <v>10.0</v>
      </c>
      <c r="F5335" s="2" t="s">
        <v>12</v>
      </c>
      <c r="G5335" s="2"/>
      <c r="H5335" s="2"/>
      <c r="I5335" s="2"/>
    </row>
    <row r="5336">
      <c r="A5336" s="1" t="s">
        <v>5415</v>
      </c>
      <c r="B5336" s="2" t="s">
        <v>5391</v>
      </c>
      <c r="C5336" s="2"/>
      <c r="D5336" s="2" t="s">
        <v>11</v>
      </c>
      <c r="E5336" s="2">
        <v>10.0</v>
      </c>
      <c r="F5336" s="2" t="s">
        <v>12</v>
      </c>
      <c r="G5336" s="2"/>
      <c r="H5336" s="2"/>
      <c r="I5336" s="2"/>
    </row>
    <row r="5337">
      <c r="A5337" s="1" t="s">
        <v>5416</v>
      </c>
      <c r="B5337" s="2" t="s">
        <v>5391</v>
      </c>
      <c r="C5337" s="2"/>
      <c r="D5337" s="2" t="s">
        <v>11</v>
      </c>
      <c r="E5337" s="2">
        <v>10.0</v>
      </c>
      <c r="F5337" s="2" t="s">
        <v>12</v>
      </c>
      <c r="G5337" s="2"/>
      <c r="H5337" s="2"/>
      <c r="I5337" s="2"/>
    </row>
    <row r="5338">
      <c r="A5338" s="1" t="s">
        <v>5417</v>
      </c>
      <c r="B5338" s="2" t="s">
        <v>5391</v>
      </c>
      <c r="C5338" s="2"/>
      <c r="D5338" s="2" t="s">
        <v>11</v>
      </c>
      <c r="E5338" s="2">
        <v>10.0</v>
      </c>
      <c r="F5338" s="2" t="s">
        <v>12</v>
      </c>
      <c r="G5338" s="2"/>
      <c r="H5338" s="2"/>
      <c r="I5338" s="2"/>
    </row>
    <row r="5339">
      <c r="A5339" s="1" t="s">
        <v>5418</v>
      </c>
      <c r="B5339" s="2" t="s">
        <v>5391</v>
      </c>
      <c r="C5339" s="2"/>
      <c r="D5339" s="2" t="s">
        <v>11</v>
      </c>
      <c r="E5339" s="2">
        <v>10.0</v>
      </c>
      <c r="F5339" s="2" t="s">
        <v>12</v>
      </c>
      <c r="G5339" s="2"/>
      <c r="H5339" s="2"/>
      <c r="I5339" s="2"/>
    </row>
    <row r="5340">
      <c r="A5340" s="1" t="s">
        <v>5419</v>
      </c>
      <c r="B5340" s="2" t="s">
        <v>5391</v>
      </c>
      <c r="C5340" s="2"/>
      <c r="D5340" s="2" t="s">
        <v>11</v>
      </c>
      <c r="E5340" s="2">
        <v>10.0</v>
      </c>
      <c r="F5340" s="2" t="s">
        <v>12</v>
      </c>
      <c r="G5340" s="2"/>
      <c r="H5340" s="2"/>
      <c r="I5340" s="2"/>
    </row>
    <row r="5341">
      <c r="A5341" s="2" t="s">
        <v>5420</v>
      </c>
      <c r="B5341" s="2" t="s">
        <v>5391</v>
      </c>
      <c r="C5341" s="2"/>
      <c r="D5341" s="2" t="s">
        <v>11</v>
      </c>
      <c r="E5341" s="2">
        <v>10.0</v>
      </c>
      <c r="F5341" s="2" t="s">
        <v>12</v>
      </c>
      <c r="G5341" s="2"/>
      <c r="H5341" s="2"/>
      <c r="I5341" s="2"/>
    </row>
    <row r="5342">
      <c r="A5342" s="2" t="s">
        <v>5421</v>
      </c>
      <c r="B5342" s="2" t="s">
        <v>5422</v>
      </c>
      <c r="C5342" s="1"/>
      <c r="D5342" s="2"/>
      <c r="E5342" s="2"/>
      <c r="F5342" s="2"/>
      <c r="G5342" s="2"/>
      <c r="H5342" s="2"/>
      <c r="I5342" s="2"/>
    </row>
    <row r="5343">
      <c r="A5343" s="2" t="s">
        <v>5423</v>
      </c>
      <c r="B5343" s="2" t="s">
        <v>5422</v>
      </c>
      <c r="C5343" s="1"/>
      <c r="D5343" s="2"/>
      <c r="E5343" s="2"/>
      <c r="F5343" s="2"/>
      <c r="G5343" s="2"/>
      <c r="H5343" s="2"/>
      <c r="I5343" s="2"/>
    </row>
    <row r="5344">
      <c r="A5344" s="2" t="s">
        <v>5424</v>
      </c>
      <c r="B5344" s="2" t="s">
        <v>5422</v>
      </c>
      <c r="C5344" s="1"/>
      <c r="D5344" s="2"/>
      <c r="E5344" s="2"/>
      <c r="F5344" s="2"/>
      <c r="G5344" s="2"/>
      <c r="H5344" s="2"/>
      <c r="I5344" s="2"/>
    </row>
    <row r="5345">
      <c r="A5345" s="1" t="s">
        <v>5425</v>
      </c>
      <c r="B5345" s="2" t="s">
        <v>5422</v>
      </c>
      <c r="C5345" s="2"/>
      <c r="D5345" s="2" t="s">
        <v>11</v>
      </c>
      <c r="E5345" s="2">
        <v>10.0</v>
      </c>
      <c r="F5345" s="2" t="s">
        <v>12</v>
      </c>
      <c r="G5345" s="2"/>
      <c r="H5345" s="2"/>
      <c r="I5345" s="2"/>
    </row>
    <row r="5346">
      <c r="A5346" s="1" t="s">
        <v>5426</v>
      </c>
      <c r="B5346" s="2" t="s">
        <v>5422</v>
      </c>
      <c r="C5346" s="2"/>
      <c r="D5346" s="2" t="s">
        <v>11</v>
      </c>
      <c r="E5346" s="2">
        <v>10.0</v>
      </c>
      <c r="F5346" s="2" t="s">
        <v>12</v>
      </c>
      <c r="G5346" s="2"/>
      <c r="H5346" s="2"/>
      <c r="I5346" s="2"/>
    </row>
    <row r="5347">
      <c r="A5347" s="1" t="s">
        <v>5427</v>
      </c>
      <c r="B5347" s="2" t="s">
        <v>5422</v>
      </c>
      <c r="C5347" s="2"/>
      <c r="D5347" s="2" t="s">
        <v>11</v>
      </c>
      <c r="E5347" s="2">
        <v>10.0</v>
      </c>
      <c r="F5347" s="2" t="s">
        <v>12</v>
      </c>
      <c r="G5347" s="2"/>
      <c r="H5347" s="2"/>
      <c r="I5347" s="2"/>
    </row>
    <row r="5348">
      <c r="A5348" s="1" t="s">
        <v>5428</v>
      </c>
      <c r="B5348" s="2" t="s">
        <v>5422</v>
      </c>
      <c r="C5348" s="2"/>
      <c r="D5348" s="2" t="s">
        <v>11</v>
      </c>
      <c r="E5348" s="2">
        <v>10.0</v>
      </c>
      <c r="F5348" s="2" t="s">
        <v>12</v>
      </c>
      <c r="G5348" s="2"/>
      <c r="H5348" s="2"/>
      <c r="I5348" s="2"/>
    </row>
    <row r="5349">
      <c r="A5349" s="2" t="s">
        <v>5429</v>
      </c>
      <c r="B5349" s="2" t="s">
        <v>5422</v>
      </c>
      <c r="C5349" s="1"/>
      <c r="D5349" s="2"/>
      <c r="E5349" s="2"/>
      <c r="F5349" s="2"/>
      <c r="G5349" s="2"/>
      <c r="H5349" s="2"/>
      <c r="I5349" s="2"/>
    </row>
    <row r="5350">
      <c r="A5350" s="2" t="s">
        <v>5430</v>
      </c>
      <c r="B5350" s="2" t="s">
        <v>5422</v>
      </c>
      <c r="C5350" s="2"/>
      <c r="D5350" s="2" t="s">
        <v>37</v>
      </c>
      <c r="E5350" s="2">
        <v>10.0</v>
      </c>
      <c r="F5350" s="2" t="s">
        <v>12</v>
      </c>
      <c r="G5350" s="2"/>
      <c r="H5350" s="2"/>
      <c r="I5350" s="2"/>
    </row>
    <row r="5351">
      <c r="A5351" s="2" t="s">
        <v>5431</v>
      </c>
      <c r="B5351" s="2" t="s">
        <v>5422</v>
      </c>
      <c r="C5351" s="1"/>
      <c r="D5351" s="2"/>
      <c r="E5351" s="2"/>
      <c r="F5351" s="2"/>
      <c r="G5351" s="2"/>
      <c r="H5351" s="2"/>
      <c r="I5351" s="2"/>
    </row>
    <row r="5352">
      <c r="A5352" s="1" t="s">
        <v>5432</v>
      </c>
      <c r="B5352" s="2" t="s">
        <v>5422</v>
      </c>
      <c r="C5352" s="2"/>
      <c r="D5352" s="2" t="s">
        <v>11</v>
      </c>
      <c r="E5352" s="2">
        <v>10.0</v>
      </c>
      <c r="F5352" s="2" t="s">
        <v>12</v>
      </c>
      <c r="G5352" s="2"/>
      <c r="H5352" s="2"/>
      <c r="I5352" s="2"/>
    </row>
    <row r="5353">
      <c r="A5353" s="1" t="s">
        <v>5433</v>
      </c>
      <c r="B5353" s="2" t="s">
        <v>5422</v>
      </c>
      <c r="C5353" s="2"/>
      <c r="D5353" s="2" t="s">
        <v>11</v>
      </c>
      <c r="E5353" s="2">
        <v>10.0</v>
      </c>
      <c r="F5353" s="2" t="s">
        <v>12</v>
      </c>
      <c r="G5353" s="2"/>
      <c r="H5353" s="2"/>
      <c r="I5353" s="2"/>
    </row>
    <row r="5354">
      <c r="A5354" s="1" t="s">
        <v>5434</v>
      </c>
      <c r="B5354" s="2" t="s">
        <v>5422</v>
      </c>
      <c r="C5354" s="2"/>
      <c r="D5354" s="2" t="s">
        <v>11</v>
      </c>
      <c r="E5354" s="2">
        <v>10.0</v>
      </c>
      <c r="F5354" s="2" t="s">
        <v>12</v>
      </c>
      <c r="G5354" s="2"/>
      <c r="H5354" s="2"/>
      <c r="I5354" s="2"/>
    </row>
    <row r="5355">
      <c r="A5355" s="1" t="s">
        <v>5435</v>
      </c>
      <c r="B5355" s="2" t="s">
        <v>5422</v>
      </c>
      <c r="C5355" s="2"/>
      <c r="D5355" s="2" t="s">
        <v>11</v>
      </c>
      <c r="E5355" s="2">
        <v>10.0</v>
      </c>
      <c r="F5355" s="2" t="s">
        <v>12</v>
      </c>
      <c r="G5355" s="2"/>
      <c r="H5355" s="2"/>
      <c r="I5355" s="2"/>
    </row>
    <row r="5356">
      <c r="A5356" s="2" t="s">
        <v>5436</v>
      </c>
      <c r="B5356" s="2" t="s">
        <v>5422</v>
      </c>
      <c r="C5356" s="2"/>
      <c r="D5356" s="2" t="s">
        <v>11</v>
      </c>
      <c r="E5356" s="2">
        <v>10.0</v>
      </c>
      <c r="F5356" s="2" t="s">
        <v>12</v>
      </c>
      <c r="G5356" s="2"/>
      <c r="H5356" s="2"/>
      <c r="I5356" s="2"/>
    </row>
    <row r="5357">
      <c r="A5357" s="2" t="s">
        <v>5437</v>
      </c>
      <c r="B5357" s="2" t="s">
        <v>5422</v>
      </c>
      <c r="C5357" s="2"/>
      <c r="D5357" s="2" t="s">
        <v>21</v>
      </c>
      <c r="E5357" s="2">
        <v>5.0</v>
      </c>
      <c r="F5357" s="2"/>
      <c r="G5357" s="2"/>
      <c r="H5357" s="2"/>
      <c r="I5357" s="2"/>
    </row>
    <row r="5358">
      <c r="A5358" s="2" t="s">
        <v>5438</v>
      </c>
      <c r="B5358" s="2" t="s">
        <v>5439</v>
      </c>
      <c r="C5358" s="2"/>
      <c r="D5358" s="2" t="s">
        <v>11</v>
      </c>
      <c r="E5358" s="2">
        <v>6.0</v>
      </c>
      <c r="F5358" s="2" t="s">
        <v>12</v>
      </c>
      <c r="G5358" s="2"/>
      <c r="H5358" s="2"/>
      <c r="I5358" s="2"/>
    </row>
    <row r="5359">
      <c r="A5359" s="1" t="s">
        <v>5440</v>
      </c>
      <c r="B5359" s="2" t="s">
        <v>5439</v>
      </c>
      <c r="C5359" s="2"/>
      <c r="D5359" s="2" t="s">
        <v>11</v>
      </c>
      <c r="E5359" s="2">
        <v>10.0</v>
      </c>
      <c r="F5359" s="2" t="s">
        <v>12</v>
      </c>
      <c r="G5359" s="2"/>
      <c r="H5359" s="2"/>
      <c r="I5359" s="2"/>
    </row>
    <row r="5360">
      <c r="A5360" s="1" t="s">
        <v>5441</v>
      </c>
      <c r="B5360" s="2" t="s">
        <v>5439</v>
      </c>
      <c r="C5360" s="2"/>
      <c r="D5360" s="2" t="s">
        <v>11</v>
      </c>
      <c r="E5360" s="2">
        <v>10.0</v>
      </c>
      <c r="F5360" s="2" t="s">
        <v>12</v>
      </c>
      <c r="G5360" s="2"/>
      <c r="H5360" s="2"/>
      <c r="I5360" s="2"/>
    </row>
    <row r="5361">
      <c r="A5361" s="1" t="s">
        <v>5442</v>
      </c>
      <c r="B5361" s="2" t="s">
        <v>5439</v>
      </c>
      <c r="C5361" s="2"/>
      <c r="D5361" s="2" t="s">
        <v>11</v>
      </c>
      <c r="E5361" s="2">
        <v>10.0</v>
      </c>
      <c r="F5361" s="2" t="s">
        <v>12</v>
      </c>
      <c r="G5361" s="2"/>
      <c r="H5361" s="2"/>
      <c r="I5361" s="2"/>
    </row>
    <row r="5362">
      <c r="A5362" s="1" t="s">
        <v>5443</v>
      </c>
      <c r="B5362" s="2" t="s">
        <v>5439</v>
      </c>
      <c r="C5362" s="2"/>
      <c r="D5362" s="2" t="s">
        <v>37</v>
      </c>
      <c r="E5362" s="2">
        <v>10.0</v>
      </c>
      <c r="F5362" s="2" t="s">
        <v>12</v>
      </c>
      <c r="G5362" s="2"/>
      <c r="H5362" s="2"/>
      <c r="I5362" s="2"/>
    </row>
    <row r="5363">
      <c r="A5363" s="1" t="s">
        <v>5444</v>
      </c>
      <c r="B5363" s="2" t="s">
        <v>5439</v>
      </c>
      <c r="C5363" s="2"/>
      <c r="D5363" s="2" t="s">
        <v>37</v>
      </c>
      <c r="E5363" s="2">
        <v>10.0</v>
      </c>
      <c r="F5363" s="2" t="s">
        <v>12</v>
      </c>
      <c r="G5363" s="2"/>
      <c r="H5363" s="2"/>
      <c r="I5363" s="2"/>
    </row>
    <row r="5364">
      <c r="A5364" s="1" t="s">
        <v>5445</v>
      </c>
      <c r="B5364" s="2" t="s">
        <v>5439</v>
      </c>
      <c r="C5364" s="2"/>
      <c r="D5364" s="2" t="s">
        <v>37</v>
      </c>
      <c r="E5364" s="2">
        <v>10.0</v>
      </c>
      <c r="F5364" s="2" t="s">
        <v>12</v>
      </c>
      <c r="G5364" s="2"/>
      <c r="H5364" s="2"/>
      <c r="I5364" s="2"/>
    </row>
    <row r="5365">
      <c r="A5365" s="1" t="s">
        <v>5446</v>
      </c>
      <c r="B5365" s="2" t="s">
        <v>5439</v>
      </c>
      <c r="C5365" s="2"/>
      <c r="D5365" s="2" t="s">
        <v>37</v>
      </c>
      <c r="E5365" s="2">
        <v>10.0</v>
      </c>
      <c r="F5365" s="2" t="s">
        <v>12</v>
      </c>
      <c r="G5365" s="2"/>
      <c r="H5365" s="2"/>
      <c r="I5365" s="2"/>
    </row>
    <row r="5366">
      <c r="A5366" s="1" t="s">
        <v>5447</v>
      </c>
      <c r="B5366" s="2" t="s">
        <v>5439</v>
      </c>
      <c r="C5366" s="2"/>
      <c r="D5366" s="2" t="s">
        <v>11</v>
      </c>
      <c r="E5366" s="2">
        <v>10.0</v>
      </c>
      <c r="F5366" s="2" t="s">
        <v>12</v>
      </c>
      <c r="G5366" s="2"/>
      <c r="H5366" s="2"/>
      <c r="I5366" s="2"/>
    </row>
    <row r="5367">
      <c r="A5367" s="1" t="s">
        <v>5448</v>
      </c>
      <c r="B5367" s="2" t="s">
        <v>5439</v>
      </c>
      <c r="C5367" s="2"/>
      <c r="D5367" s="2" t="s">
        <v>37</v>
      </c>
      <c r="E5367" s="2">
        <v>10.0</v>
      </c>
      <c r="F5367" s="2" t="s">
        <v>12</v>
      </c>
      <c r="G5367" s="2"/>
      <c r="H5367" s="2"/>
      <c r="I5367" s="2"/>
    </row>
    <row r="5368">
      <c r="A5368" s="1" t="s">
        <v>5449</v>
      </c>
      <c r="B5368" s="2" t="s">
        <v>5439</v>
      </c>
      <c r="C5368" s="2"/>
      <c r="D5368" s="2" t="s">
        <v>11</v>
      </c>
      <c r="E5368" s="2">
        <v>10.0</v>
      </c>
      <c r="F5368" s="2" t="s">
        <v>12</v>
      </c>
      <c r="G5368" s="2"/>
      <c r="H5368" s="2"/>
      <c r="I5368" s="2"/>
    </row>
    <row r="5369">
      <c r="A5369" s="2" t="s">
        <v>5450</v>
      </c>
      <c r="B5369" s="2" t="s">
        <v>5439</v>
      </c>
      <c r="C5369" s="2"/>
      <c r="D5369" s="2" t="s">
        <v>11</v>
      </c>
      <c r="E5369" s="2">
        <v>10.0</v>
      </c>
      <c r="F5369" s="2" t="s">
        <v>12</v>
      </c>
      <c r="G5369" s="2"/>
      <c r="H5369" s="2"/>
      <c r="I5369" s="2"/>
    </row>
    <row r="5370">
      <c r="A5370" s="1" t="s">
        <v>5451</v>
      </c>
      <c r="B5370" s="2" t="s">
        <v>5439</v>
      </c>
      <c r="C5370" s="2"/>
      <c r="D5370" s="2" t="s">
        <v>11</v>
      </c>
      <c r="E5370" s="2">
        <v>10.0</v>
      </c>
      <c r="F5370" s="2" t="s">
        <v>12</v>
      </c>
      <c r="G5370" s="2"/>
      <c r="H5370" s="2"/>
      <c r="I5370" s="2"/>
    </row>
    <row r="5371">
      <c r="A5371" s="1" t="s">
        <v>5452</v>
      </c>
      <c r="B5371" s="2" t="s">
        <v>5439</v>
      </c>
      <c r="C5371" s="2"/>
      <c r="D5371" s="2" t="s">
        <v>11</v>
      </c>
      <c r="E5371" s="2">
        <v>10.0</v>
      </c>
      <c r="F5371" s="2" t="s">
        <v>12</v>
      </c>
      <c r="G5371" s="2"/>
      <c r="H5371" s="2"/>
      <c r="I5371" s="2"/>
    </row>
    <row r="5372">
      <c r="A5372" s="1" t="s">
        <v>5453</v>
      </c>
      <c r="B5372" s="2" t="s">
        <v>5439</v>
      </c>
      <c r="C5372" s="2"/>
      <c r="D5372" s="2" t="s">
        <v>11</v>
      </c>
      <c r="E5372" s="2">
        <v>10.0</v>
      </c>
      <c r="F5372" s="2" t="s">
        <v>12</v>
      </c>
      <c r="G5372" s="2"/>
      <c r="H5372" s="2"/>
      <c r="I5372" s="2"/>
    </row>
    <row r="5373">
      <c r="A5373" s="1" t="s">
        <v>5454</v>
      </c>
      <c r="B5373" s="2" t="s">
        <v>5439</v>
      </c>
      <c r="C5373" s="2"/>
      <c r="D5373" s="2" t="s">
        <v>11</v>
      </c>
      <c r="E5373" s="2">
        <v>10.0</v>
      </c>
      <c r="F5373" s="2" t="s">
        <v>12</v>
      </c>
      <c r="G5373" s="2"/>
      <c r="H5373" s="2"/>
      <c r="I5373" s="2"/>
    </row>
    <row r="5374">
      <c r="A5374" s="1" t="s">
        <v>5455</v>
      </c>
      <c r="B5374" s="2" t="s">
        <v>5439</v>
      </c>
      <c r="C5374" s="2"/>
      <c r="D5374" s="2" t="s">
        <v>11</v>
      </c>
      <c r="E5374" s="2">
        <v>10.0</v>
      </c>
      <c r="F5374" s="2" t="s">
        <v>12</v>
      </c>
      <c r="G5374" s="2"/>
      <c r="H5374" s="2"/>
      <c r="I5374" s="2"/>
    </row>
    <row r="5375">
      <c r="A5375" s="1" t="s">
        <v>5456</v>
      </c>
      <c r="B5375" s="2" t="s">
        <v>5439</v>
      </c>
      <c r="C5375" s="2"/>
      <c r="D5375" s="2" t="s">
        <v>11</v>
      </c>
      <c r="E5375" s="2">
        <v>10.0</v>
      </c>
      <c r="F5375" s="2" t="s">
        <v>12</v>
      </c>
      <c r="G5375" s="2"/>
      <c r="H5375" s="2"/>
      <c r="I5375" s="2"/>
    </row>
    <row r="5376">
      <c r="A5376" s="1" t="s">
        <v>5457</v>
      </c>
      <c r="B5376" s="2" t="s">
        <v>5439</v>
      </c>
      <c r="C5376" s="2"/>
      <c r="D5376" s="2" t="s">
        <v>11</v>
      </c>
      <c r="E5376" s="2">
        <v>10.0</v>
      </c>
      <c r="F5376" s="2" t="s">
        <v>12</v>
      </c>
      <c r="G5376" s="2"/>
      <c r="H5376" s="2"/>
      <c r="I5376" s="2"/>
    </row>
    <row r="5377">
      <c r="A5377" s="1" t="s">
        <v>5458</v>
      </c>
      <c r="B5377" s="2" t="s">
        <v>5439</v>
      </c>
      <c r="C5377" s="2"/>
      <c r="D5377" s="2" t="s">
        <v>11</v>
      </c>
      <c r="E5377" s="2">
        <v>10.0</v>
      </c>
      <c r="F5377" s="2" t="s">
        <v>12</v>
      </c>
      <c r="G5377" s="2"/>
      <c r="H5377" s="2"/>
      <c r="I5377" s="2"/>
    </row>
    <row r="5378">
      <c r="A5378" s="2" t="s">
        <v>5459</v>
      </c>
      <c r="B5378" s="2" t="s">
        <v>5439</v>
      </c>
      <c r="C5378" s="1"/>
      <c r="D5378" s="2"/>
      <c r="E5378" s="2"/>
      <c r="F5378" s="2"/>
      <c r="G5378" s="2"/>
      <c r="H5378" s="2"/>
      <c r="I5378" s="2"/>
    </row>
    <row r="5379">
      <c r="A5379" s="1" t="s">
        <v>5460</v>
      </c>
      <c r="B5379" s="2" t="s">
        <v>5439</v>
      </c>
      <c r="C5379" s="2"/>
      <c r="D5379" s="2" t="s">
        <v>11</v>
      </c>
      <c r="E5379" s="2">
        <v>10.0</v>
      </c>
      <c r="F5379" s="2" t="s">
        <v>12</v>
      </c>
      <c r="G5379" s="2"/>
      <c r="H5379" s="2"/>
      <c r="I5379" s="2"/>
    </row>
    <row r="5380">
      <c r="A5380" s="1" t="s">
        <v>5461</v>
      </c>
      <c r="B5380" s="2" t="s">
        <v>5439</v>
      </c>
      <c r="C5380" s="2"/>
      <c r="D5380" s="2" t="s">
        <v>37</v>
      </c>
      <c r="E5380" s="2">
        <v>10.0</v>
      </c>
      <c r="F5380" s="2" t="s">
        <v>12</v>
      </c>
      <c r="G5380" s="2"/>
      <c r="H5380" s="2"/>
      <c r="I5380" s="2"/>
    </row>
    <row r="5381">
      <c r="A5381" s="1" t="s">
        <v>5462</v>
      </c>
      <c r="B5381" s="2" t="s">
        <v>5439</v>
      </c>
      <c r="C5381" s="2"/>
      <c r="D5381" s="2" t="s">
        <v>37</v>
      </c>
      <c r="E5381" s="2">
        <v>10.0</v>
      </c>
      <c r="F5381" s="2" t="s">
        <v>12</v>
      </c>
      <c r="G5381" s="2"/>
      <c r="H5381" s="2"/>
      <c r="I5381" s="2"/>
    </row>
    <row r="5382">
      <c r="A5382" s="1" t="s">
        <v>5463</v>
      </c>
      <c r="B5382" s="2" t="s">
        <v>5439</v>
      </c>
      <c r="C5382" s="2"/>
      <c r="D5382" s="2" t="s">
        <v>11</v>
      </c>
      <c r="E5382" s="2">
        <v>10.0</v>
      </c>
      <c r="F5382" s="2" t="s">
        <v>12</v>
      </c>
      <c r="G5382" s="2"/>
      <c r="H5382" s="2"/>
      <c r="I5382" s="2"/>
    </row>
    <row r="5383">
      <c r="A5383" s="1" t="s">
        <v>5464</v>
      </c>
      <c r="B5383" s="2" t="s">
        <v>5439</v>
      </c>
      <c r="C5383" s="2"/>
      <c r="D5383" s="2" t="s">
        <v>11</v>
      </c>
      <c r="E5383" s="2">
        <v>10.0</v>
      </c>
      <c r="F5383" s="2" t="s">
        <v>12</v>
      </c>
      <c r="G5383" s="2"/>
      <c r="H5383" s="2"/>
      <c r="I5383" s="2"/>
    </row>
    <row r="5384">
      <c r="A5384" s="1" t="s">
        <v>5465</v>
      </c>
      <c r="B5384" s="2" t="s">
        <v>5439</v>
      </c>
      <c r="C5384" s="2"/>
      <c r="D5384" s="2" t="s">
        <v>11</v>
      </c>
      <c r="E5384" s="2">
        <v>10.0</v>
      </c>
      <c r="F5384" s="2" t="s">
        <v>12</v>
      </c>
      <c r="G5384" s="2"/>
      <c r="H5384" s="2"/>
      <c r="I5384" s="2"/>
    </row>
    <row r="5385">
      <c r="A5385" s="1" t="s">
        <v>5466</v>
      </c>
      <c r="B5385" s="2" t="s">
        <v>5439</v>
      </c>
      <c r="C5385" s="2"/>
      <c r="D5385" s="2" t="s">
        <v>11</v>
      </c>
      <c r="E5385" s="2">
        <v>10.0</v>
      </c>
      <c r="F5385" s="2" t="s">
        <v>12</v>
      </c>
      <c r="G5385" s="2"/>
      <c r="H5385" s="2"/>
      <c r="I5385" s="2"/>
    </row>
    <row r="5386">
      <c r="A5386" s="1" t="s">
        <v>5467</v>
      </c>
      <c r="B5386" s="2" t="s">
        <v>5439</v>
      </c>
      <c r="C5386" s="2"/>
      <c r="D5386" s="2" t="s">
        <v>11</v>
      </c>
      <c r="E5386" s="2">
        <v>10.0</v>
      </c>
      <c r="F5386" s="2" t="s">
        <v>12</v>
      </c>
      <c r="G5386" s="2"/>
      <c r="H5386" s="2"/>
      <c r="I5386" s="2"/>
    </row>
    <row r="5387">
      <c r="A5387" s="1" t="s">
        <v>5468</v>
      </c>
      <c r="B5387" s="2" t="s">
        <v>5439</v>
      </c>
      <c r="C5387" s="2"/>
      <c r="D5387" s="2" t="s">
        <v>11</v>
      </c>
      <c r="E5387" s="2">
        <v>10.0</v>
      </c>
      <c r="F5387" s="2" t="s">
        <v>12</v>
      </c>
      <c r="G5387" s="2"/>
      <c r="H5387" s="2"/>
      <c r="I5387" s="2"/>
    </row>
    <row r="5388">
      <c r="A5388" s="1" t="s">
        <v>5469</v>
      </c>
      <c r="B5388" s="2" t="s">
        <v>5439</v>
      </c>
      <c r="C5388" s="2"/>
      <c r="D5388" s="2" t="s">
        <v>11</v>
      </c>
      <c r="E5388" s="2">
        <v>10.0</v>
      </c>
      <c r="F5388" s="2" t="s">
        <v>12</v>
      </c>
      <c r="G5388" s="2"/>
      <c r="H5388" s="2"/>
      <c r="I5388" s="2"/>
    </row>
    <row r="5389">
      <c r="A5389" s="1" t="s">
        <v>5470</v>
      </c>
      <c r="B5389" s="2" t="s">
        <v>5439</v>
      </c>
      <c r="C5389" s="2"/>
      <c r="D5389" s="2" t="s">
        <v>11</v>
      </c>
      <c r="E5389" s="2">
        <v>10.0</v>
      </c>
      <c r="F5389" s="2" t="s">
        <v>12</v>
      </c>
      <c r="G5389" s="2"/>
      <c r="H5389" s="2"/>
      <c r="I5389" s="2"/>
    </row>
    <row r="5390">
      <c r="A5390" s="1" t="s">
        <v>5471</v>
      </c>
      <c r="B5390" s="2" t="s">
        <v>5439</v>
      </c>
      <c r="C5390" s="2"/>
      <c r="D5390" s="2" t="s">
        <v>11</v>
      </c>
      <c r="E5390" s="2">
        <v>10.0</v>
      </c>
      <c r="F5390" s="2" t="s">
        <v>12</v>
      </c>
      <c r="G5390" s="2"/>
      <c r="H5390" s="2"/>
      <c r="I5390" s="2"/>
    </row>
    <row r="5391">
      <c r="A5391" s="1" t="s">
        <v>5472</v>
      </c>
      <c r="B5391" s="2" t="s">
        <v>5439</v>
      </c>
      <c r="C5391" s="2"/>
      <c r="D5391" s="2" t="s">
        <v>11</v>
      </c>
      <c r="E5391" s="2">
        <v>10.0</v>
      </c>
      <c r="F5391" s="2" t="s">
        <v>12</v>
      </c>
      <c r="G5391" s="2"/>
      <c r="H5391" s="2"/>
      <c r="I5391" s="2"/>
    </row>
    <row r="5392">
      <c r="A5392" s="1" t="s">
        <v>5473</v>
      </c>
      <c r="B5392" s="2" t="s">
        <v>5439</v>
      </c>
      <c r="C5392" s="2"/>
      <c r="D5392" s="2" t="s">
        <v>11</v>
      </c>
      <c r="E5392" s="2">
        <v>10.0</v>
      </c>
      <c r="F5392" s="2" t="s">
        <v>12</v>
      </c>
      <c r="G5392" s="2"/>
      <c r="H5392" s="2"/>
      <c r="I5392" s="2"/>
    </row>
    <row r="5393">
      <c r="A5393" s="1" t="s">
        <v>5474</v>
      </c>
      <c r="B5393" s="2" t="s">
        <v>5439</v>
      </c>
      <c r="C5393" s="2"/>
      <c r="D5393" s="2" t="s">
        <v>11</v>
      </c>
      <c r="E5393" s="2">
        <v>10.0</v>
      </c>
      <c r="F5393" s="2" t="s">
        <v>12</v>
      </c>
      <c r="G5393" s="2"/>
      <c r="H5393" s="2"/>
      <c r="I5393" s="2"/>
    </row>
    <row r="5394">
      <c r="A5394" s="2" t="s">
        <v>5475</v>
      </c>
      <c r="B5394" s="2" t="s">
        <v>5439</v>
      </c>
      <c r="C5394" s="2"/>
      <c r="D5394" s="2" t="s">
        <v>11</v>
      </c>
      <c r="E5394" s="2">
        <v>10.0</v>
      </c>
      <c r="F5394" s="2" t="s">
        <v>12</v>
      </c>
      <c r="G5394" s="2"/>
      <c r="H5394" s="2"/>
      <c r="I5394" s="2"/>
    </row>
    <row r="5395">
      <c r="A5395" s="2" t="s">
        <v>5476</v>
      </c>
      <c r="B5395" s="2" t="s">
        <v>5439</v>
      </c>
      <c r="C5395" s="2"/>
      <c r="D5395" s="2" t="s">
        <v>11</v>
      </c>
      <c r="E5395" s="2">
        <v>10.0</v>
      </c>
      <c r="F5395" s="2" t="s">
        <v>12</v>
      </c>
      <c r="G5395" s="2"/>
      <c r="H5395" s="2"/>
      <c r="I5395" s="2"/>
    </row>
    <row r="5396">
      <c r="A5396" s="1" t="s">
        <v>5477</v>
      </c>
      <c r="B5396" s="2" t="s">
        <v>5439</v>
      </c>
      <c r="C5396" s="2"/>
      <c r="D5396" s="2" t="s">
        <v>11</v>
      </c>
      <c r="E5396" s="2">
        <v>10.0</v>
      </c>
      <c r="F5396" s="2" t="s">
        <v>12</v>
      </c>
      <c r="G5396" s="2"/>
      <c r="H5396" s="2"/>
      <c r="I5396" s="2"/>
    </row>
    <row r="5397">
      <c r="A5397" s="1" t="s">
        <v>5478</v>
      </c>
      <c r="B5397" s="2" t="s">
        <v>5439</v>
      </c>
      <c r="C5397" s="2"/>
      <c r="D5397" s="2" t="s">
        <v>11</v>
      </c>
      <c r="E5397" s="2">
        <v>10.0</v>
      </c>
      <c r="F5397" s="2" t="s">
        <v>12</v>
      </c>
      <c r="G5397" s="2"/>
      <c r="H5397" s="2"/>
      <c r="I5397" s="2"/>
    </row>
    <row r="5398">
      <c r="A5398" s="1" t="s">
        <v>5479</v>
      </c>
      <c r="B5398" s="2" t="s">
        <v>5439</v>
      </c>
      <c r="C5398" s="2"/>
      <c r="D5398" s="2" t="s">
        <v>11</v>
      </c>
      <c r="E5398" s="2">
        <v>10.0</v>
      </c>
      <c r="F5398" s="2" t="s">
        <v>12</v>
      </c>
      <c r="G5398" s="2"/>
      <c r="H5398" s="2"/>
      <c r="I5398" s="2"/>
    </row>
    <row r="5399">
      <c r="A5399" s="2" t="s">
        <v>5480</v>
      </c>
      <c r="B5399" s="2" t="s">
        <v>5439</v>
      </c>
      <c r="C5399" s="2"/>
      <c r="D5399" s="2" t="s">
        <v>11</v>
      </c>
      <c r="E5399" s="2">
        <v>10.0</v>
      </c>
      <c r="F5399" s="2" t="s">
        <v>12</v>
      </c>
      <c r="G5399" s="2"/>
      <c r="H5399" s="2"/>
      <c r="I5399" s="2"/>
    </row>
    <row r="5400">
      <c r="A5400" s="1" t="s">
        <v>5481</v>
      </c>
      <c r="B5400" s="2" t="s">
        <v>5439</v>
      </c>
      <c r="C5400" s="2"/>
      <c r="D5400" s="2" t="s">
        <v>11</v>
      </c>
      <c r="E5400" s="2">
        <v>10.0</v>
      </c>
      <c r="F5400" s="2" t="s">
        <v>12</v>
      </c>
      <c r="G5400" s="2"/>
      <c r="H5400" s="2"/>
      <c r="I5400" s="2"/>
    </row>
    <row r="5401">
      <c r="A5401" s="1" t="s">
        <v>5482</v>
      </c>
      <c r="B5401" s="2" t="s">
        <v>5439</v>
      </c>
      <c r="C5401" s="2"/>
      <c r="D5401" s="2" t="s">
        <v>11</v>
      </c>
      <c r="E5401" s="2">
        <v>10.0</v>
      </c>
      <c r="F5401" s="2" t="s">
        <v>12</v>
      </c>
      <c r="G5401" s="2"/>
      <c r="H5401" s="2"/>
      <c r="I5401" s="2"/>
    </row>
    <row r="5402">
      <c r="A5402" s="1" t="s">
        <v>5483</v>
      </c>
      <c r="B5402" s="2" t="s">
        <v>5439</v>
      </c>
      <c r="C5402" s="2"/>
      <c r="D5402" s="2" t="s">
        <v>11</v>
      </c>
      <c r="E5402" s="2">
        <v>10.0</v>
      </c>
      <c r="F5402" s="2" t="s">
        <v>12</v>
      </c>
      <c r="G5402" s="2"/>
      <c r="H5402" s="2"/>
      <c r="I5402" s="2"/>
    </row>
    <row r="5403">
      <c r="A5403" s="1" t="s">
        <v>5484</v>
      </c>
      <c r="B5403" s="2" t="s">
        <v>5439</v>
      </c>
      <c r="C5403" s="2"/>
      <c r="D5403" s="2" t="s">
        <v>11</v>
      </c>
      <c r="E5403" s="2">
        <v>10.0</v>
      </c>
      <c r="F5403" s="2" t="s">
        <v>12</v>
      </c>
      <c r="G5403" s="2"/>
      <c r="H5403" s="2"/>
      <c r="I5403" s="2"/>
    </row>
    <row r="5404">
      <c r="A5404" s="1" t="s">
        <v>5485</v>
      </c>
      <c r="B5404" s="2" t="s">
        <v>5439</v>
      </c>
      <c r="C5404" s="2"/>
      <c r="D5404" s="2" t="s">
        <v>11</v>
      </c>
      <c r="E5404" s="2">
        <v>10.0</v>
      </c>
      <c r="F5404" s="2" t="s">
        <v>12</v>
      </c>
      <c r="G5404" s="2"/>
      <c r="H5404" s="2"/>
      <c r="I5404" s="2"/>
    </row>
    <row r="5405">
      <c r="A5405" s="1" t="s">
        <v>5486</v>
      </c>
      <c r="B5405" s="2" t="s">
        <v>5439</v>
      </c>
      <c r="C5405" s="2"/>
      <c r="D5405" s="2" t="s">
        <v>11</v>
      </c>
      <c r="E5405" s="2">
        <v>10.0</v>
      </c>
      <c r="F5405" s="2" t="s">
        <v>12</v>
      </c>
      <c r="G5405" s="2"/>
      <c r="H5405" s="2"/>
      <c r="I5405" s="2"/>
    </row>
    <row r="5406">
      <c r="A5406" s="1" t="s">
        <v>5487</v>
      </c>
      <c r="B5406" s="2" t="s">
        <v>5439</v>
      </c>
      <c r="C5406" s="2"/>
      <c r="D5406" s="2" t="s">
        <v>11</v>
      </c>
      <c r="E5406" s="2">
        <v>10.0</v>
      </c>
      <c r="F5406" s="2" t="s">
        <v>12</v>
      </c>
      <c r="G5406" s="2"/>
      <c r="H5406" s="2"/>
      <c r="I5406" s="2"/>
    </row>
    <row r="5407">
      <c r="A5407" s="1" t="s">
        <v>5488</v>
      </c>
      <c r="B5407" s="2" t="s">
        <v>5439</v>
      </c>
      <c r="C5407" s="2"/>
      <c r="D5407" s="2" t="s">
        <v>11</v>
      </c>
      <c r="E5407" s="2">
        <v>10.0</v>
      </c>
      <c r="F5407" s="2" t="s">
        <v>12</v>
      </c>
      <c r="G5407" s="2"/>
      <c r="H5407" s="2"/>
      <c r="I5407" s="2"/>
    </row>
    <row r="5408">
      <c r="A5408" s="1" t="s">
        <v>5489</v>
      </c>
      <c r="B5408" s="2" t="s">
        <v>5439</v>
      </c>
      <c r="C5408" s="2"/>
      <c r="D5408" s="2" t="s">
        <v>11</v>
      </c>
      <c r="E5408" s="2">
        <v>10.0</v>
      </c>
      <c r="F5408" s="2" t="s">
        <v>12</v>
      </c>
      <c r="G5408" s="2"/>
      <c r="H5408" s="2"/>
      <c r="I5408" s="2"/>
    </row>
    <row r="5409">
      <c r="A5409" s="1" t="s">
        <v>5490</v>
      </c>
      <c r="B5409" s="2" t="s">
        <v>5439</v>
      </c>
      <c r="C5409" s="2"/>
      <c r="D5409" s="2" t="s">
        <v>11</v>
      </c>
      <c r="E5409" s="2">
        <v>10.0</v>
      </c>
      <c r="F5409" s="2" t="s">
        <v>12</v>
      </c>
      <c r="G5409" s="2"/>
      <c r="H5409" s="2"/>
      <c r="I5409" s="2"/>
    </row>
    <row r="5410">
      <c r="A5410" s="1" t="s">
        <v>5491</v>
      </c>
      <c r="B5410" s="2" t="s">
        <v>5439</v>
      </c>
      <c r="C5410" s="2"/>
      <c r="D5410" s="2" t="s">
        <v>11</v>
      </c>
      <c r="E5410" s="2">
        <v>10.0</v>
      </c>
      <c r="F5410" s="2" t="s">
        <v>12</v>
      </c>
      <c r="G5410" s="2"/>
      <c r="H5410" s="2"/>
      <c r="I5410" s="2"/>
    </row>
    <row r="5411">
      <c r="A5411" s="1" t="s">
        <v>5492</v>
      </c>
      <c r="B5411" s="2" t="s">
        <v>5439</v>
      </c>
      <c r="C5411" s="2"/>
      <c r="D5411" s="2" t="s">
        <v>11</v>
      </c>
      <c r="E5411" s="2">
        <v>10.0</v>
      </c>
      <c r="F5411" s="2" t="s">
        <v>12</v>
      </c>
      <c r="G5411" s="2"/>
      <c r="H5411" s="2"/>
      <c r="I5411" s="2"/>
    </row>
    <row r="5412">
      <c r="A5412" s="1" t="s">
        <v>5493</v>
      </c>
      <c r="B5412" s="2" t="s">
        <v>5439</v>
      </c>
      <c r="C5412" s="2"/>
      <c r="D5412" s="2" t="s">
        <v>11</v>
      </c>
      <c r="E5412" s="2">
        <v>10.0</v>
      </c>
      <c r="F5412" s="2" t="s">
        <v>12</v>
      </c>
      <c r="G5412" s="2"/>
      <c r="H5412" s="2"/>
      <c r="I5412" s="2"/>
    </row>
    <row r="5413">
      <c r="A5413" s="1" t="s">
        <v>5494</v>
      </c>
      <c r="B5413" s="2" t="s">
        <v>5439</v>
      </c>
      <c r="C5413" s="2"/>
      <c r="D5413" s="2" t="s">
        <v>11</v>
      </c>
      <c r="E5413" s="2">
        <v>10.0</v>
      </c>
      <c r="F5413" s="2" t="s">
        <v>12</v>
      </c>
      <c r="G5413" s="2"/>
      <c r="H5413" s="2"/>
      <c r="I5413" s="2"/>
    </row>
    <row r="5414">
      <c r="A5414" s="1" t="s">
        <v>5495</v>
      </c>
      <c r="B5414" s="2" t="s">
        <v>5439</v>
      </c>
      <c r="C5414" s="2"/>
      <c r="D5414" s="2" t="s">
        <v>11</v>
      </c>
      <c r="E5414" s="2">
        <v>10.0</v>
      </c>
      <c r="F5414" s="2" t="s">
        <v>12</v>
      </c>
      <c r="G5414" s="2"/>
      <c r="H5414" s="2"/>
      <c r="I5414" s="2"/>
    </row>
    <row r="5415">
      <c r="A5415" s="1" t="s">
        <v>5496</v>
      </c>
      <c r="B5415" s="2" t="s">
        <v>5439</v>
      </c>
      <c r="C5415" s="2"/>
      <c r="D5415" s="2" t="s">
        <v>37</v>
      </c>
      <c r="E5415" s="2">
        <v>10.0</v>
      </c>
      <c r="F5415" s="2" t="s">
        <v>12</v>
      </c>
      <c r="G5415" s="2"/>
      <c r="H5415" s="2"/>
      <c r="I5415" s="2"/>
    </row>
    <row r="5416">
      <c r="A5416" s="1" t="s">
        <v>5497</v>
      </c>
      <c r="B5416" s="2" t="s">
        <v>5439</v>
      </c>
      <c r="C5416" s="2"/>
      <c r="D5416" s="2" t="s">
        <v>37</v>
      </c>
      <c r="E5416" s="2">
        <v>10.0</v>
      </c>
      <c r="F5416" s="2" t="s">
        <v>12</v>
      </c>
      <c r="G5416" s="2"/>
      <c r="H5416" s="2"/>
      <c r="I5416" s="2"/>
    </row>
    <row r="5417">
      <c r="A5417" s="1" t="s">
        <v>5498</v>
      </c>
      <c r="B5417" s="2" t="s">
        <v>5439</v>
      </c>
      <c r="C5417" s="2"/>
      <c r="D5417" s="2" t="s">
        <v>11</v>
      </c>
      <c r="E5417" s="2">
        <v>10.0</v>
      </c>
      <c r="F5417" s="2" t="s">
        <v>12</v>
      </c>
      <c r="G5417" s="2"/>
      <c r="H5417" s="2"/>
      <c r="I5417" s="2"/>
    </row>
    <row r="5418">
      <c r="A5418" s="1" t="s">
        <v>5499</v>
      </c>
      <c r="B5418" s="2" t="s">
        <v>5439</v>
      </c>
      <c r="C5418" s="2"/>
      <c r="D5418" s="2" t="s">
        <v>11</v>
      </c>
      <c r="E5418" s="2">
        <v>10.0</v>
      </c>
      <c r="F5418" s="2" t="s">
        <v>12</v>
      </c>
      <c r="G5418" s="2"/>
      <c r="H5418" s="2"/>
      <c r="I5418" s="2"/>
    </row>
    <row r="5419">
      <c r="A5419" s="2" t="s">
        <v>5500</v>
      </c>
      <c r="B5419" s="2" t="s">
        <v>5501</v>
      </c>
      <c r="C5419" s="1"/>
      <c r="D5419" s="2"/>
      <c r="E5419" s="2"/>
      <c r="F5419" s="2"/>
      <c r="G5419" s="2"/>
      <c r="H5419" s="2"/>
      <c r="I5419" s="2"/>
    </row>
    <row r="5420">
      <c r="A5420" s="2" t="s">
        <v>5502</v>
      </c>
      <c r="B5420" s="2" t="s">
        <v>5501</v>
      </c>
      <c r="C5420" s="1"/>
      <c r="D5420" s="2"/>
      <c r="E5420" s="2"/>
      <c r="F5420" s="2"/>
      <c r="G5420" s="2"/>
      <c r="H5420" s="2"/>
      <c r="I5420" s="2"/>
    </row>
    <row r="5421">
      <c r="A5421" s="2" t="s">
        <v>5503</v>
      </c>
      <c r="B5421" s="2" t="s">
        <v>5501</v>
      </c>
      <c r="C5421" s="1"/>
      <c r="D5421" s="1" t="s">
        <v>300</v>
      </c>
      <c r="E5421" s="1" t="s">
        <v>2274</v>
      </c>
      <c r="F5421" s="1" t="s">
        <v>302</v>
      </c>
      <c r="G5421" s="2"/>
      <c r="H5421" s="2"/>
      <c r="I5421" s="2"/>
    </row>
    <row r="5422">
      <c r="A5422" s="2" t="s">
        <v>5504</v>
      </c>
      <c r="B5422" s="2" t="s">
        <v>5501</v>
      </c>
      <c r="C5422" s="1"/>
      <c r="D5422" s="2"/>
      <c r="E5422" s="2"/>
      <c r="F5422" s="2"/>
      <c r="G5422" s="2"/>
      <c r="H5422" s="2"/>
      <c r="I5422" s="2"/>
    </row>
    <row r="5423">
      <c r="A5423" s="2" t="s">
        <v>5505</v>
      </c>
      <c r="B5423" s="2" t="s">
        <v>5501</v>
      </c>
      <c r="C5423" s="1"/>
      <c r="D5423" s="2"/>
      <c r="E5423" s="2"/>
      <c r="F5423" s="2"/>
      <c r="G5423" s="2"/>
      <c r="H5423" s="2"/>
      <c r="I5423" s="2"/>
    </row>
    <row r="5424">
      <c r="A5424" s="2" t="s">
        <v>5506</v>
      </c>
      <c r="B5424" s="2" t="s">
        <v>5501</v>
      </c>
      <c r="C5424" s="1"/>
      <c r="D5424" s="2"/>
      <c r="E5424" s="2"/>
      <c r="F5424" s="2"/>
      <c r="G5424" s="2"/>
      <c r="H5424" s="2"/>
      <c r="I5424" s="2"/>
    </row>
    <row r="5425">
      <c r="A5425" s="2" t="s">
        <v>5507</v>
      </c>
      <c r="B5425" s="2" t="s">
        <v>5501</v>
      </c>
      <c r="C5425" s="1"/>
      <c r="D5425" s="1" t="s">
        <v>300</v>
      </c>
      <c r="E5425" s="1" t="s">
        <v>1124</v>
      </c>
      <c r="F5425" s="1" t="s">
        <v>302</v>
      </c>
      <c r="G5425" s="2"/>
      <c r="H5425" s="2"/>
      <c r="I5425" s="2"/>
    </row>
    <row r="5426">
      <c r="A5426" s="2" t="s">
        <v>5508</v>
      </c>
      <c r="B5426" s="2" t="s">
        <v>5501</v>
      </c>
      <c r="C5426" s="1"/>
      <c r="D5426" s="2"/>
      <c r="E5426" s="2"/>
      <c r="F5426" s="2"/>
      <c r="G5426" s="2"/>
      <c r="H5426" s="2"/>
      <c r="I5426" s="2"/>
    </row>
    <row r="5427">
      <c r="A5427" s="2" t="s">
        <v>5509</v>
      </c>
      <c r="B5427" s="2" t="s">
        <v>5501</v>
      </c>
      <c r="C5427" s="1"/>
      <c r="D5427" s="2"/>
      <c r="E5427" s="2"/>
      <c r="F5427" s="2"/>
      <c r="G5427" s="2"/>
      <c r="H5427" s="2"/>
      <c r="I5427" s="2"/>
    </row>
    <row r="5428">
      <c r="A5428" s="2" t="s">
        <v>5510</v>
      </c>
      <c r="B5428" s="2" t="s">
        <v>5501</v>
      </c>
      <c r="C5428" s="1"/>
      <c r="D5428" s="2"/>
      <c r="E5428" s="2"/>
      <c r="F5428" s="2"/>
      <c r="G5428" s="2"/>
      <c r="H5428" s="2"/>
      <c r="I5428" s="2"/>
    </row>
    <row r="5429">
      <c r="A5429" s="2" t="s">
        <v>5511</v>
      </c>
      <c r="B5429" s="2" t="s">
        <v>5501</v>
      </c>
      <c r="C5429" s="1"/>
      <c r="D5429" s="2"/>
      <c r="E5429" s="2"/>
      <c r="F5429" s="2"/>
      <c r="G5429" s="2"/>
      <c r="H5429" s="2"/>
      <c r="I5429" s="2"/>
    </row>
    <row r="5430">
      <c r="A5430" s="2" t="s">
        <v>5512</v>
      </c>
      <c r="B5430" s="2" t="s">
        <v>5501</v>
      </c>
      <c r="C5430" s="1"/>
      <c r="D5430" s="2"/>
      <c r="E5430" s="2"/>
      <c r="F5430" s="2"/>
      <c r="G5430" s="2"/>
      <c r="H5430" s="2"/>
      <c r="I5430" s="2"/>
    </row>
    <row r="5431">
      <c r="A5431" s="2" t="s">
        <v>5513</v>
      </c>
      <c r="B5431" s="2" t="s">
        <v>5501</v>
      </c>
      <c r="C5431" s="1"/>
      <c r="D5431" s="2"/>
      <c r="E5431" s="2"/>
      <c r="F5431" s="2"/>
      <c r="G5431" s="2"/>
      <c r="H5431" s="2"/>
      <c r="I5431" s="2"/>
    </row>
    <row r="5432">
      <c r="A5432" s="1" t="s">
        <v>5514</v>
      </c>
      <c r="B5432" s="2" t="s">
        <v>5515</v>
      </c>
      <c r="C5432" s="2"/>
      <c r="D5432" s="2" t="s">
        <v>11</v>
      </c>
      <c r="E5432" s="2">
        <v>10.0</v>
      </c>
      <c r="F5432" s="2" t="s">
        <v>12</v>
      </c>
      <c r="G5432" s="2"/>
      <c r="H5432" s="2"/>
      <c r="I5432" s="2"/>
    </row>
    <row r="5433">
      <c r="A5433" s="1" t="s">
        <v>5516</v>
      </c>
      <c r="B5433" s="2" t="s">
        <v>5515</v>
      </c>
      <c r="C5433" s="2"/>
      <c r="D5433" s="2" t="s">
        <v>11</v>
      </c>
      <c r="E5433" s="2">
        <v>10.0</v>
      </c>
      <c r="F5433" s="2" t="s">
        <v>12</v>
      </c>
      <c r="G5433" s="2"/>
      <c r="H5433" s="2"/>
      <c r="I5433" s="2"/>
    </row>
    <row r="5434">
      <c r="A5434" s="2" t="s">
        <v>5517</v>
      </c>
      <c r="B5434" s="2" t="s">
        <v>5515</v>
      </c>
      <c r="C5434" s="1"/>
      <c r="D5434" s="2"/>
      <c r="E5434" s="2"/>
      <c r="F5434" s="2"/>
      <c r="G5434" s="2"/>
      <c r="H5434" s="2"/>
      <c r="I5434" s="2"/>
    </row>
    <row r="5435">
      <c r="A5435" s="2" t="s">
        <v>5518</v>
      </c>
      <c r="B5435" s="2" t="s">
        <v>5515</v>
      </c>
      <c r="C5435" s="1"/>
      <c r="D5435" s="2"/>
      <c r="E5435" s="2"/>
      <c r="F5435" s="2"/>
      <c r="G5435" s="2"/>
      <c r="H5435" s="2"/>
      <c r="I5435" s="2"/>
    </row>
    <row r="5436">
      <c r="A5436" s="2" t="s">
        <v>5519</v>
      </c>
      <c r="B5436" s="2" t="s">
        <v>5515</v>
      </c>
      <c r="C5436" s="1"/>
      <c r="D5436" s="2"/>
      <c r="E5436" s="2"/>
      <c r="F5436" s="2"/>
      <c r="G5436" s="2"/>
      <c r="H5436" s="2"/>
      <c r="I5436" s="2"/>
    </row>
    <row r="5437">
      <c r="A5437" s="2" t="s">
        <v>5520</v>
      </c>
      <c r="B5437" s="2" t="s">
        <v>5515</v>
      </c>
      <c r="C5437" s="1"/>
      <c r="D5437" s="2"/>
      <c r="E5437" s="2"/>
      <c r="F5437" s="2"/>
      <c r="G5437" s="2"/>
      <c r="H5437" s="2"/>
      <c r="I5437" s="2"/>
    </row>
    <row r="5438">
      <c r="A5438" s="2" t="s">
        <v>5521</v>
      </c>
      <c r="B5438" s="2" t="s">
        <v>5515</v>
      </c>
      <c r="C5438" s="1"/>
      <c r="D5438" s="2"/>
      <c r="E5438" s="2"/>
      <c r="F5438" s="2"/>
      <c r="G5438" s="2"/>
      <c r="H5438" s="2"/>
      <c r="I5438" s="2"/>
    </row>
  </sheetData>
  <autoFilter ref="$A$1:$I$5438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A1" s="3" t="s">
        <v>5522</v>
      </c>
      <c r="B1" s="4" t="s">
        <v>5523</v>
      </c>
      <c r="C1" s="4" t="s">
        <v>5524</v>
      </c>
      <c r="D1" s="4" t="s">
        <v>5525</v>
      </c>
      <c r="E1" s="4" t="s">
        <v>5526</v>
      </c>
      <c r="F1" s="4" t="s">
        <v>5527</v>
      </c>
    </row>
    <row r="2">
      <c r="A2" s="5"/>
      <c r="B2" s="5"/>
      <c r="C2" s="5"/>
      <c r="D2" s="5"/>
      <c r="E2" s="5"/>
      <c r="F2" s="5"/>
    </row>
    <row r="3">
      <c r="A3" s="6"/>
      <c r="B3" s="7"/>
      <c r="C3" s="7"/>
      <c r="D3" s="7"/>
      <c r="E3" s="7"/>
      <c r="F3" s="8"/>
    </row>
    <row r="4">
      <c r="A4" s="9" t="s">
        <v>5528</v>
      </c>
      <c r="B4" s="10"/>
      <c r="C4" s="10"/>
      <c r="D4" s="10"/>
      <c r="E4" s="10"/>
      <c r="F4" s="10"/>
    </row>
    <row r="5">
      <c r="A5" s="11">
        <v>1.0</v>
      </c>
      <c r="B5" s="12" t="s">
        <v>5529</v>
      </c>
      <c r="C5" s="13" t="s">
        <v>5530</v>
      </c>
      <c r="D5" s="14">
        <v>43.98</v>
      </c>
      <c r="E5" s="14">
        <v>61.0</v>
      </c>
      <c r="F5" s="14">
        <v>12.0</v>
      </c>
    </row>
    <row r="6">
      <c r="A6" s="15">
        <v>2.0</v>
      </c>
      <c r="B6" s="16" t="s">
        <v>5529</v>
      </c>
      <c r="C6" s="17" t="s">
        <v>5531</v>
      </c>
      <c r="D6" s="18">
        <v>78.94</v>
      </c>
      <c r="E6" s="18">
        <v>109.5</v>
      </c>
      <c r="F6" s="18">
        <v>12.0</v>
      </c>
    </row>
    <row r="7">
      <c r="A7" s="15">
        <v>3.0</v>
      </c>
      <c r="B7" s="16" t="s">
        <v>5529</v>
      </c>
      <c r="C7" s="17" t="s">
        <v>5532</v>
      </c>
      <c r="D7" s="18">
        <v>92.46</v>
      </c>
      <c r="E7" s="18">
        <v>127.0</v>
      </c>
      <c r="F7" s="18">
        <v>12.0</v>
      </c>
    </row>
    <row r="8">
      <c r="A8" s="15">
        <v>4.0</v>
      </c>
      <c r="B8" s="16" t="s">
        <v>5529</v>
      </c>
      <c r="C8" s="17" t="s">
        <v>5533</v>
      </c>
      <c r="D8" s="18">
        <v>70.71</v>
      </c>
      <c r="E8" s="18">
        <v>99.0</v>
      </c>
      <c r="F8" s="18">
        <v>12.0</v>
      </c>
    </row>
    <row r="9">
      <c r="A9" s="15">
        <v>5.0</v>
      </c>
      <c r="B9" s="16" t="s">
        <v>5529</v>
      </c>
      <c r="C9" s="17" t="s">
        <v>5534</v>
      </c>
      <c r="D9" s="18">
        <v>95.87</v>
      </c>
      <c r="E9" s="18">
        <v>133.0</v>
      </c>
      <c r="F9" s="18">
        <v>12.0</v>
      </c>
    </row>
    <row r="10">
      <c r="A10" s="15">
        <v>6.0</v>
      </c>
      <c r="B10" s="16" t="s">
        <v>5535</v>
      </c>
      <c r="C10" s="17" t="s">
        <v>5536</v>
      </c>
      <c r="D10" s="18">
        <v>89.0</v>
      </c>
      <c r="E10" s="18">
        <v>123.48</v>
      </c>
      <c r="F10" s="18">
        <v>12.0</v>
      </c>
    </row>
    <row r="11">
      <c r="A11" s="15">
        <v>7.0</v>
      </c>
      <c r="B11" s="16" t="s">
        <v>5537</v>
      </c>
      <c r="C11" s="17" t="s">
        <v>5536</v>
      </c>
      <c r="D11" s="18">
        <v>56.65</v>
      </c>
      <c r="E11" s="18">
        <v>78.59</v>
      </c>
      <c r="F11" s="18">
        <v>12.0</v>
      </c>
    </row>
    <row r="12">
      <c r="A12" s="6"/>
      <c r="B12" s="7"/>
      <c r="C12" s="7"/>
      <c r="D12" s="7"/>
      <c r="E12" s="7"/>
      <c r="F12" s="8"/>
    </row>
    <row r="13">
      <c r="A13" s="9" t="s">
        <v>5538</v>
      </c>
      <c r="B13" s="10"/>
      <c r="C13" s="10"/>
      <c r="D13" s="10"/>
      <c r="E13" s="10"/>
      <c r="F13" s="10"/>
    </row>
    <row r="14">
      <c r="A14" s="11">
        <v>1.0</v>
      </c>
      <c r="B14" s="12" t="s">
        <v>5539</v>
      </c>
      <c r="C14" s="13" t="s">
        <v>5540</v>
      </c>
      <c r="D14" s="14">
        <v>3.65</v>
      </c>
      <c r="E14" s="14">
        <v>5.0</v>
      </c>
      <c r="F14" s="14">
        <v>12.0</v>
      </c>
    </row>
    <row r="15">
      <c r="A15" s="15">
        <v>2.0</v>
      </c>
      <c r="B15" s="16" t="s">
        <v>5541</v>
      </c>
      <c r="C15" s="17" t="s">
        <v>5542</v>
      </c>
      <c r="D15" s="18">
        <v>100.81</v>
      </c>
      <c r="E15" s="18">
        <v>138.44</v>
      </c>
      <c r="F15" s="18">
        <v>12.0</v>
      </c>
    </row>
    <row r="16">
      <c r="A16" s="15">
        <v>3.0</v>
      </c>
      <c r="B16" s="16" t="s">
        <v>5541</v>
      </c>
      <c r="C16" s="17" t="s">
        <v>5543</v>
      </c>
      <c r="D16" s="18">
        <v>65.53</v>
      </c>
      <c r="E16" s="18">
        <v>90.0</v>
      </c>
      <c r="F16" s="18">
        <v>12.0</v>
      </c>
    </row>
    <row r="17">
      <c r="A17" s="15">
        <v>4.0</v>
      </c>
      <c r="B17" s="16" t="s">
        <v>25</v>
      </c>
      <c r="C17" s="16" t="s">
        <v>5544</v>
      </c>
      <c r="D17" s="18">
        <v>45.48</v>
      </c>
      <c r="E17" s="18">
        <v>59.5</v>
      </c>
      <c r="F17" s="18">
        <v>12.0</v>
      </c>
    </row>
    <row r="18">
      <c r="A18" s="15">
        <v>5.0</v>
      </c>
      <c r="B18" s="16" t="s">
        <v>5545</v>
      </c>
      <c r="C18" s="17" t="s">
        <v>5546</v>
      </c>
      <c r="D18" s="18">
        <v>15.79</v>
      </c>
      <c r="E18" s="18">
        <v>27.87</v>
      </c>
      <c r="F18" s="18">
        <v>12.0</v>
      </c>
    </row>
    <row r="19">
      <c r="A19" s="15">
        <v>6.0</v>
      </c>
      <c r="B19" s="16" t="s">
        <v>5547</v>
      </c>
      <c r="C19" s="17" t="s">
        <v>5546</v>
      </c>
      <c r="D19" s="18">
        <v>66.63</v>
      </c>
      <c r="E19" s="18">
        <v>91.5</v>
      </c>
      <c r="F19" s="18">
        <v>12.0</v>
      </c>
    </row>
    <row r="20">
      <c r="A20" s="15">
        <v>7.0</v>
      </c>
      <c r="B20" s="16" t="s">
        <v>5548</v>
      </c>
      <c r="C20" s="17" t="s">
        <v>5546</v>
      </c>
      <c r="D20" s="18">
        <v>91.02</v>
      </c>
      <c r="E20" s="18">
        <v>125.0</v>
      </c>
      <c r="F20" s="18">
        <v>12.0</v>
      </c>
    </row>
    <row r="21">
      <c r="A21" s="15">
        <v>8.0</v>
      </c>
      <c r="B21" s="16" t="s">
        <v>5549</v>
      </c>
      <c r="C21" s="17" t="s">
        <v>5550</v>
      </c>
      <c r="D21" s="18">
        <v>38.76</v>
      </c>
      <c r="E21" s="18">
        <v>53.23</v>
      </c>
      <c r="F21" s="18">
        <v>12.0</v>
      </c>
    </row>
    <row r="22">
      <c r="A22" s="15">
        <v>9.0</v>
      </c>
      <c r="B22" s="16" t="s">
        <v>5551</v>
      </c>
      <c r="C22" s="17" t="s">
        <v>5552</v>
      </c>
      <c r="D22" s="18">
        <v>38.37</v>
      </c>
      <c r="E22" s="18">
        <v>53.23</v>
      </c>
      <c r="F22" s="18">
        <v>12.0</v>
      </c>
    </row>
    <row r="23">
      <c r="A23" s="15">
        <v>10.0</v>
      </c>
      <c r="B23" s="16" t="s">
        <v>5549</v>
      </c>
      <c r="C23" s="17" t="s">
        <v>5553</v>
      </c>
      <c r="D23" s="18">
        <v>20.29</v>
      </c>
      <c r="E23" s="18">
        <v>27.87</v>
      </c>
      <c r="F23" s="18">
        <v>12.0</v>
      </c>
    </row>
    <row r="24">
      <c r="A24" s="15">
        <v>11.0</v>
      </c>
      <c r="B24" s="16" t="s">
        <v>5554</v>
      </c>
      <c r="C24" s="17" t="s">
        <v>5555</v>
      </c>
      <c r="D24" s="18">
        <v>50.82</v>
      </c>
      <c r="E24" s="18">
        <v>70.5</v>
      </c>
      <c r="F24" s="18">
        <v>12.0</v>
      </c>
    </row>
    <row r="25">
      <c r="A25" s="15">
        <v>12.0</v>
      </c>
      <c r="B25" s="16" t="s">
        <v>5556</v>
      </c>
      <c r="C25" s="17" t="s">
        <v>5557</v>
      </c>
      <c r="D25" s="18">
        <v>230.62</v>
      </c>
      <c r="E25" s="18">
        <v>320.0</v>
      </c>
      <c r="F25" s="18">
        <v>12.0</v>
      </c>
    </row>
    <row r="26">
      <c r="A26" s="15">
        <v>13.0</v>
      </c>
      <c r="B26" s="16" t="s">
        <v>34</v>
      </c>
      <c r="C26" s="16" t="s">
        <v>5558</v>
      </c>
      <c r="D26" s="18">
        <v>121.09</v>
      </c>
      <c r="E26" s="18">
        <v>168.0</v>
      </c>
      <c r="F26" s="18">
        <v>12.0</v>
      </c>
    </row>
    <row r="27">
      <c r="A27" s="15">
        <v>14.0</v>
      </c>
      <c r="B27" s="16" t="s">
        <v>5559</v>
      </c>
      <c r="C27" s="17" t="s">
        <v>5560</v>
      </c>
      <c r="D27" s="18">
        <v>152.54</v>
      </c>
      <c r="E27" s="18">
        <v>225.0</v>
      </c>
      <c r="F27" s="18">
        <v>18.0</v>
      </c>
    </row>
    <row r="28">
      <c r="A28" s="15">
        <v>15.0</v>
      </c>
      <c r="B28" s="16" t="s">
        <v>5561</v>
      </c>
      <c r="C28" s="17" t="s">
        <v>5562</v>
      </c>
      <c r="D28" s="18">
        <v>74.48</v>
      </c>
      <c r="E28" s="18">
        <v>102.3</v>
      </c>
      <c r="F28" s="18">
        <v>12.0</v>
      </c>
    </row>
    <row r="29">
      <c r="A29" s="15">
        <v>16.0</v>
      </c>
      <c r="B29" s="16" t="s">
        <v>5563</v>
      </c>
      <c r="C29" s="17" t="s">
        <v>5536</v>
      </c>
      <c r="D29" s="18">
        <v>281.09</v>
      </c>
      <c r="E29" s="18">
        <v>390.0</v>
      </c>
      <c r="F29" s="18">
        <v>12.0</v>
      </c>
    </row>
    <row r="30">
      <c r="A30" s="15">
        <v>17.0</v>
      </c>
      <c r="B30" s="16" t="s">
        <v>5564</v>
      </c>
      <c r="C30" s="17" t="s">
        <v>5565</v>
      </c>
      <c r="D30" s="18">
        <v>139.83</v>
      </c>
      <c r="E30" s="18">
        <v>194.0</v>
      </c>
      <c r="F30" s="18">
        <v>12.0</v>
      </c>
    </row>
    <row r="31">
      <c r="A31" s="15">
        <v>18.0</v>
      </c>
      <c r="B31" s="16" t="s">
        <v>5566</v>
      </c>
      <c r="C31" s="17" t="s">
        <v>5567</v>
      </c>
      <c r="D31" s="18">
        <v>103.68</v>
      </c>
      <c r="E31" s="18">
        <v>145.15</v>
      </c>
      <c r="F31" s="18">
        <v>12.0</v>
      </c>
    </row>
    <row r="32">
      <c r="A32" s="15">
        <v>19.0</v>
      </c>
      <c r="B32" s="16" t="s">
        <v>5566</v>
      </c>
      <c r="C32" s="17" t="s">
        <v>5568</v>
      </c>
      <c r="D32" s="18">
        <v>121.8</v>
      </c>
      <c r="E32" s="18">
        <v>169.0</v>
      </c>
      <c r="F32" s="18">
        <v>12.0</v>
      </c>
    </row>
    <row r="33">
      <c r="A33" s="15">
        <v>20.0</v>
      </c>
      <c r="B33" s="16" t="s">
        <v>5566</v>
      </c>
      <c r="C33" s="17" t="s">
        <v>5569</v>
      </c>
      <c r="D33" s="18">
        <v>107.47</v>
      </c>
      <c r="E33" s="18">
        <v>149.1</v>
      </c>
      <c r="F33" s="18">
        <v>12.0</v>
      </c>
    </row>
    <row r="34">
      <c r="A34" s="15">
        <v>21.0</v>
      </c>
      <c r="B34" s="16" t="s">
        <v>5566</v>
      </c>
      <c r="C34" s="17" t="s">
        <v>5570</v>
      </c>
      <c r="D34" s="18">
        <v>95.35</v>
      </c>
      <c r="E34" s="18">
        <v>132.3</v>
      </c>
      <c r="F34" s="18">
        <v>12.0</v>
      </c>
    </row>
    <row r="35">
      <c r="A35" s="15">
        <v>22.0</v>
      </c>
      <c r="B35" s="16" t="s">
        <v>5566</v>
      </c>
      <c r="C35" s="17" t="s">
        <v>5571</v>
      </c>
      <c r="D35" s="18">
        <v>108.21</v>
      </c>
      <c r="E35" s="18">
        <v>150.15</v>
      </c>
      <c r="F35" s="18">
        <v>12.0</v>
      </c>
    </row>
    <row r="36">
      <c r="A36" s="15">
        <v>23.0</v>
      </c>
      <c r="B36" s="16" t="s">
        <v>5566</v>
      </c>
      <c r="C36" s="17" t="s">
        <v>5572</v>
      </c>
      <c r="D36" s="18">
        <v>92.32</v>
      </c>
      <c r="E36" s="18">
        <v>128.1</v>
      </c>
      <c r="F36" s="18">
        <v>12.0</v>
      </c>
    </row>
    <row r="37">
      <c r="A37" s="15">
        <v>24.0</v>
      </c>
      <c r="B37" s="16" t="s">
        <v>5566</v>
      </c>
      <c r="C37" s="17" t="s">
        <v>5573</v>
      </c>
      <c r="D37" s="18">
        <v>85.44</v>
      </c>
      <c r="E37" s="18">
        <v>119.61</v>
      </c>
      <c r="F37" s="18">
        <v>12.0</v>
      </c>
    </row>
    <row r="38">
      <c r="A38" s="15">
        <v>25.0</v>
      </c>
      <c r="B38" s="16" t="s">
        <v>5566</v>
      </c>
      <c r="C38" s="17" t="s">
        <v>5574</v>
      </c>
      <c r="D38" s="18">
        <v>118.91</v>
      </c>
      <c r="E38" s="18">
        <v>165.0</v>
      </c>
      <c r="F38" s="18">
        <v>12.0</v>
      </c>
    </row>
    <row r="39">
      <c r="A39" s="15">
        <v>26.0</v>
      </c>
      <c r="B39" s="16" t="s">
        <v>5566</v>
      </c>
      <c r="C39" s="17" t="s">
        <v>5575</v>
      </c>
      <c r="D39" s="18">
        <v>88.33</v>
      </c>
      <c r="E39" s="18">
        <v>122.58</v>
      </c>
      <c r="F39" s="18">
        <v>12.0</v>
      </c>
    </row>
    <row r="40">
      <c r="A40" s="15">
        <v>27.0</v>
      </c>
      <c r="B40" s="16" t="s">
        <v>5576</v>
      </c>
      <c r="C40" s="17" t="s">
        <v>5562</v>
      </c>
      <c r="D40" s="18">
        <v>69.18</v>
      </c>
      <c r="E40" s="18">
        <v>95.0</v>
      </c>
      <c r="F40" s="18">
        <v>12.0</v>
      </c>
    </row>
    <row r="41">
      <c r="A41" s="6"/>
      <c r="B41" s="7"/>
      <c r="C41" s="7"/>
      <c r="D41" s="7"/>
      <c r="E41" s="7"/>
      <c r="F41" s="8"/>
    </row>
    <row r="42">
      <c r="A42" s="9" t="s">
        <v>5577</v>
      </c>
      <c r="B42" s="10"/>
      <c r="C42" s="10"/>
      <c r="D42" s="10"/>
      <c r="E42" s="10"/>
      <c r="F42" s="10"/>
    </row>
    <row r="43">
      <c r="A43" s="6"/>
      <c r="B43" s="7"/>
      <c r="C43" s="7"/>
      <c r="D43" s="7"/>
      <c r="E43" s="7"/>
      <c r="F43" s="8"/>
    </row>
    <row r="44">
      <c r="A44" s="9" t="s">
        <v>5578</v>
      </c>
      <c r="B44" s="10"/>
      <c r="C44" s="10"/>
      <c r="D44" s="10"/>
      <c r="E44" s="10"/>
      <c r="F44" s="10"/>
    </row>
    <row r="45">
      <c r="A45" s="11">
        <v>1.0</v>
      </c>
      <c r="B45" s="12" t="s">
        <v>5579</v>
      </c>
      <c r="C45" s="13" t="s">
        <v>5580</v>
      </c>
      <c r="D45" s="14">
        <v>6.49</v>
      </c>
      <c r="E45" s="14">
        <v>7.43</v>
      </c>
      <c r="F45" s="14">
        <v>5.0</v>
      </c>
    </row>
    <row r="46">
      <c r="A46" s="6"/>
      <c r="B46" s="7"/>
      <c r="C46" s="7"/>
      <c r="D46" s="7"/>
      <c r="E46" s="8"/>
      <c r="F46" s="16" t="s">
        <v>5581</v>
      </c>
    </row>
    <row r="47">
      <c r="A47" s="6"/>
      <c r="B47" s="7"/>
      <c r="C47" s="7"/>
      <c r="D47" s="7"/>
      <c r="E47" s="7"/>
      <c r="F47" s="8"/>
    </row>
    <row r="48">
      <c r="A48" s="6"/>
      <c r="B48" s="7"/>
      <c r="C48" s="7"/>
      <c r="D48" s="7"/>
      <c r="E48" s="7"/>
      <c r="F48" s="8"/>
    </row>
    <row r="49">
      <c r="A49" s="6"/>
      <c r="B49" s="7"/>
      <c r="C49" s="7"/>
      <c r="D49" s="7"/>
      <c r="E49" s="7"/>
      <c r="F49" s="8"/>
    </row>
    <row r="50">
      <c r="A50" s="6"/>
      <c r="B50" s="7"/>
      <c r="C50" s="7"/>
      <c r="D50" s="7"/>
      <c r="E50" s="7"/>
      <c r="F50" s="8"/>
    </row>
    <row r="51">
      <c r="A51" s="9" t="s">
        <v>5582</v>
      </c>
      <c r="B51" s="10"/>
      <c r="C51" s="10"/>
      <c r="D51" s="10"/>
      <c r="E51" s="10"/>
      <c r="F51" s="10"/>
    </row>
    <row r="52">
      <c r="A52" s="19" t="s">
        <v>5583</v>
      </c>
    </row>
    <row r="53">
      <c r="A53" s="6"/>
      <c r="B53" s="7"/>
      <c r="C53" s="7"/>
      <c r="D53" s="8"/>
      <c r="E53" s="12" t="s">
        <v>5584</v>
      </c>
      <c r="F53" s="12" t="s">
        <v>5585</v>
      </c>
    </row>
    <row r="54">
      <c r="A54" s="20" t="s">
        <v>5522</v>
      </c>
      <c r="B54" s="16" t="s">
        <v>5523</v>
      </c>
      <c r="C54" s="16" t="s">
        <v>5524</v>
      </c>
      <c r="D54" s="16" t="s">
        <v>5525</v>
      </c>
      <c r="E54" s="16" t="s">
        <v>5526</v>
      </c>
      <c r="F54" s="16" t="s">
        <v>5586</v>
      </c>
    </row>
    <row r="55">
      <c r="A55" s="15">
        <v>2.0</v>
      </c>
      <c r="B55" s="16" t="s">
        <v>5587</v>
      </c>
      <c r="C55" s="17" t="s">
        <v>5588</v>
      </c>
      <c r="D55" s="18">
        <v>85.09</v>
      </c>
      <c r="E55" s="18">
        <v>109.56</v>
      </c>
      <c r="F55" s="18">
        <v>12.0</v>
      </c>
    </row>
    <row r="56">
      <c r="A56" s="15">
        <v>3.0</v>
      </c>
      <c r="B56" s="16" t="s">
        <v>5589</v>
      </c>
      <c r="C56" s="16" t="s">
        <v>1124</v>
      </c>
      <c r="D56" s="18">
        <v>46.84</v>
      </c>
      <c r="E56" s="18">
        <v>65.0</v>
      </c>
      <c r="F56" s="18">
        <v>12.0</v>
      </c>
    </row>
    <row r="57">
      <c r="A57" s="15">
        <v>4.0</v>
      </c>
      <c r="B57" s="16" t="s">
        <v>54</v>
      </c>
      <c r="C57" s="16" t="s">
        <v>5558</v>
      </c>
      <c r="D57" s="18">
        <v>14.99</v>
      </c>
      <c r="E57" s="18">
        <v>19.95</v>
      </c>
      <c r="F57" s="18">
        <v>12.0</v>
      </c>
    </row>
    <row r="58">
      <c r="A58" s="15">
        <v>5.0</v>
      </c>
      <c r="B58" s="16" t="s">
        <v>5590</v>
      </c>
      <c r="C58" s="17" t="s">
        <v>5591</v>
      </c>
      <c r="D58" s="18">
        <v>154.75</v>
      </c>
      <c r="E58" s="18">
        <v>210.0</v>
      </c>
      <c r="F58" s="18">
        <v>18.0</v>
      </c>
    </row>
    <row r="59">
      <c r="A59" s="15">
        <v>6.0</v>
      </c>
      <c r="B59" s="16" t="s">
        <v>5590</v>
      </c>
      <c r="C59" s="17" t="s">
        <v>5592</v>
      </c>
      <c r="D59" s="18">
        <v>114.22</v>
      </c>
      <c r="E59" s="18">
        <v>155.0</v>
      </c>
      <c r="F59" s="18">
        <v>18.0</v>
      </c>
    </row>
    <row r="60">
      <c r="A60" s="6"/>
      <c r="B60" s="7"/>
      <c r="C60" s="7"/>
      <c r="D60" s="7"/>
      <c r="E60" s="7"/>
      <c r="F60" s="8"/>
    </row>
    <row r="61">
      <c r="A61" s="9" t="s">
        <v>5593</v>
      </c>
      <c r="B61" s="10"/>
      <c r="C61" s="10"/>
      <c r="D61" s="10"/>
      <c r="E61" s="10"/>
      <c r="F61" s="10"/>
    </row>
    <row r="62">
      <c r="A62" s="11">
        <v>1.0</v>
      </c>
      <c r="B62" s="12" t="s">
        <v>5594</v>
      </c>
      <c r="C62" s="13" t="s">
        <v>5595</v>
      </c>
      <c r="D62" s="14">
        <v>128.57</v>
      </c>
      <c r="E62" s="14">
        <v>180.0</v>
      </c>
      <c r="F62" s="14">
        <v>12.0</v>
      </c>
    </row>
    <row r="63">
      <c r="A63" s="15">
        <v>2.0</v>
      </c>
      <c r="B63" s="16" t="s">
        <v>5596</v>
      </c>
      <c r="C63" s="17" t="s">
        <v>5536</v>
      </c>
      <c r="D63" s="18">
        <v>34.07</v>
      </c>
      <c r="E63" s="18">
        <v>47.7</v>
      </c>
      <c r="F63" s="18">
        <v>12.0</v>
      </c>
    </row>
    <row r="64">
      <c r="A64" s="15">
        <v>3.0</v>
      </c>
      <c r="B64" s="16" t="s">
        <v>5597</v>
      </c>
      <c r="C64" s="17" t="s">
        <v>5598</v>
      </c>
      <c r="D64" s="18">
        <v>172.07</v>
      </c>
      <c r="E64" s="18">
        <v>240.9</v>
      </c>
      <c r="F64" s="18">
        <v>12.0</v>
      </c>
    </row>
    <row r="65">
      <c r="A65" s="15">
        <v>4.0</v>
      </c>
      <c r="B65" s="16" t="s">
        <v>5599</v>
      </c>
      <c r="C65" s="17" t="s">
        <v>5598</v>
      </c>
      <c r="D65" s="18">
        <v>245.0</v>
      </c>
      <c r="E65" s="18">
        <v>343.0</v>
      </c>
      <c r="F65" s="18">
        <v>12.0</v>
      </c>
    </row>
    <row r="66">
      <c r="A66" s="15">
        <v>5.0</v>
      </c>
      <c r="B66" s="16" t="s">
        <v>5600</v>
      </c>
      <c r="C66" s="17" t="s">
        <v>5598</v>
      </c>
      <c r="D66" s="18">
        <v>312.79</v>
      </c>
      <c r="E66" s="18">
        <v>437.9</v>
      </c>
      <c r="F66" s="18">
        <v>12.0</v>
      </c>
    </row>
    <row r="67">
      <c r="A67" s="15">
        <v>6.0</v>
      </c>
      <c r="B67" s="16" t="s">
        <v>5601</v>
      </c>
      <c r="C67" s="17" t="s">
        <v>5598</v>
      </c>
      <c r="D67" s="18">
        <v>367.09</v>
      </c>
      <c r="E67" s="18">
        <v>513.92</v>
      </c>
      <c r="F67" s="18">
        <v>12.0</v>
      </c>
    </row>
    <row r="68">
      <c r="A68" s="15">
        <v>7.0</v>
      </c>
      <c r="B68" s="16" t="s">
        <v>5602</v>
      </c>
      <c r="C68" s="17" t="s">
        <v>5603</v>
      </c>
      <c r="D68" s="18">
        <v>61.72</v>
      </c>
      <c r="E68" s="18">
        <v>86.41</v>
      </c>
      <c r="F68" s="18">
        <v>12.0</v>
      </c>
    </row>
    <row r="69">
      <c r="A69" s="15">
        <v>8.0</v>
      </c>
      <c r="B69" s="16" t="s">
        <v>5604</v>
      </c>
      <c r="C69" s="17" t="s">
        <v>5605</v>
      </c>
      <c r="D69" s="18">
        <v>25.04</v>
      </c>
      <c r="E69" s="18">
        <v>35.05</v>
      </c>
      <c r="F69" s="18">
        <v>12.0</v>
      </c>
    </row>
    <row r="70">
      <c r="A70" s="15">
        <v>9.0</v>
      </c>
      <c r="B70" s="16" t="s">
        <v>5604</v>
      </c>
      <c r="C70" s="17" t="s">
        <v>5606</v>
      </c>
      <c r="D70" s="18">
        <v>41.25</v>
      </c>
      <c r="E70" s="18">
        <v>57.75</v>
      </c>
      <c r="F70" s="18">
        <v>12.0</v>
      </c>
    </row>
    <row r="71">
      <c r="A71" s="15">
        <v>10.0</v>
      </c>
      <c r="B71" s="16" t="s">
        <v>5604</v>
      </c>
      <c r="C71" s="17" t="s">
        <v>5607</v>
      </c>
      <c r="D71" s="18">
        <v>54.14</v>
      </c>
      <c r="E71" s="18">
        <v>75.8</v>
      </c>
      <c r="F71" s="18">
        <v>12.0</v>
      </c>
    </row>
    <row r="72">
      <c r="A72" s="15">
        <v>11.0</v>
      </c>
      <c r="B72" s="16" t="s">
        <v>5604</v>
      </c>
      <c r="C72" s="17" t="s">
        <v>5608</v>
      </c>
      <c r="D72" s="18">
        <v>81.21</v>
      </c>
      <c r="E72" s="18">
        <v>113.7</v>
      </c>
      <c r="F72" s="18">
        <v>12.0</v>
      </c>
    </row>
    <row r="73">
      <c r="A73" s="15">
        <v>12.0</v>
      </c>
      <c r="B73" s="16" t="s">
        <v>5609</v>
      </c>
      <c r="C73" s="17" t="s">
        <v>5536</v>
      </c>
      <c r="D73" s="18">
        <v>5.84</v>
      </c>
      <c r="E73" s="18">
        <v>7.62</v>
      </c>
      <c r="F73" s="18">
        <v>12.0</v>
      </c>
    </row>
    <row r="74">
      <c r="A74" s="15">
        <v>13.0</v>
      </c>
      <c r="B74" s="16" t="s">
        <v>5609</v>
      </c>
      <c r="C74" s="17" t="s">
        <v>5598</v>
      </c>
      <c r="D74" s="18">
        <v>17.76</v>
      </c>
      <c r="E74" s="18">
        <v>24.86</v>
      </c>
      <c r="F74" s="18">
        <v>12.0</v>
      </c>
    </row>
    <row r="75">
      <c r="A75" s="15">
        <v>14.0</v>
      </c>
      <c r="B75" s="16" t="s">
        <v>5610</v>
      </c>
      <c r="C75" s="17" t="s">
        <v>5536</v>
      </c>
      <c r="D75" s="18">
        <v>10.79</v>
      </c>
      <c r="E75" s="18">
        <v>14.01</v>
      </c>
      <c r="F75" s="18">
        <v>12.0</v>
      </c>
    </row>
    <row r="76">
      <c r="A76" s="15">
        <v>15.0</v>
      </c>
      <c r="B76" s="16" t="s">
        <v>5610</v>
      </c>
      <c r="C76" s="17" t="s">
        <v>5598</v>
      </c>
      <c r="D76" s="18">
        <v>32.38</v>
      </c>
      <c r="E76" s="18">
        <v>45.33</v>
      </c>
      <c r="F76" s="18">
        <v>12.0</v>
      </c>
    </row>
    <row r="77">
      <c r="A77" s="15">
        <v>16.0</v>
      </c>
      <c r="B77" s="16" t="s">
        <v>5611</v>
      </c>
      <c r="C77" s="17" t="s">
        <v>5612</v>
      </c>
      <c r="D77" s="18">
        <v>134.16</v>
      </c>
      <c r="E77" s="18">
        <v>187.82</v>
      </c>
      <c r="F77" s="18">
        <v>12.0</v>
      </c>
    </row>
    <row r="78">
      <c r="A78" s="15">
        <v>17.0</v>
      </c>
      <c r="B78" s="16" t="s">
        <v>5613</v>
      </c>
      <c r="C78" s="17" t="s">
        <v>5614</v>
      </c>
      <c r="D78" s="18">
        <v>214.29</v>
      </c>
      <c r="E78" s="18">
        <v>300.0</v>
      </c>
      <c r="F78" s="18">
        <v>12.0</v>
      </c>
    </row>
    <row r="79">
      <c r="A79" s="15">
        <v>18.0</v>
      </c>
      <c r="B79" s="16" t="s">
        <v>5615</v>
      </c>
      <c r="C79" s="17" t="s">
        <v>5616</v>
      </c>
      <c r="D79" s="18">
        <v>214.29</v>
      </c>
      <c r="E79" s="18">
        <v>300.0</v>
      </c>
      <c r="F79" s="18">
        <v>12.0</v>
      </c>
    </row>
    <row r="80">
      <c r="A80" s="15">
        <v>19.0</v>
      </c>
      <c r="B80" s="16" t="s">
        <v>5617</v>
      </c>
      <c r="C80" s="17" t="s">
        <v>5618</v>
      </c>
      <c r="D80" s="18">
        <v>42.19</v>
      </c>
      <c r="E80" s="18">
        <v>59.07</v>
      </c>
      <c r="F80" s="18">
        <v>12.0</v>
      </c>
    </row>
    <row r="81">
      <c r="A81" s="15">
        <v>20.0</v>
      </c>
      <c r="B81" s="16" t="s">
        <v>5619</v>
      </c>
      <c r="C81" s="17" t="s">
        <v>5620</v>
      </c>
      <c r="D81" s="18">
        <v>521.43</v>
      </c>
      <c r="E81" s="18">
        <v>802.9</v>
      </c>
      <c r="F81" s="18">
        <v>12.0</v>
      </c>
    </row>
    <row r="82">
      <c r="A82" s="15">
        <v>21.0</v>
      </c>
      <c r="B82" s="16" t="s">
        <v>5621</v>
      </c>
      <c r="C82" s="17" t="s">
        <v>5620</v>
      </c>
      <c r="D82" s="18">
        <v>494.64</v>
      </c>
      <c r="E82" s="18">
        <v>692.5</v>
      </c>
      <c r="F82" s="18">
        <v>12.0</v>
      </c>
    </row>
    <row r="83">
      <c r="A83" s="15">
        <v>22.0</v>
      </c>
      <c r="B83" s="16" t="s">
        <v>5622</v>
      </c>
      <c r="C83" s="17" t="s">
        <v>5623</v>
      </c>
      <c r="D83" s="18">
        <v>215.86</v>
      </c>
      <c r="E83" s="18">
        <v>302.2</v>
      </c>
      <c r="F83" s="18">
        <v>12.0</v>
      </c>
    </row>
    <row r="84">
      <c r="A84" s="15">
        <v>23.0</v>
      </c>
      <c r="B84" s="16" t="s">
        <v>5624</v>
      </c>
      <c r="C84" s="17" t="s">
        <v>5625</v>
      </c>
      <c r="D84" s="18">
        <v>169.79</v>
      </c>
      <c r="E84" s="18">
        <v>237.71</v>
      </c>
      <c r="F84" s="18">
        <v>12.0</v>
      </c>
    </row>
    <row r="85">
      <c r="A85" s="15">
        <v>24.0</v>
      </c>
      <c r="B85" s="16" t="s">
        <v>5626</v>
      </c>
      <c r="C85" s="17" t="s">
        <v>5536</v>
      </c>
      <c r="D85" s="18">
        <v>93.6</v>
      </c>
      <c r="E85" s="18">
        <v>131.04</v>
      </c>
      <c r="F85" s="18">
        <v>12.0</v>
      </c>
    </row>
    <row r="86">
      <c r="A86" s="15">
        <v>25.0</v>
      </c>
      <c r="B86" s="16" t="s">
        <v>5627</v>
      </c>
      <c r="C86" s="17" t="s">
        <v>5536</v>
      </c>
      <c r="D86" s="18">
        <v>158.36</v>
      </c>
      <c r="E86" s="18">
        <v>221.7</v>
      </c>
      <c r="F86" s="18">
        <v>12.0</v>
      </c>
    </row>
    <row r="87">
      <c r="A87" s="15">
        <v>26.0</v>
      </c>
      <c r="B87" s="16" t="s">
        <v>5628</v>
      </c>
      <c r="C87" s="17" t="s">
        <v>5629</v>
      </c>
      <c r="D87" s="18">
        <v>44.88</v>
      </c>
      <c r="E87" s="18">
        <v>62.83</v>
      </c>
      <c r="F87" s="18">
        <v>12.0</v>
      </c>
    </row>
    <row r="88">
      <c r="A88" s="15">
        <v>27.0</v>
      </c>
      <c r="B88" s="16" t="s">
        <v>5628</v>
      </c>
      <c r="C88" s="17" t="s">
        <v>5630</v>
      </c>
      <c r="D88" s="18">
        <v>40.71</v>
      </c>
      <c r="E88" s="18">
        <v>57.0</v>
      </c>
      <c r="F88" s="18">
        <v>12.0</v>
      </c>
    </row>
    <row r="89">
      <c r="A89" s="15">
        <v>28.0</v>
      </c>
      <c r="B89" s="16" t="s">
        <v>5631</v>
      </c>
      <c r="C89" s="17" t="s">
        <v>5632</v>
      </c>
      <c r="D89" s="18">
        <v>25.85</v>
      </c>
      <c r="E89" s="18">
        <v>35.5</v>
      </c>
      <c r="F89" s="18">
        <v>12.0</v>
      </c>
    </row>
    <row r="90">
      <c r="A90" s="15">
        <v>29.0</v>
      </c>
      <c r="B90" s="16" t="s">
        <v>5631</v>
      </c>
      <c r="C90" s="17" t="s">
        <v>5633</v>
      </c>
      <c r="D90" s="18">
        <v>27.66</v>
      </c>
      <c r="E90" s="18">
        <v>38.0</v>
      </c>
      <c r="F90" s="18">
        <v>12.0</v>
      </c>
    </row>
    <row r="91">
      <c r="A91" s="15">
        <v>30.0</v>
      </c>
      <c r="B91" s="16" t="s">
        <v>85</v>
      </c>
      <c r="C91" s="16" t="s">
        <v>5558</v>
      </c>
      <c r="D91" s="18">
        <v>80.67</v>
      </c>
      <c r="E91" s="18">
        <v>111.93</v>
      </c>
      <c r="F91" s="18">
        <v>12.0</v>
      </c>
    </row>
    <row r="92">
      <c r="A92" s="15">
        <v>31.0</v>
      </c>
      <c r="B92" s="16" t="s">
        <v>5634</v>
      </c>
      <c r="C92" s="17" t="s">
        <v>5536</v>
      </c>
      <c r="D92" s="18">
        <v>33.5</v>
      </c>
      <c r="E92" s="18">
        <v>46.9</v>
      </c>
      <c r="F92" s="18">
        <v>12.0</v>
      </c>
    </row>
    <row r="93">
      <c r="A93" s="15">
        <v>32.0</v>
      </c>
      <c r="B93" s="16" t="s">
        <v>5635</v>
      </c>
      <c r="C93" s="17" t="s">
        <v>5636</v>
      </c>
      <c r="D93" s="18">
        <v>19.71</v>
      </c>
      <c r="E93" s="18">
        <v>27.6</v>
      </c>
      <c r="F93" s="18">
        <v>12.0</v>
      </c>
    </row>
    <row r="94">
      <c r="A94" s="15">
        <v>33.0</v>
      </c>
      <c r="B94" s="16" t="s">
        <v>5637</v>
      </c>
      <c r="C94" s="17" t="s">
        <v>5636</v>
      </c>
      <c r="D94" s="18">
        <v>140.04</v>
      </c>
      <c r="E94" s="18">
        <v>194.3</v>
      </c>
      <c r="F94" s="18">
        <v>12.0</v>
      </c>
    </row>
    <row r="95">
      <c r="A95" s="15">
        <v>34.0</v>
      </c>
      <c r="B95" s="16" t="s">
        <v>89</v>
      </c>
      <c r="C95" s="16" t="s">
        <v>5558</v>
      </c>
      <c r="D95" s="18">
        <v>147.76</v>
      </c>
      <c r="E95" s="18">
        <v>205.0</v>
      </c>
      <c r="F95" s="18">
        <v>12.0</v>
      </c>
    </row>
    <row r="96">
      <c r="A96" s="6"/>
      <c r="B96" s="7"/>
      <c r="C96" s="7"/>
      <c r="D96" s="7"/>
      <c r="E96" s="7"/>
      <c r="F96" s="8"/>
    </row>
    <row r="97">
      <c r="A97" s="9" t="s">
        <v>5638</v>
      </c>
      <c r="B97" s="10"/>
      <c r="C97" s="10"/>
      <c r="D97" s="10"/>
      <c r="E97" s="10"/>
      <c r="F97" s="10"/>
    </row>
    <row r="98">
      <c r="A98" s="11">
        <v>1.0</v>
      </c>
      <c r="B98" s="12" t="s">
        <v>5639</v>
      </c>
      <c r="C98" s="13" t="s">
        <v>5636</v>
      </c>
      <c r="D98" s="14">
        <v>284.75</v>
      </c>
      <c r="E98" s="14">
        <v>420.0</v>
      </c>
      <c r="F98" s="14">
        <v>18.0</v>
      </c>
    </row>
    <row r="99">
      <c r="A99" s="15">
        <v>2.0</v>
      </c>
      <c r="B99" s="16" t="s">
        <v>92</v>
      </c>
      <c r="C99" s="16" t="s">
        <v>5544</v>
      </c>
      <c r="D99" s="18">
        <v>134.4</v>
      </c>
      <c r="E99" s="18">
        <v>188.16</v>
      </c>
      <c r="F99" s="18">
        <v>12.0</v>
      </c>
    </row>
    <row r="100">
      <c r="A100" s="15">
        <v>3.0</v>
      </c>
      <c r="B100" s="16" t="s">
        <v>5640</v>
      </c>
      <c r="C100" s="17" t="s">
        <v>5641</v>
      </c>
      <c r="D100" s="18">
        <v>26.43</v>
      </c>
      <c r="E100" s="18">
        <v>37.0</v>
      </c>
      <c r="F100" s="18">
        <v>12.0</v>
      </c>
    </row>
    <row r="101">
      <c r="A101" s="15">
        <v>4.0</v>
      </c>
      <c r="B101" s="16" t="s">
        <v>5642</v>
      </c>
      <c r="C101" s="17" t="s">
        <v>5562</v>
      </c>
      <c r="D101" s="18">
        <v>163.21</v>
      </c>
      <c r="E101" s="18">
        <v>228.5</v>
      </c>
      <c r="F101" s="18">
        <v>12.0</v>
      </c>
    </row>
    <row r="102">
      <c r="A102" s="15">
        <v>5.0</v>
      </c>
      <c r="B102" s="16" t="s">
        <v>95</v>
      </c>
      <c r="C102" s="16" t="s">
        <v>5558</v>
      </c>
      <c r="D102" s="18">
        <v>30.05</v>
      </c>
      <c r="E102" s="18">
        <v>42.07</v>
      </c>
      <c r="F102" s="18">
        <v>12.0</v>
      </c>
    </row>
    <row r="103">
      <c r="A103" s="15">
        <v>6.0</v>
      </c>
      <c r="B103" s="16" t="s">
        <v>5643</v>
      </c>
      <c r="C103" s="17" t="s">
        <v>5636</v>
      </c>
      <c r="D103" s="18">
        <v>10.16</v>
      </c>
      <c r="E103" s="18">
        <v>22.58</v>
      </c>
      <c r="F103" s="18">
        <v>12.0</v>
      </c>
    </row>
    <row r="104">
      <c r="A104" s="15">
        <v>7.0</v>
      </c>
      <c r="B104" s="16" t="s">
        <v>5644</v>
      </c>
      <c r="C104" s="17" t="s">
        <v>5645</v>
      </c>
      <c r="D104" s="18">
        <v>12.8</v>
      </c>
      <c r="E104" s="18">
        <v>17.92</v>
      </c>
      <c r="F104" s="18">
        <v>12.0</v>
      </c>
    </row>
    <row r="105">
      <c r="A105" s="15">
        <v>8.0</v>
      </c>
      <c r="B105" s="16" t="s">
        <v>5646</v>
      </c>
      <c r="C105" s="17" t="s">
        <v>5647</v>
      </c>
      <c r="D105" s="18">
        <v>25.42</v>
      </c>
      <c r="E105" s="18">
        <v>41.0</v>
      </c>
      <c r="F105" s="18">
        <v>18.0</v>
      </c>
    </row>
    <row r="106">
      <c r="A106" s="15">
        <v>9.0</v>
      </c>
      <c r="B106" s="16" t="s">
        <v>5648</v>
      </c>
      <c r="C106" s="17" t="s">
        <v>5649</v>
      </c>
      <c r="D106" s="18">
        <v>94.88</v>
      </c>
      <c r="E106" s="18">
        <v>132.83</v>
      </c>
      <c r="F106" s="18">
        <v>12.0</v>
      </c>
    </row>
    <row r="107">
      <c r="A107" s="15">
        <v>10.0</v>
      </c>
      <c r="B107" s="16" t="s">
        <v>5650</v>
      </c>
      <c r="C107" s="17" t="s">
        <v>5536</v>
      </c>
      <c r="D107" s="18">
        <v>96.43</v>
      </c>
      <c r="E107" s="18">
        <v>135.0</v>
      </c>
      <c r="F107" s="18">
        <v>12.0</v>
      </c>
    </row>
    <row r="108">
      <c r="A108" s="15">
        <v>11.0</v>
      </c>
      <c r="B108" s="16" t="s">
        <v>5651</v>
      </c>
      <c r="C108" s="17" t="s">
        <v>5636</v>
      </c>
      <c r="D108" s="18">
        <v>112.86</v>
      </c>
      <c r="E108" s="18">
        <v>158.0</v>
      </c>
      <c r="F108" s="18">
        <v>12.0</v>
      </c>
    </row>
    <row r="109">
      <c r="A109" s="15">
        <v>12.0</v>
      </c>
      <c r="B109" s="16" t="s">
        <v>5652</v>
      </c>
      <c r="C109" s="17" t="s">
        <v>5653</v>
      </c>
      <c r="D109" s="18">
        <v>128.07</v>
      </c>
      <c r="E109" s="18">
        <v>179.3</v>
      </c>
      <c r="F109" s="18">
        <v>12.0</v>
      </c>
    </row>
    <row r="110">
      <c r="A110" s="15">
        <v>13.0</v>
      </c>
      <c r="B110" s="16" t="s">
        <v>5652</v>
      </c>
      <c r="C110" s="17" t="s">
        <v>5654</v>
      </c>
      <c r="D110" s="18">
        <v>128.86</v>
      </c>
      <c r="E110" s="18">
        <v>180.4</v>
      </c>
      <c r="F110" s="18">
        <v>12.0</v>
      </c>
    </row>
    <row r="111">
      <c r="A111" s="15">
        <v>14.0</v>
      </c>
      <c r="B111" s="16" t="s">
        <v>5652</v>
      </c>
      <c r="C111" s="17" t="s">
        <v>5655</v>
      </c>
      <c r="D111" s="18">
        <v>55.71</v>
      </c>
      <c r="E111" s="18">
        <v>78.0</v>
      </c>
      <c r="F111" s="18">
        <v>12.0</v>
      </c>
    </row>
    <row r="112">
      <c r="A112" s="15">
        <v>15.0</v>
      </c>
      <c r="B112" s="16" t="s">
        <v>5656</v>
      </c>
      <c r="C112" s="17" t="s">
        <v>5657</v>
      </c>
      <c r="D112" s="18">
        <v>96.25</v>
      </c>
      <c r="E112" s="18">
        <v>134.75</v>
      </c>
      <c r="F112" s="18">
        <v>12.0</v>
      </c>
    </row>
    <row r="113">
      <c r="A113" s="15">
        <v>16.0</v>
      </c>
      <c r="B113" s="16" t="s">
        <v>5656</v>
      </c>
      <c r="C113" s="17" t="s">
        <v>5636</v>
      </c>
      <c r="D113" s="18">
        <v>87.96</v>
      </c>
      <c r="E113" s="18">
        <v>135.45</v>
      </c>
      <c r="F113" s="18">
        <v>12.0</v>
      </c>
    </row>
    <row r="114">
      <c r="A114" s="15">
        <v>17.0</v>
      </c>
      <c r="B114" s="16" t="s">
        <v>5658</v>
      </c>
      <c r="C114" s="17" t="s">
        <v>5536</v>
      </c>
      <c r="D114" s="18">
        <v>98.93</v>
      </c>
      <c r="E114" s="18">
        <v>152.35</v>
      </c>
      <c r="F114" s="18">
        <v>12.0</v>
      </c>
    </row>
    <row r="115">
      <c r="A115" s="15">
        <v>18.0</v>
      </c>
      <c r="B115" s="16" t="s">
        <v>5659</v>
      </c>
      <c r="C115" s="17" t="s">
        <v>5536</v>
      </c>
      <c r="D115" s="18">
        <v>112.14</v>
      </c>
      <c r="E115" s="18">
        <v>157.0</v>
      </c>
      <c r="F115" s="18">
        <v>12.0</v>
      </c>
    </row>
    <row r="116">
      <c r="A116" s="6"/>
      <c r="B116" s="7"/>
      <c r="C116" s="7"/>
      <c r="D116" s="7"/>
      <c r="E116" s="8"/>
      <c r="F116" s="16" t="s">
        <v>5660</v>
      </c>
    </row>
    <row r="117">
      <c r="A117" s="6"/>
      <c r="B117" s="7"/>
      <c r="C117" s="7"/>
      <c r="D117" s="7"/>
      <c r="E117" s="7"/>
      <c r="F117" s="8"/>
    </row>
    <row r="118">
      <c r="A118" s="6"/>
      <c r="B118" s="7"/>
      <c r="C118" s="7"/>
      <c r="D118" s="7"/>
      <c r="E118" s="7"/>
      <c r="F118" s="8"/>
    </row>
    <row r="119">
      <c r="A119" s="6"/>
      <c r="B119" s="7"/>
      <c r="C119" s="7"/>
      <c r="D119" s="7"/>
      <c r="E119" s="7"/>
      <c r="F119" s="8"/>
    </row>
    <row r="120">
      <c r="A120" s="6"/>
      <c r="B120" s="7"/>
      <c r="C120" s="7"/>
      <c r="D120" s="7"/>
      <c r="E120" s="7"/>
      <c r="F120" s="8"/>
    </row>
    <row r="121">
      <c r="A121" s="9" t="s">
        <v>5582</v>
      </c>
      <c r="B121" s="10"/>
      <c r="C121" s="10"/>
      <c r="D121" s="10"/>
      <c r="E121" s="10"/>
      <c r="F121" s="10"/>
    </row>
    <row r="122">
      <c r="A122" s="19" t="s">
        <v>5583</v>
      </c>
    </row>
    <row r="123">
      <c r="A123" s="6"/>
      <c r="B123" s="7"/>
      <c r="C123" s="7"/>
      <c r="D123" s="8"/>
      <c r="E123" s="12" t="s">
        <v>5584</v>
      </c>
      <c r="F123" s="12" t="s">
        <v>5661</v>
      </c>
    </row>
    <row r="124">
      <c r="A124" s="20" t="s">
        <v>5522</v>
      </c>
      <c r="B124" s="16" t="s">
        <v>5523</v>
      </c>
      <c r="C124" s="16" t="s">
        <v>5524</v>
      </c>
      <c r="D124" s="16" t="s">
        <v>5525</v>
      </c>
      <c r="E124" s="16" t="s">
        <v>5526</v>
      </c>
      <c r="F124" s="16" t="s">
        <v>5586</v>
      </c>
    </row>
    <row r="125">
      <c r="A125" s="15">
        <v>19.0</v>
      </c>
      <c r="B125" s="16" t="s">
        <v>5662</v>
      </c>
      <c r="C125" s="17" t="s">
        <v>5536</v>
      </c>
      <c r="D125" s="18">
        <v>53.43</v>
      </c>
      <c r="E125" s="18">
        <v>74.8</v>
      </c>
      <c r="F125" s="18">
        <v>12.0</v>
      </c>
    </row>
    <row r="126">
      <c r="A126" s="15">
        <v>20.0</v>
      </c>
      <c r="B126" s="16" t="s">
        <v>5663</v>
      </c>
      <c r="C126" s="17" t="s">
        <v>5664</v>
      </c>
      <c r="D126" s="18">
        <v>57.63</v>
      </c>
      <c r="E126" s="18">
        <v>85.0</v>
      </c>
      <c r="F126" s="18">
        <v>18.0</v>
      </c>
    </row>
    <row r="127">
      <c r="A127" s="15">
        <v>21.0</v>
      </c>
      <c r="B127" s="16" t="s">
        <v>5611</v>
      </c>
      <c r="C127" s="17" t="s">
        <v>5580</v>
      </c>
      <c r="D127" s="18">
        <v>218.99</v>
      </c>
      <c r="E127" s="18">
        <v>312.35</v>
      </c>
      <c r="F127" s="18">
        <v>12.0</v>
      </c>
    </row>
    <row r="128">
      <c r="A128" s="15">
        <v>22.0</v>
      </c>
      <c r="B128" s="16" t="s">
        <v>5611</v>
      </c>
      <c r="C128" s="17" t="s">
        <v>5665</v>
      </c>
      <c r="D128" s="18">
        <v>386.01</v>
      </c>
      <c r="E128" s="18">
        <v>540.42</v>
      </c>
      <c r="F128" s="18">
        <v>12.0</v>
      </c>
    </row>
    <row r="129">
      <c r="A129" s="15">
        <v>23.0</v>
      </c>
      <c r="B129" s="16" t="s">
        <v>5611</v>
      </c>
      <c r="C129" s="17" t="s">
        <v>5666</v>
      </c>
      <c r="D129" s="18">
        <v>101.28</v>
      </c>
      <c r="E129" s="18">
        <v>141.79</v>
      </c>
      <c r="F129" s="18">
        <v>12.0</v>
      </c>
    </row>
    <row r="130">
      <c r="A130" s="15">
        <v>24.0</v>
      </c>
      <c r="B130" s="16" t="s">
        <v>5667</v>
      </c>
      <c r="C130" s="17" t="s">
        <v>5668</v>
      </c>
      <c r="D130" s="18">
        <v>16.39</v>
      </c>
      <c r="E130" s="18">
        <v>21.28</v>
      </c>
      <c r="F130" s="18">
        <v>12.0</v>
      </c>
    </row>
    <row r="131">
      <c r="A131" s="15">
        <v>25.0</v>
      </c>
      <c r="B131" s="16" t="s">
        <v>5667</v>
      </c>
      <c r="C131" s="17" t="s">
        <v>5669</v>
      </c>
      <c r="D131" s="18">
        <v>31.5</v>
      </c>
      <c r="E131" s="18">
        <v>44.1</v>
      </c>
      <c r="F131" s="18">
        <v>12.0</v>
      </c>
    </row>
    <row r="132">
      <c r="A132" s="15">
        <v>26.0</v>
      </c>
      <c r="B132" s="16" t="s">
        <v>5667</v>
      </c>
      <c r="C132" s="17" t="s">
        <v>5670</v>
      </c>
      <c r="D132" s="18">
        <v>7.85</v>
      </c>
      <c r="E132" s="18">
        <v>10.99</v>
      </c>
      <c r="F132" s="18">
        <v>12.0</v>
      </c>
    </row>
    <row r="133">
      <c r="A133" s="15">
        <v>27.0</v>
      </c>
      <c r="B133" s="16" t="s">
        <v>5667</v>
      </c>
      <c r="C133" s="17" t="s">
        <v>5671</v>
      </c>
      <c r="D133" s="18">
        <v>63.05</v>
      </c>
      <c r="E133" s="18">
        <v>88.27</v>
      </c>
      <c r="F133" s="18">
        <v>12.0</v>
      </c>
    </row>
    <row r="134">
      <c r="A134" s="15">
        <v>28.0</v>
      </c>
      <c r="B134" s="16" t="s">
        <v>5667</v>
      </c>
      <c r="C134" s="17" t="s">
        <v>5672</v>
      </c>
      <c r="D134" s="18">
        <v>165.36</v>
      </c>
      <c r="E134" s="18">
        <v>210.86</v>
      </c>
      <c r="F134" s="18">
        <v>12.0</v>
      </c>
    </row>
    <row r="135">
      <c r="A135" s="15">
        <v>29.0</v>
      </c>
      <c r="B135" s="16" t="s">
        <v>5673</v>
      </c>
      <c r="C135" s="17" t="s">
        <v>5674</v>
      </c>
      <c r="D135" s="18">
        <v>70.79</v>
      </c>
      <c r="E135" s="18">
        <v>99.1</v>
      </c>
      <c r="F135" s="18">
        <v>12.0</v>
      </c>
    </row>
    <row r="136">
      <c r="A136" s="15">
        <v>30.0</v>
      </c>
      <c r="B136" s="16" t="s">
        <v>5675</v>
      </c>
      <c r="C136" s="17" t="s">
        <v>5562</v>
      </c>
      <c r="D136" s="18">
        <v>202.03</v>
      </c>
      <c r="E136" s="18">
        <v>110.0</v>
      </c>
      <c r="F136" s="18">
        <v>12.0</v>
      </c>
    </row>
    <row r="137">
      <c r="A137" s="15">
        <v>31.0</v>
      </c>
      <c r="B137" s="16" t="s">
        <v>5675</v>
      </c>
      <c r="C137" s="17" t="s">
        <v>5676</v>
      </c>
      <c r="D137" s="18">
        <v>192.86</v>
      </c>
      <c r="E137" s="18">
        <v>270.0</v>
      </c>
      <c r="F137" s="18">
        <v>12.0</v>
      </c>
    </row>
    <row r="138">
      <c r="A138" s="15">
        <v>32.0</v>
      </c>
      <c r="B138" s="16" t="s">
        <v>5675</v>
      </c>
      <c r="C138" s="17" t="s">
        <v>5677</v>
      </c>
      <c r="D138" s="18">
        <v>202.03</v>
      </c>
      <c r="E138" s="18">
        <v>298.0</v>
      </c>
      <c r="F138" s="18">
        <v>18.0</v>
      </c>
    </row>
    <row r="139">
      <c r="A139" s="15">
        <v>33.0</v>
      </c>
      <c r="B139" s="16" t="s">
        <v>5678</v>
      </c>
      <c r="C139" s="17" t="s">
        <v>5536</v>
      </c>
      <c r="D139" s="18">
        <v>88.54</v>
      </c>
      <c r="E139" s="18">
        <v>136.35</v>
      </c>
      <c r="F139" s="18">
        <v>12.0</v>
      </c>
    </row>
    <row r="140">
      <c r="A140" s="15">
        <v>34.0</v>
      </c>
      <c r="B140" s="16" t="s">
        <v>124</v>
      </c>
      <c r="C140" s="16" t="s">
        <v>5679</v>
      </c>
      <c r="D140" s="18">
        <v>123.56</v>
      </c>
      <c r="E140" s="18">
        <v>172.98</v>
      </c>
      <c r="F140" s="18">
        <v>12.0</v>
      </c>
    </row>
    <row r="141">
      <c r="A141" s="15">
        <v>35.0</v>
      </c>
      <c r="B141" s="16" t="s">
        <v>5680</v>
      </c>
      <c r="C141" s="17" t="s">
        <v>5603</v>
      </c>
      <c r="D141" s="18">
        <v>48.21</v>
      </c>
      <c r="E141" s="18">
        <v>74.25</v>
      </c>
      <c r="F141" s="18">
        <v>12.0</v>
      </c>
    </row>
    <row r="142">
      <c r="A142" s="15">
        <v>36.0</v>
      </c>
      <c r="B142" s="16" t="s">
        <v>5681</v>
      </c>
      <c r="C142" s="17" t="s">
        <v>5682</v>
      </c>
      <c r="D142" s="18">
        <v>78.18</v>
      </c>
      <c r="E142" s="18">
        <v>109.45</v>
      </c>
      <c r="F142" s="18">
        <v>12.0</v>
      </c>
    </row>
    <row r="143">
      <c r="A143" s="15">
        <v>37.0</v>
      </c>
      <c r="B143" s="16" t="s">
        <v>5681</v>
      </c>
      <c r="C143" s="17" t="s">
        <v>5683</v>
      </c>
      <c r="D143" s="18">
        <v>121.07</v>
      </c>
      <c r="E143" s="18">
        <v>169.5</v>
      </c>
      <c r="F143" s="18">
        <v>12.0</v>
      </c>
    </row>
    <row r="144">
      <c r="A144" s="15">
        <v>38.0</v>
      </c>
      <c r="B144" s="16" t="s">
        <v>5681</v>
      </c>
      <c r="C144" s="17" t="s">
        <v>5684</v>
      </c>
      <c r="D144" s="18">
        <v>92.48</v>
      </c>
      <c r="E144" s="18">
        <v>129.47</v>
      </c>
      <c r="F144" s="18">
        <v>12.0</v>
      </c>
    </row>
    <row r="145">
      <c r="A145" s="15">
        <v>39.0</v>
      </c>
      <c r="B145" s="16" t="s">
        <v>5681</v>
      </c>
      <c r="C145" s="17" t="s">
        <v>5636</v>
      </c>
      <c r="D145" s="18">
        <v>57.14</v>
      </c>
      <c r="E145" s="18">
        <v>80.0</v>
      </c>
      <c r="F145" s="18">
        <v>12.0</v>
      </c>
    </row>
    <row r="146">
      <c r="A146" s="15">
        <v>40.0</v>
      </c>
      <c r="B146" s="16" t="s">
        <v>5681</v>
      </c>
      <c r="C146" s="17" t="s">
        <v>5603</v>
      </c>
      <c r="D146" s="18">
        <v>62.86</v>
      </c>
      <c r="E146" s="18">
        <v>88.0</v>
      </c>
      <c r="F146" s="18">
        <v>12.0</v>
      </c>
    </row>
    <row r="147">
      <c r="A147" s="15">
        <v>41.0</v>
      </c>
      <c r="B147" s="16" t="s">
        <v>5681</v>
      </c>
      <c r="C147" s="17" t="s">
        <v>5685</v>
      </c>
      <c r="D147" s="18">
        <v>107.14</v>
      </c>
      <c r="E147" s="18">
        <v>150.0</v>
      </c>
      <c r="F147" s="18">
        <v>12.0</v>
      </c>
    </row>
    <row r="148">
      <c r="A148" s="15">
        <v>42.0</v>
      </c>
      <c r="B148" s="16" t="s">
        <v>5686</v>
      </c>
      <c r="C148" s="17" t="s">
        <v>5562</v>
      </c>
      <c r="D148" s="18">
        <v>97.82</v>
      </c>
      <c r="E148" s="18">
        <v>136.95</v>
      </c>
      <c r="F148" s="18">
        <v>12.0</v>
      </c>
    </row>
    <row r="149">
      <c r="A149" s="15">
        <v>43.0</v>
      </c>
      <c r="B149" s="16" t="s">
        <v>5687</v>
      </c>
      <c r="C149" s="17" t="s">
        <v>5688</v>
      </c>
      <c r="D149" s="18">
        <v>227.12</v>
      </c>
      <c r="E149" s="18">
        <v>335.0</v>
      </c>
      <c r="F149" s="18">
        <v>18.0</v>
      </c>
    </row>
    <row r="150">
      <c r="A150" s="15">
        <v>44.0</v>
      </c>
      <c r="B150" s="16" t="s">
        <v>5689</v>
      </c>
      <c r="C150" s="17" t="s">
        <v>5536</v>
      </c>
      <c r="D150" s="18">
        <v>67.12</v>
      </c>
      <c r="E150" s="18">
        <v>172.5</v>
      </c>
      <c r="F150" s="18">
        <v>12.0</v>
      </c>
    </row>
    <row r="151">
      <c r="A151" s="15">
        <v>45.0</v>
      </c>
      <c r="B151" s="16" t="s">
        <v>5690</v>
      </c>
      <c r="C151" s="17" t="s">
        <v>5636</v>
      </c>
      <c r="D151" s="18">
        <v>67.14</v>
      </c>
      <c r="E151" s="18">
        <v>94.0</v>
      </c>
      <c r="F151" s="18">
        <v>12.0</v>
      </c>
    </row>
    <row r="152">
      <c r="A152" s="15">
        <v>46.0</v>
      </c>
      <c r="B152" s="16" t="s">
        <v>5691</v>
      </c>
      <c r="C152" s="17" t="s">
        <v>5636</v>
      </c>
      <c r="D152" s="18">
        <v>127.48</v>
      </c>
      <c r="E152" s="18">
        <v>178.47</v>
      </c>
      <c r="F152" s="18">
        <v>12.0</v>
      </c>
    </row>
    <row r="153">
      <c r="A153" s="15">
        <v>47.0</v>
      </c>
      <c r="B153" s="16" t="s">
        <v>5692</v>
      </c>
      <c r="C153" s="17" t="s">
        <v>5636</v>
      </c>
      <c r="D153" s="18">
        <v>141.43</v>
      </c>
      <c r="E153" s="18">
        <v>217.8</v>
      </c>
      <c r="F153" s="18">
        <v>12.0</v>
      </c>
    </row>
    <row r="154">
      <c r="A154" s="15">
        <v>48.0</v>
      </c>
      <c r="B154" s="16" t="s">
        <v>5693</v>
      </c>
      <c r="C154" s="17" t="s">
        <v>5694</v>
      </c>
      <c r="D154" s="18">
        <v>98.14</v>
      </c>
      <c r="E154" s="18">
        <v>137.4</v>
      </c>
      <c r="F154" s="18">
        <v>12.0</v>
      </c>
    </row>
    <row r="155">
      <c r="A155" s="15">
        <v>49.0</v>
      </c>
      <c r="B155" s="16" t="s">
        <v>5695</v>
      </c>
      <c r="C155" s="17" t="s">
        <v>5536</v>
      </c>
      <c r="D155" s="18">
        <v>145.2</v>
      </c>
      <c r="E155" s="18">
        <v>203.28</v>
      </c>
      <c r="F155" s="18">
        <v>12.0</v>
      </c>
    </row>
    <row r="156">
      <c r="A156" s="15">
        <v>50.0</v>
      </c>
      <c r="B156" s="16" t="s">
        <v>5696</v>
      </c>
      <c r="C156" s="17" t="s">
        <v>5536</v>
      </c>
      <c r="D156" s="18">
        <v>226.61</v>
      </c>
      <c r="E156" s="18">
        <v>317.25</v>
      </c>
      <c r="F156" s="18">
        <v>12.0</v>
      </c>
    </row>
    <row r="157">
      <c r="A157" s="15">
        <v>51.0</v>
      </c>
      <c r="B157" s="16" t="s">
        <v>5696</v>
      </c>
      <c r="C157" s="17" t="s">
        <v>5546</v>
      </c>
      <c r="D157" s="18">
        <v>249.26</v>
      </c>
      <c r="E157" s="18">
        <v>348.97</v>
      </c>
      <c r="F157" s="18">
        <v>12.0</v>
      </c>
    </row>
    <row r="158">
      <c r="A158" s="15">
        <v>52.0</v>
      </c>
      <c r="B158" s="16" t="s">
        <v>5697</v>
      </c>
      <c r="C158" s="17" t="s">
        <v>5546</v>
      </c>
      <c r="D158" s="18">
        <v>5.16</v>
      </c>
      <c r="E158" s="18">
        <v>7.53</v>
      </c>
      <c r="F158" s="18">
        <v>12.0</v>
      </c>
    </row>
    <row r="159">
      <c r="A159" s="15">
        <v>53.0</v>
      </c>
      <c r="B159" s="16" t="s">
        <v>5698</v>
      </c>
      <c r="C159" s="17" t="s">
        <v>5546</v>
      </c>
      <c r="D159" s="18">
        <v>15.24</v>
      </c>
      <c r="E159" s="18">
        <v>21.33</v>
      </c>
      <c r="F159" s="18">
        <v>12.0</v>
      </c>
    </row>
    <row r="160">
      <c r="A160" s="15">
        <v>54.0</v>
      </c>
      <c r="B160" s="16" t="s">
        <v>5699</v>
      </c>
      <c r="C160" s="16" t="s">
        <v>5700</v>
      </c>
      <c r="D160" s="18">
        <v>11.47</v>
      </c>
      <c r="E160" s="18">
        <v>17.34</v>
      </c>
      <c r="F160" s="18">
        <v>12.0</v>
      </c>
    </row>
    <row r="161">
      <c r="A161" s="15">
        <v>55.0</v>
      </c>
      <c r="B161" s="16" t="s">
        <v>5701</v>
      </c>
      <c r="C161" s="17" t="s">
        <v>5702</v>
      </c>
      <c r="D161" s="18">
        <v>6.58</v>
      </c>
      <c r="E161" s="18">
        <v>9.21</v>
      </c>
      <c r="F161" s="18">
        <v>12.0</v>
      </c>
    </row>
    <row r="162">
      <c r="A162" s="15">
        <v>56.0</v>
      </c>
      <c r="B162" s="16" t="s">
        <v>5703</v>
      </c>
      <c r="C162" s="17" t="s">
        <v>5704</v>
      </c>
      <c r="D162" s="18">
        <v>6.56</v>
      </c>
      <c r="E162" s="18">
        <v>9.89</v>
      </c>
      <c r="F162" s="18">
        <v>12.0</v>
      </c>
    </row>
    <row r="163">
      <c r="A163" s="15">
        <v>57.0</v>
      </c>
      <c r="B163" s="16" t="s">
        <v>5703</v>
      </c>
      <c r="C163" s="17" t="s">
        <v>5705</v>
      </c>
      <c r="D163" s="18">
        <v>7.06</v>
      </c>
      <c r="E163" s="18">
        <v>9.89</v>
      </c>
      <c r="F163" s="18">
        <v>12.0</v>
      </c>
    </row>
    <row r="164">
      <c r="A164" s="15">
        <v>58.0</v>
      </c>
      <c r="B164" s="16" t="s">
        <v>5706</v>
      </c>
      <c r="C164" s="17" t="s">
        <v>5707</v>
      </c>
      <c r="D164" s="18">
        <v>15.73</v>
      </c>
      <c r="E164" s="18">
        <v>21.62</v>
      </c>
      <c r="F164" s="18">
        <v>12.0</v>
      </c>
    </row>
    <row r="165">
      <c r="A165" s="15">
        <v>59.0</v>
      </c>
      <c r="B165" s="16" t="s">
        <v>5708</v>
      </c>
      <c r="C165" s="17" t="s">
        <v>5709</v>
      </c>
      <c r="D165" s="18">
        <v>89.38</v>
      </c>
      <c r="E165" s="18">
        <v>131.84</v>
      </c>
      <c r="F165" s="18">
        <v>18.0</v>
      </c>
    </row>
    <row r="166">
      <c r="A166" s="15">
        <v>60.0</v>
      </c>
      <c r="B166" s="16" t="s">
        <v>5710</v>
      </c>
      <c r="C166" s="17" t="s">
        <v>5664</v>
      </c>
      <c r="D166" s="18">
        <v>146.44</v>
      </c>
      <c r="E166" s="18">
        <v>237.5</v>
      </c>
      <c r="F166" s="18">
        <v>18.0</v>
      </c>
    </row>
    <row r="167">
      <c r="A167" s="15">
        <v>61.0</v>
      </c>
      <c r="B167" s="16" t="s">
        <v>5711</v>
      </c>
      <c r="C167" s="17" t="s">
        <v>5712</v>
      </c>
      <c r="D167" s="18">
        <v>46.43</v>
      </c>
      <c r="E167" s="18">
        <v>65.0</v>
      </c>
      <c r="F167" s="18">
        <v>12.0</v>
      </c>
    </row>
    <row r="168">
      <c r="A168" s="15">
        <v>62.0</v>
      </c>
      <c r="B168" s="16" t="s">
        <v>5713</v>
      </c>
      <c r="C168" s="17" t="s">
        <v>5714</v>
      </c>
      <c r="D168" s="18">
        <v>97.43</v>
      </c>
      <c r="E168" s="18">
        <v>136.4</v>
      </c>
      <c r="F168" s="18">
        <v>12.0</v>
      </c>
    </row>
    <row r="169">
      <c r="A169" s="15">
        <v>63.0</v>
      </c>
      <c r="B169" s="16" t="s">
        <v>5715</v>
      </c>
      <c r="C169" s="17" t="s">
        <v>5536</v>
      </c>
      <c r="D169" s="18">
        <v>52.22</v>
      </c>
      <c r="E169" s="18">
        <v>73.11</v>
      </c>
      <c r="F169" s="18">
        <v>12.0</v>
      </c>
    </row>
    <row r="170">
      <c r="A170" s="15">
        <v>64.0</v>
      </c>
      <c r="B170" s="16" t="s">
        <v>5716</v>
      </c>
      <c r="C170" s="17" t="s">
        <v>5717</v>
      </c>
      <c r="D170" s="18">
        <v>53.74</v>
      </c>
      <c r="E170" s="18">
        <v>75.23</v>
      </c>
      <c r="F170" s="18">
        <v>12.0</v>
      </c>
    </row>
    <row r="171">
      <c r="A171" s="15">
        <v>65.0</v>
      </c>
      <c r="B171" s="16" t="s">
        <v>5718</v>
      </c>
      <c r="C171" s="17" t="s">
        <v>5636</v>
      </c>
      <c r="D171" s="18">
        <v>42.86</v>
      </c>
      <c r="E171" s="18">
        <v>60.0</v>
      </c>
      <c r="F171" s="18">
        <v>12.0</v>
      </c>
    </row>
    <row r="172">
      <c r="A172" s="15">
        <v>66.0</v>
      </c>
      <c r="B172" s="16" t="s">
        <v>5719</v>
      </c>
      <c r="C172" s="17" t="s">
        <v>5720</v>
      </c>
      <c r="D172" s="18">
        <v>18.35</v>
      </c>
      <c r="E172" s="18">
        <v>25.2</v>
      </c>
      <c r="F172" s="18">
        <v>12.0</v>
      </c>
    </row>
    <row r="173">
      <c r="A173" s="15">
        <v>67.0</v>
      </c>
      <c r="B173" s="16" t="s">
        <v>5721</v>
      </c>
      <c r="C173" s="17" t="s">
        <v>5722</v>
      </c>
      <c r="D173" s="18">
        <v>16.38</v>
      </c>
      <c r="E173" s="18">
        <v>22.93</v>
      </c>
      <c r="F173" s="18">
        <v>12.0</v>
      </c>
    </row>
    <row r="174">
      <c r="A174" s="15">
        <v>68.0</v>
      </c>
      <c r="B174" s="16" t="s">
        <v>5723</v>
      </c>
      <c r="C174" s="17" t="s">
        <v>5603</v>
      </c>
      <c r="D174" s="18">
        <v>47.46</v>
      </c>
      <c r="E174" s="18">
        <v>70.0</v>
      </c>
      <c r="F174" s="18">
        <v>18.0</v>
      </c>
    </row>
    <row r="175">
      <c r="A175" s="15">
        <v>69.0</v>
      </c>
      <c r="B175" s="16" t="s">
        <v>5724</v>
      </c>
      <c r="C175" s="17" t="s">
        <v>5725</v>
      </c>
      <c r="D175" s="18">
        <v>109.25</v>
      </c>
      <c r="E175" s="18">
        <v>150.0</v>
      </c>
      <c r="F175" s="18">
        <v>12.0</v>
      </c>
    </row>
    <row r="176">
      <c r="A176" s="15">
        <v>70.0</v>
      </c>
      <c r="B176" s="16" t="s">
        <v>5726</v>
      </c>
      <c r="C176" s="17" t="s">
        <v>5727</v>
      </c>
      <c r="D176" s="18">
        <v>70.71</v>
      </c>
      <c r="E176" s="18">
        <v>99.0</v>
      </c>
      <c r="F176" s="18">
        <v>12.0</v>
      </c>
    </row>
    <row r="177">
      <c r="A177" s="15">
        <v>71.0</v>
      </c>
      <c r="B177" s="16" t="s">
        <v>5728</v>
      </c>
      <c r="C177" s="17" t="s">
        <v>5729</v>
      </c>
      <c r="D177" s="18">
        <v>51.1</v>
      </c>
      <c r="E177" s="18">
        <v>78.69</v>
      </c>
      <c r="F177" s="18">
        <v>12.0</v>
      </c>
    </row>
    <row r="178">
      <c r="A178" s="15">
        <v>72.0</v>
      </c>
      <c r="B178" s="16" t="s">
        <v>5730</v>
      </c>
      <c r="C178" s="17" t="s">
        <v>5731</v>
      </c>
      <c r="D178" s="18">
        <v>33.57</v>
      </c>
      <c r="E178" s="18">
        <v>51.65</v>
      </c>
      <c r="F178" s="18">
        <v>12.0</v>
      </c>
    </row>
    <row r="179">
      <c r="A179" s="15">
        <v>73.0</v>
      </c>
      <c r="B179" s="16" t="s">
        <v>5732</v>
      </c>
      <c r="C179" s="17" t="s">
        <v>5733</v>
      </c>
      <c r="D179" s="18">
        <v>71.32</v>
      </c>
      <c r="E179" s="18">
        <v>99.85</v>
      </c>
      <c r="F179" s="18">
        <v>12.0</v>
      </c>
    </row>
    <row r="180">
      <c r="A180" s="15">
        <v>74.0</v>
      </c>
      <c r="B180" s="16" t="s">
        <v>5734</v>
      </c>
      <c r="C180" s="17" t="s">
        <v>5636</v>
      </c>
      <c r="D180" s="18">
        <v>131.61</v>
      </c>
      <c r="E180" s="18">
        <v>184.25</v>
      </c>
      <c r="F180" s="18">
        <v>12.0</v>
      </c>
    </row>
    <row r="181">
      <c r="A181" s="15">
        <v>75.0</v>
      </c>
      <c r="B181" s="16" t="s">
        <v>5735</v>
      </c>
      <c r="C181" s="17" t="s">
        <v>5736</v>
      </c>
      <c r="D181" s="18">
        <v>58.54</v>
      </c>
      <c r="E181" s="18">
        <v>74.5</v>
      </c>
      <c r="F181" s="18">
        <v>12.0</v>
      </c>
    </row>
    <row r="182">
      <c r="A182" s="15">
        <v>76.0</v>
      </c>
      <c r="B182" s="16" t="s">
        <v>5737</v>
      </c>
      <c r="C182" s="17" t="s">
        <v>5536</v>
      </c>
      <c r="D182" s="18">
        <v>77.14</v>
      </c>
      <c r="E182" s="18">
        <v>118.8</v>
      </c>
      <c r="F182" s="18">
        <v>12.0</v>
      </c>
    </row>
    <row r="183">
      <c r="A183" s="15">
        <v>77.0</v>
      </c>
      <c r="B183" s="16" t="s">
        <v>5738</v>
      </c>
      <c r="C183" s="17" t="s">
        <v>5739</v>
      </c>
      <c r="D183" s="18">
        <v>44.79</v>
      </c>
      <c r="E183" s="18">
        <v>62.7</v>
      </c>
      <c r="F183" s="18">
        <v>12.0</v>
      </c>
    </row>
    <row r="184">
      <c r="A184" s="15">
        <v>78.0</v>
      </c>
      <c r="B184" s="16" t="s">
        <v>5738</v>
      </c>
      <c r="C184" s="17" t="s">
        <v>5740</v>
      </c>
      <c r="D184" s="18">
        <v>93.34</v>
      </c>
      <c r="E184" s="18">
        <v>130.68</v>
      </c>
      <c r="F184" s="18">
        <v>12.0</v>
      </c>
    </row>
    <row r="185">
      <c r="A185" s="15">
        <v>79.0</v>
      </c>
      <c r="B185" s="16" t="s">
        <v>5741</v>
      </c>
      <c r="C185" s="17" t="s">
        <v>5742</v>
      </c>
      <c r="D185" s="18">
        <v>89.29</v>
      </c>
      <c r="E185" s="18">
        <v>125.0</v>
      </c>
      <c r="F185" s="18">
        <v>12.0</v>
      </c>
    </row>
    <row r="186">
      <c r="A186" s="6"/>
      <c r="B186" s="7"/>
      <c r="C186" s="7"/>
      <c r="D186" s="7"/>
      <c r="E186" s="8"/>
      <c r="F186" s="16" t="s">
        <v>5743</v>
      </c>
    </row>
    <row r="187">
      <c r="A187" s="6"/>
      <c r="B187" s="7"/>
      <c r="C187" s="7"/>
      <c r="D187" s="7"/>
      <c r="E187" s="7"/>
      <c r="F187" s="8"/>
    </row>
    <row r="188">
      <c r="A188" s="6"/>
      <c r="B188" s="7"/>
      <c r="C188" s="7"/>
      <c r="D188" s="7"/>
      <c r="E188" s="7"/>
      <c r="F188" s="8"/>
    </row>
    <row r="189">
      <c r="A189" s="6"/>
      <c r="B189" s="7"/>
      <c r="C189" s="7"/>
      <c r="D189" s="7"/>
      <c r="E189" s="7"/>
      <c r="F189" s="8"/>
    </row>
    <row r="190">
      <c r="A190" s="6"/>
      <c r="B190" s="7"/>
      <c r="C190" s="7"/>
      <c r="D190" s="7"/>
      <c r="E190" s="7"/>
      <c r="F190" s="8"/>
    </row>
    <row r="191">
      <c r="A191" s="9" t="s">
        <v>5582</v>
      </c>
      <c r="B191" s="10"/>
      <c r="C191" s="10"/>
      <c r="D191" s="10"/>
      <c r="E191" s="10"/>
      <c r="F191" s="10"/>
    </row>
    <row r="192">
      <c r="A192" s="19" t="s">
        <v>5583</v>
      </c>
    </row>
    <row r="193">
      <c r="A193" s="6"/>
      <c r="B193" s="7"/>
      <c r="C193" s="7"/>
      <c r="D193" s="8"/>
      <c r="E193" s="12" t="s">
        <v>5584</v>
      </c>
      <c r="F193" s="12" t="s">
        <v>5744</v>
      </c>
    </row>
    <row r="194">
      <c r="A194" s="20" t="s">
        <v>5522</v>
      </c>
      <c r="B194" s="16" t="s">
        <v>5523</v>
      </c>
      <c r="C194" s="16" t="s">
        <v>5524</v>
      </c>
      <c r="D194" s="16" t="s">
        <v>5525</v>
      </c>
      <c r="E194" s="16" t="s">
        <v>5526</v>
      </c>
      <c r="F194" s="16" t="s">
        <v>5586</v>
      </c>
    </row>
    <row r="195">
      <c r="A195" s="15">
        <v>80.0</v>
      </c>
      <c r="B195" s="16" t="s">
        <v>5741</v>
      </c>
      <c r="C195" s="17" t="s">
        <v>5745</v>
      </c>
      <c r="D195" s="18">
        <v>139.29</v>
      </c>
      <c r="E195" s="18">
        <v>195.0</v>
      </c>
      <c r="F195" s="18">
        <v>12.0</v>
      </c>
    </row>
    <row r="196">
      <c r="A196" s="15">
        <v>81.0</v>
      </c>
      <c r="B196" s="16" t="s">
        <v>5746</v>
      </c>
      <c r="C196" s="17" t="s">
        <v>5747</v>
      </c>
      <c r="D196" s="18">
        <v>19.56</v>
      </c>
      <c r="E196" s="18">
        <v>26.89</v>
      </c>
      <c r="F196" s="18">
        <v>12.0</v>
      </c>
    </row>
    <row r="197">
      <c r="A197" s="15">
        <v>82.0</v>
      </c>
      <c r="B197" s="16" t="s">
        <v>5748</v>
      </c>
      <c r="C197" s="17" t="s">
        <v>5636</v>
      </c>
      <c r="D197" s="18">
        <v>7.66</v>
      </c>
      <c r="E197" s="18">
        <v>9.39</v>
      </c>
      <c r="F197" s="18">
        <v>12.0</v>
      </c>
    </row>
    <row r="198">
      <c r="A198" s="15">
        <v>83.0</v>
      </c>
      <c r="B198" s="16" t="s">
        <v>5749</v>
      </c>
      <c r="C198" s="17" t="s">
        <v>5636</v>
      </c>
      <c r="D198" s="18">
        <v>111.21</v>
      </c>
      <c r="E198" s="18">
        <v>155.7</v>
      </c>
      <c r="F198" s="18">
        <v>12.0</v>
      </c>
    </row>
    <row r="199">
      <c r="A199" s="15">
        <v>84.0</v>
      </c>
      <c r="B199" s="16" t="s">
        <v>5750</v>
      </c>
      <c r="C199" s="17" t="s">
        <v>5751</v>
      </c>
      <c r="D199" s="18">
        <v>38.64</v>
      </c>
      <c r="E199" s="18">
        <v>59.5</v>
      </c>
      <c r="F199" s="18">
        <v>12.0</v>
      </c>
    </row>
    <row r="200">
      <c r="A200" s="15">
        <v>85.0</v>
      </c>
      <c r="B200" s="16" t="s">
        <v>5752</v>
      </c>
      <c r="C200" s="17" t="s">
        <v>5753</v>
      </c>
      <c r="D200" s="18">
        <v>50.08</v>
      </c>
      <c r="E200" s="18">
        <v>69.5</v>
      </c>
      <c r="F200" s="18">
        <v>12.0</v>
      </c>
    </row>
    <row r="201">
      <c r="A201" s="15">
        <v>86.0</v>
      </c>
      <c r="B201" s="16" t="s">
        <v>5752</v>
      </c>
      <c r="C201" s="17" t="s">
        <v>5754</v>
      </c>
      <c r="D201" s="18">
        <v>43.98</v>
      </c>
      <c r="E201" s="18">
        <v>67.0</v>
      </c>
      <c r="F201" s="18">
        <v>12.0</v>
      </c>
    </row>
    <row r="202">
      <c r="A202" s="15">
        <v>87.0</v>
      </c>
      <c r="B202" s="16" t="s">
        <v>5752</v>
      </c>
      <c r="C202" s="17" t="s">
        <v>5636</v>
      </c>
      <c r="D202" s="18">
        <v>26.32</v>
      </c>
      <c r="E202" s="18">
        <v>36.5</v>
      </c>
      <c r="F202" s="18">
        <v>12.0</v>
      </c>
    </row>
    <row r="203">
      <c r="A203" s="15">
        <v>88.0</v>
      </c>
      <c r="B203" s="16" t="s">
        <v>5755</v>
      </c>
      <c r="C203" s="17" t="s">
        <v>5756</v>
      </c>
      <c r="D203" s="18">
        <v>51.09</v>
      </c>
      <c r="E203" s="18">
        <v>70.88</v>
      </c>
      <c r="F203" s="18">
        <v>12.0</v>
      </c>
    </row>
    <row r="204">
      <c r="A204" s="15">
        <v>89.0</v>
      </c>
      <c r="B204" s="16" t="s">
        <v>5757</v>
      </c>
      <c r="C204" s="17" t="s">
        <v>5614</v>
      </c>
      <c r="D204" s="18">
        <v>55.34</v>
      </c>
      <c r="E204" s="18">
        <v>77.48</v>
      </c>
      <c r="F204" s="18">
        <v>12.0</v>
      </c>
    </row>
    <row r="205">
      <c r="A205" s="15">
        <v>90.0</v>
      </c>
      <c r="B205" s="16" t="s">
        <v>5758</v>
      </c>
      <c r="C205" s="17" t="s">
        <v>5614</v>
      </c>
      <c r="D205" s="18">
        <v>115.54</v>
      </c>
      <c r="E205" s="18">
        <v>161.75</v>
      </c>
      <c r="F205" s="18">
        <v>12.0</v>
      </c>
    </row>
    <row r="206">
      <c r="A206" s="15">
        <v>91.0</v>
      </c>
      <c r="B206" s="16" t="s">
        <v>5759</v>
      </c>
      <c r="C206" s="17" t="s">
        <v>5760</v>
      </c>
      <c r="D206" s="18">
        <v>41.73</v>
      </c>
      <c r="E206" s="18">
        <v>58.5</v>
      </c>
      <c r="F206" s="18">
        <v>12.0</v>
      </c>
    </row>
    <row r="207">
      <c r="A207" s="15">
        <v>92.0</v>
      </c>
      <c r="B207" s="16" t="s">
        <v>5761</v>
      </c>
      <c r="C207" s="17" t="s">
        <v>5536</v>
      </c>
      <c r="D207" s="18">
        <v>7.34</v>
      </c>
      <c r="E207" s="18">
        <v>10.28</v>
      </c>
      <c r="F207" s="18">
        <v>12.0</v>
      </c>
    </row>
    <row r="208">
      <c r="A208" s="15">
        <v>93.0</v>
      </c>
      <c r="B208" s="16" t="s">
        <v>5761</v>
      </c>
      <c r="C208" s="17" t="s">
        <v>5762</v>
      </c>
      <c r="D208" s="18">
        <v>6.07</v>
      </c>
      <c r="E208" s="18">
        <v>8.5</v>
      </c>
      <c r="F208" s="18">
        <v>12.0</v>
      </c>
    </row>
    <row r="209">
      <c r="A209" s="15">
        <v>94.0</v>
      </c>
      <c r="B209" s="16" t="s">
        <v>5763</v>
      </c>
      <c r="C209" s="17" t="s">
        <v>5536</v>
      </c>
      <c r="D209" s="18">
        <v>11.79</v>
      </c>
      <c r="E209" s="18">
        <v>16.5</v>
      </c>
      <c r="F209" s="18">
        <v>12.0</v>
      </c>
    </row>
    <row r="210">
      <c r="A210" s="15">
        <v>95.0</v>
      </c>
      <c r="B210" s="16" t="s">
        <v>5763</v>
      </c>
      <c r="C210" s="17" t="s">
        <v>5762</v>
      </c>
      <c r="D210" s="18">
        <v>5.36</v>
      </c>
      <c r="E210" s="18">
        <v>7.5</v>
      </c>
      <c r="F210" s="18">
        <v>12.0</v>
      </c>
    </row>
    <row r="211">
      <c r="A211" s="15">
        <v>96.0</v>
      </c>
      <c r="B211" s="16" t="s">
        <v>5764</v>
      </c>
      <c r="C211" s="17" t="s">
        <v>5536</v>
      </c>
      <c r="D211" s="18">
        <v>19.05</v>
      </c>
      <c r="E211" s="18">
        <v>29.33</v>
      </c>
      <c r="F211" s="18">
        <v>12.0</v>
      </c>
    </row>
    <row r="212">
      <c r="A212" s="15">
        <v>97.0</v>
      </c>
      <c r="B212" s="16" t="s">
        <v>5764</v>
      </c>
      <c r="C212" s="17" t="s">
        <v>5765</v>
      </c>
      <c r="D212" s="18">
        <v>6.93</v>
      </c>
      <c r="E212" s="18">
        <v>9.7</v>
      </c>
      <c r="F212" s="18">
        <v>12.0</v>
      </c>
    </row>
    <row r="213">
      <c r="A213" s="15">
        <v>98.0</v>
      </c>
      <c r="B213" s="16" t="s">
        <v>5766</v>
      </c>
      <c r="C213" s="17" t="s">
        <v>5653</v>
      </c>
      <c r="D213" s="18">
        <v>7.79</v>
      </c>
      <c r="E213" s="18">
        <v>10.5</v>
      </c>
      <c r="F213" s="18">
        <v>12.0</v>
      </c>
    </row>
    <row r="214">
      <c r="A214" s="15">
        <v>99.0</v>
      </c>
      <c r="B214" s="16" t="s">
        <v>5766</v>
      </c>
      <c r="C214" s="17" t="s">
        <v>5530</v>
      </c>
      <c r="D214" s="18">
        <v>24.6</v>
      </c>
      <c r="E214" s="18">
        <v>34.44</v>
      </c>
      <c r="F214" s="18">
        <v>12.0</v>
      </c>
    </row>
    <row r="215">
      <c r="A215" s="15">
        <v>100.0</v>
      </c>
      <c r="B215" s="16" t="s">
        <v>5766</v>
      </c>
      <c r="C215" s="17" t="s">
        <v>5767</v>
      </c>
      <c r="D215" s="18">
        <v>6.56</v>
      </c>
      <c r="E215" s="18">
        <v>10.09</v>
      </c>
      <c r="F215" s="18">
        <v>12.0</v>
      </c>
    </row>
    <row r="216">
      <c r="A216" s="15">
        <v>101.0</v>
      </c>
      <c r="B216" s="16" t="s">
        <v>5766</v>
      </c>
      <c r="C216" s="17" t="s">
        <v>5768</v>
      </c>
      <c r="D216" s="18">
        <v>20.36</v>
      </c>
      <c r="E216" s="18">
        <v>28.5</v>
      </c>
      <c r="F216" s="18">
        <v>12.0</v>
      </c>
    </row>
    <row r="217">
      <c r="A217" s="15">
        <v>102.0</v>
      </c>
      <c r="B217" s="16" t="s">
        <v>5769</v>
      </c>
      <c r="C217" s="17" t="s">
        <v>5770</v>
      </c>
      <c r="D217" s="18">
        <v>65.71</v>
      </c>
      <c r="E217" s="18">
        <v>92.0</v>
      </c>
      <c r="F217" s="18">
        <v>12.0</v>
      </c>
    </row>
    <row r="218">
      <c r="A218" s="15">
        <v>103.0</v>
      </c>
      <c r="B218" s="16" t="s">
        <v>5769</v>
      </c>
      <c r="C218" s="17" t="s">
        <v>5771</v>
      </c>
      <c r="D218" s="18">
        <v>51.0</v>
      </c>
      <c r="E218" s="18">
        <v>71.4</v>
      </c>
      <c r="F218" s="18">
        <v>12.0</v>
      </c>
    </row>
    <row r="219">
      <c r="A219" s="15">
        <v>104.0</v>
      </c>
      <c r="B219" s="21"/>
      <c r="C219" s="17" t="s">
        <v>189</v>
      </c>
      <c r="D219" s="18">
        <v>64.29</v>
      </c>
      <c r="E219" s="18">
        <v>90.0</v>
      </c>
      <c r="F219" s="18">
        <v>12.0</v>
      </c>
    </row>
    <row r="220">
      <c r="A220" s="15">
        <v>105.0</v>
      </c>
      <c r="B220" s="16" t="s">
        <v>5769</v>
      </c>
      <c r="C220" s="17" t="s">
        <v>5772</v>
      </c>
      <c r="D220" s="18">
        <v>59.64</v>
      </c>
      <c r="E220" s="18">
        <v>83.5</v>
      </c>
      <c r="F220" s="18">
        <v>12.0</v>
      </c>
    </row>
    <row r="221">
      <c r="A221" s="15">
        <v>106.0</v>
      </c>
      <c r="B221" s="16" t="s">
        <v>5769</v>
      </c>
      <c r="C221" s="17" t="s">
        <v>5773</v>
      </c>
      <c r="D221" s="18">
        <v>62.5</v>
      </c>
      <c r="E221" s="18">
        <v>87.5</v>
      </c>
      <c r="F221" s="18">
        <v>12.0</v>
      </c>
    </row>
    <row r="222">
      <c r="A222" s="15">
        <v>107.0</v>
      </c>
      <c r="B222" s="16" t="s">
        <v>5769</v>
      </c>
      <c r="C222" s="17" t="s">
        <v>5774</v>
      </c>
      <c r="D222" s="18">
        <v>77.6</v>
      </c>
      <c r="E222" s="18">
        <v>105.5</v>
      </c>
      <c r="F222" s="18">
        <v>12.0</v>
      </c>
    </row>
    <row r="223">
      <c r="A223" s="15">
        <v>108.0</v>
      </c>
      <c r="B223" s="16" t="s">
        <v>5775</v>
      </c>
      <c r="C223" s="17" t="s">
        <v>5768</v>
      </c>
      <c r="D223" s="18">
        <v>82.86</v>
      </c>
      <c r="E223" s="18">
        <v>116.0</v>
      </c>
      <c r="F223" s="18">
        <v>12.0</v>
      </c>
    </row>
    <row r="224">
      <c r="A224" s="15">
        <v>109.0</v>
      </c>
      <c r="B224" s="16" t="s">
        <v>5776</v>
      </c>
      <c r="C224" s="17" t="s">
        <v>5536</v>
      </c>
      <c r="D224" s="18">
        <v>109.29</v>
      </c>
      <c r="E224" s="18">
        <v>168.3</v>
      </c>
      <c r="F224" s="18">
        <v>12.0</v>
      </c>
    </row>
    <row r="225">
      <c r="A225" s="15">
        <v>110.0</v>
      </c>
      <c r="B225" s="16" t="s">
        <v>5777</v>
      </c>
      <c r="C225" s="17" t="s">
        <v>5636</v>
      </c>
      <c r="D225" s="18">
        <v>128.07</v>
      </c>
      <c r="E225" s="18">
        <v>179.3</v>
      </c>
      <c r="F225" s="18">
        <v>12.0</v>
      </c>
    </row>
    <row r="226">
      <c r="A226" s="15">
        <v>111.0</v>
      </c>
      <c r="B226" s="16" t="s">
        <v>5778</v>
      </c>
      <c r="C226" s="17" t="s">
        <v>5665</v>
      </c>
      <c r="D226" s="18">
        <v>47.1</v>
      </c>
      <c r="E226" s="18">
        <v>72.5</v>
      </c>
      <c r="F226" s="18">
        <v>12.0</v>
      </c>
    </row>
    <row r="227">
      <c r="A227" s="15">
        <v>112.0</v>
      </c>
      <c r="B227" s="16" t="s">
        <v>5779</v>
      </c>
      <c r="C227" s="17" t="s">
        <v>5780</v>
      </c>
      <c r="D227" s="18">
        <v>113.21</v>
      </c>
      <c r="E227" s="18">
        <v>158.5</v>
      </c>
      <c r="F227" s="18">
        <v>12.0</v>
      </c>
    </row>
    <row r="228">
      <c r="A228" s="15">
        <v>113.0</v>
      </c>
      <c r="B228" s="16" t="s">
        <v>5781</v>
      </c>
      <c r="C228" s="17" t="s">
        <v>5782</v>
      </c>
      <c r="D228" s="18">
        <v>100.36</v>
      </c>
      <c r="E228" s="18">
        <v>140.5</v>
      </c>
      <c r="F228" s="18">
        <v>12.0</v>
      </c>
    </row>
    <row r="229">
      <c r="A229" s="15">
        <v>114.0</v>
      </c>
      <c r="B229" s="16" t="s">
        <v>5783</v>
      </c>
      <c r="C229" s="17" t="s">
        <v>5742</v>
      </c>
      <c r="D229" s="18">
        <v>86.43</v>
      </c>
      <c r="E229" s="18">
        <v>173.0</v>
      </c>
      <c r="F229" s="18">
        <v>12.0</v>
      </c>
    </row>
    <row r="230">
      <c r="A230" s="15">
        <v>115.0</v>
      </c>
      <c r="B230" s="16" t="s">
        <v>200</v>
      </c>
      <c r="C230" s="16" t="s">
        <v>5558</v>
      </c>
      <c r="D230" s="18">
        <v>196.43</v>
      </c>
      <c r="E230" s="18">
        <v>275.0</v>
      </c>
      <c r="F230" s="18">
        <v>12.0</v>
      </c>
    </row>
    <row r="231">
      <c r="A231" s="15">
        <v>116.0</v>
      </c>
      <c r="B231" s="16" t="s">
        <v>5784</v>
      </c>
      <c r="C231" s="17" t="s">
        <v>5603</v>
      </c>
      <c r="D231" s="18">
        <v>254.24</v>
      </c>
      <c r="E231" s="18">
        <v>375.0</v>
      </c>
      <c r="F231" s="18">
        <v>18.0</v>
      </c>
    </row>
    <row r="232">
      <c r="A232" s="15">
        <v>117.0</v>
      </c>
      <c r="B232" s="16" t="s">
        <v>5785</v>
      </c>
      <c r="C232" s="17" t="s">
        <v>5636</v>
      </c>
      <c r="D232" s="18">
        <v>493.56</v>
      </c>
      <c r="E232" s="18">
        <v>728.0</v>
      </c>
      <c r="F232" s="18">
        <v>18.0</v>
      </c>
    </row>
    <row r="233">
      <c r="A233" s="15">
        <v>118.0</v>
      </c>
      <c r="B233" s="16" t="s">
        <v>5786</v>
      </c>
      <c r="C233" s="17" t="s">
        <v>5562</v>
      </c>
      <c r="D233" s="18">
        <v>167.67</v>
      </c>
      <c r="E233" s="18">
        <v>234.74</v>
      </c>
      <c r="F233" s="18">
        <v>12.0</v>
      </c>
    </row>
    <row r="234">
      <c r="A234" s="15">
        <v>119.0</v>
      </c>
      <c r="B234" s="16" t="s">
        <v>5787</v>
      </c>
      <c r="C234" s="17" t="s">
        <v>5788</v>
      </c>
      <c r="D234" s="18">
        <v>388.21</v>
      </c>
      <c r="E234" s="18">
        <v>543.5</v>
      </c>
      <c r="F234" s="18">
        <v>12.0</v>
      </c>
    </row>
    <row r="235">
      <c r="A235" s="15">
        <v>120.0</v>
      </c>
      <c r="B235" s="16" t="s">
        <v>5789</v>
      </c>
      <c r="C235" s="17" t="s">
        <v>5562</v>
      </c>
      <c r="D235" s="18">
        <v>72.86</v>
      </c>
      <c r="E235" s="18">
        <v>102.0</v>
      </c>
      <c r="F235" s="18">
        <v>12.0</v>
      </c>
    </row>
    <row r="236">
      <c r="A236" s="15">
        <v>121.0</v>
      </c>
      <c r="B236" s="16" t="s">
        <v>5790</v>
      </c>
      <c r="C236" s="17" t="s">
        <v>5791</v>
      </c>
      <c r="D236" s="18">
        <v>103.71</v>
      </c>
      <c r="E236" s="18">
        <v>145.2</v>
      </c>
      <c r="F236" s="18">
        <v>12.0</v>
      </c>
    </row>
    <row r="237">
      <c r="A237" s="15">
        <v>122.0</v>
      </c>
      <c r="B237" s="16" t="s">
        <v>207</v>
      </c>
      <c r="C237" s="16" t="s">
        <v>5679</v>
      </c>
      <c r="D237" s="18">
        <v>64.04</v>
      </c>
      <c r="E237" s="18">
        <v>117.9</v>
      </c>
      <c r="F237" s="18">
        <v>12.0</v>
      </c>
    </row>
    <row r="238">
      <c r="A238" s="15">
        <v>123.0</v>
      </c>
      <c r="B238" s="16" t="s">
        <v>5792</v>
      </c>
      <c r="C238" s="17" t="s">
        <v>5793</v>
      </c>
      <c r="D238" s="18">
        <v>12.1</v>
      </c>
      <c r="E238" s="18">
        <v>16.94</v>
      </c>
      <c r="F238" s="18">
        <v>12.0</v>
      </c>
    </row>
    <row r="239">
      <c r="A239" s="15">
        <v>124.0</v>
      </c>
      <c r="B239" s="16" t="s">
        <v>5794</v>
      </c>
      <c r="C239" s="17" t="s">
        <v>5636</v>
      </c>
      <c r="D239" s="18">
        <v>51.07</v>
      </c>
      <c r="E239" s="18">
        <v>65.0</v>
      </c>
      <c r="F239" s="18">
        <v>12.0</v>
      </c>
    </row>
    <row r="240">
      <c r="A240" s="15">
        <v>125.0</v>
      </c>
      <c r="B240" s="16" t="s">
        <v>5794</v>
      </c>
      <c r="C240" s="17" t="s">
        <v>5603</v>
      </c>
      <c r="D240" s="18">
        <v>84.26</v>
      </c>
      <c r="E240" s="18">
        <v>117.97</v>
      </c>
      <c r="F240" s="18">
        <v>12.0</v>
      </c>
    </row>
    <row r="241">
      <c r="A241" s="15">
        <v>126.0</v>
      </c>
      <c r="B241" s="16" t="s">
        <v>5795</v>
      </c>
      <c r="C241" s="17" t="s">
        <v>5603</v>
      </c>
      <c r="D241" s="18">
        <v>31.19</v>
      </c>
      <c r="E241" s="18">
        <v>46.0</v>
      </c>
      <c r="F241" s="18">
        <v>18.0</v>
      </c>
    </row>
    <row r="242">
      <c r="A242" s="15">
        <v>127.0</v>
      </c>
      <c r="B242" s="16" t="s">
        <v>5796</v>
      </c>
      <c r="C242" s="17" t="s">
        <v>5797</v>
      </c>
      <c r="D242" s="18">
        <v>42.31</v>
      </c>
      <c r="E242" s="18">
        <v>59.23</v>
      </c>
      <c r="F242" s="18">
        <v>12.0</v>
      </c>
    </row>
    <row r="243">
      <c r="A243" s="15">
        <v>128.0</v>
      </c>
      <c r="B243" s="16" t="s">
        <v>5796</v>
      </c>
      <c r="C243" s="17" t="s">
        <v>5798</v>
      </c>
      <c r="D243" s="18">
        <v>235.71</v>
      </c>
      <c r="E243" s="18">
        <v>330.0</v>
      </c>
      <c r="F243" s="18">
        <v>12.0</v>
      </c>
    </row>
    <row r="244">
      <c r="A244" s="15">
        <v>129.0</v>
      </c>
      <c r="B244" s="16" t="s">
        <v>5799</v>
      </c>
      <c r="C244" s="17" t="s">
        <v>5603</v>
      </c>
      <c r="D244" s="18">
        <v>63.93</v>
      </c>
      <c r="E244" s="18">
        <v>108.24</v>
      </c>
      <c r="F244" s="18">
        <v>12.0</v>
      </c>
    </row>
    <row r="245">
      <c r="A245" s="15">
        <v>130.0</v>
      </c>
      <c r="B245" s="16" t="s">
        <v>5800</v>
      </c>
      <c r="C245" s="17" t="s">
        <v>5768</v>
      </c>
      <c r="D245" s="18">
        <v>67.86</v>
      </c>
      <c r="E245" s="18">
        <v>95.0</v>
      </c>
      <c r="F245" s="18">
        <v>12.0</v>
      </c>
    </row>
    <row r="246">
      <c r="A246" s="15">
        <v>131.0</v>
      </c>
      <c r="B246" s="16" t="s">
        <v>5801</v>
      </c>
      <c r="C246" s="17" t="s">
        <v>5802</v>
      </c>
      <c r="D246" s="18">
        <v>60.71</v>
      </c>
      <c r="E246" s="18">
        <v>85.0</v>
      </c>
      <c r="F246" s="18">
        <v>12.0</v>
      </c>
    </row>
    <row r="247">
      <c r="A247" s="15">
        <v>132.0</v>
      </c>
      <c r="B247" s="16" t="s">
        <v>5803</v>
      </c>
      <c r="C247" s="17" t="s">
        <v>5804</v>
      </c>
      <c r="D247" s="18">
        <v>54.92</v>
      </c>
      <c r="E247" s="18">
        <v>85.75</v>
      </c>
      <c r="F247" s="18">
        <v>12.0</v>
      </c>
    </row>
    <row r="248">
      <c r="A248" s="15">
        <v>133.0</v>
      </c>
      <c r="B248" s="16" t="s">
        <v>5805</v>
      </c>
      <c r="C248" s="17" t="s">
        <v>5806</v>
      </c>
      <c r="D248" s="18">
        <v>129.49</v>
      </c>
      <c r="E248" s="18">
        <v>191.0</v>
      </c>
      <c r="F248" s="18">
        <v>18.0</v>
      </c>
    </row>
    <row r="249">
      <c r="A249" s="15">
        <v>134.0</v>
      </c>
      <c r="B249" s="16" t="s">
        <v>5807</v>
      </c>
      <c r="C249" s="17" t="s">
        <v>5768</v>
      </c>
      <c r="D249" s="18">
        <v>56.5</v>
      </c>
      <c r="E249" s="18">
        <v>79.1</v>
      </c>
      <c r="F249" s="18">
        <v>12.0</v>
      </c>
    </row>
    <row r="250">
      <c r="A250" s="15">
        <v>135.0</v>
      </c>
      <c r="B250" s="16" t="s">
        <v>5808</v>
      </c>
      <c r="C250" s="17" t="s">
        <v>5768</v>
      </c>
      <c r="D250" s="18">
        <v>70.61</v>
      </c>
      <c r="E250" s="18">
        <v>96.0</v>
      </c>
      <c r="F250" s="18">
        <v>12.0</v>
      </c>
    </row>
    <row r="251">
      <c r="A251" s="15">
        <v>136.0</v>
      </c>
      <c r="B251" s="16" t="s">
        <v>5809</v>
      </c>
      <c r="C251" s="17" t="s">
        <v>5768</v>
      </c>
      <c r="D251" s="18">
        <v>55.32</v>
      </c>
      <c r="E251" s="18">
        <v>76.0</v>
      </c>
      <c r="F251" s="18">
        <v>12.0</v>
      </c>
    </row>
    <row r="252">
      <c r="A252" s="15">
        <v>137.0</v>
      </c>
      <c r="B252" s="16" t="s">
        <v>5810</v>
      </c>
      <c r="C252" s="17" t="s">
        <v>5811</v>
      </c>
      <c r="D252" s="18">
        <v>82.54</v>
      </c>
      <c r="E252" s="18">
        <v>115.56</v>
      </c>
      <c r="F252" s="18">
        <v>12.0</v>
      </c>
    </row>
    <row r="253">
      <c r="A253" s="15">
        <v>138.0</v>
      </c>
      <c r="B253" s="16" t="s">
        <v>5812</v>
      </c>
      <c r="C253" s="17" t="s">
        <v>5813</v>
      </c>
      <c r="D253" s="18">
        <v>5.51</v>
      </c>
      <c r="E253" s="18">
        <v>7.71</v>
      </c>
      <c r="F253" s="18">
        <v>12.0</v>
      </c>
    </row>
    <row r="254">
      <c r="A254" s="15">
        <v>139.0</v>
      </c>
      <c r="B254" s="16" t="s">
        <v>223</v>
      </c>
      <c r="C254" s="16" t="s">
        <v>5558</v>
      </c>
      <c r="D254" s="18">
        <v>80.44</v>
      </c>
      <c r="E254" s="18">
        <v>111.6</v>
      </c>
      <c r="F254" s="18">
        <v>12.0</v>
      </c>
    </row>
    <row r="255">
      <c r="A255" s="15">
        <v>140.0</v>
      </c>
      <c r="B255" s="16" t="s">
        <v>5814</v>
      </c>
      <c r="C255" s="17" t="s">
        <v>5536</v>
      </c>
      <c r="D255" s="18">
        <v>13.77</v>
      </c>
      <c r="E255" s="18">
        <v>18.9</v>
      </c>
      <c r="F255" s="18">
        <v>12.0</v>
      </c>
    </row>
    <row r="256">
      <c r="A256" s="6"/>
      <c r="B256" s="7"/>
      <c r="C256" s="7"/>
      <c r="D256" s="7"/>
      <c r="E256" s="8"/>
      <c r="F256" s="16" t="s">
        <v>5815</v>
      </c>
    </row>
    <row r="257">
      <c r="A257" s="6"/>
      <c r="B257" s="7"/>
      <c r="C257" s="7"/>
      <c r="D257" s="7"/>
      <c r="E257" s="7"/>
      <c r="F257" s="8"/>
    </row>
    <row r="258">
      <c r="A258" s="6"/>
      <c r="B258" s="7"/>
      <c r="C258" s="7"/>
      <c r="D258" s="7"/>
      <c r="E258" s="7"/>
      <c r="F258" s="8"/>
    </row>
    <row r="259">
      <c r="A259" s="6"/>
      <c r="B259" s="7"/>
      <c r="C259" s="7"/>
      <c r="D259" s="7"/>
      <c r="E259" s="7"/>
      <c r="F259" s="8"/>
    </row>
    <row r="260">
      <c r="A260" s="6"/>
      <c r="B260" s="7"/>
      <c r="C260" s="7"/>
      <c r="D260" s="7"/>
      <c r="E260" s="7"/>
      <c r="F260" s="8"/>
    </row>
    <row r="261">
      <c r="A261" s="9" t="s">
        <v>5582</v>
      </c>
      <c r="B261" s="10"/>
      <c r="C261" s="10"/>
      <c r="D261" s="10"/>
      <c r="E261" s="10"/>
      <c r="F261" s="10"/>
    </row>
    <row r="262">
      <c r="A262" s="19" t="s">
        <v>5583</v>
      </c>
    </row>
    <row r="263">
      <c r="A263" s="6"/>
      <c r="B263" s="7"/>
      <c r="C263" s="7"/>
      <c r="D263" s="8"/>
      <c r="E263" s="12" t="s">
        <v>5584</v>
      </c>
      <c r="F263" s="12" t="s">
        <v>5816</v>
      </c>
    </row>
    <row r="264">
      <c r="A264" s="20" t="s">
        <v>5522</v>
      </c>
      <c r="B264" s="16" t="s">
        <v>5523</v>
      </c>
      <c r="C264" s="16" t="s">
        <v>5524</v>
      </c>
      <c r="D264" s="16" t="s">
        <v>5525</v>
      </c>
      <c r="E264" s="16" t="s">
        <v>5526</v>
      </c>
      <c r="F264" s="16" t="s">
        <v>5586</v>
      </c>
    </row>
    <row r="265">
      <c r="A265" s="15">
        <v>141.0</v>
      </c>
      <c r="B265" s="16" t="s">
        <v>5817</v>
      </c>
      <c r="C265" s="17" t="s">
        <v>5818</v>
      </c>
      <c r="D265" s="18">
        <v>50.82</v>
      </c>
      <c r="E265" s="18">
        <v>70.5</v>
      </c>
      <c r="F265" s="18">
        <v>12.0</v>
      </c>
    </row>
    <row r="266">
      <c r="A266" s="6"/>
      <c r="B266" s="7"/>
      <c r="C266" s="7"/>
      <c r="D266" s="7"/>
      <c r="E266" s="7"/>
      <c r="F266" s="8"/>
    </row>
    <row r="267">
      <c r="A267" s="9" t="s">
        <v>5819</v>
      </c>
      <c r="B267" s="10"/>
      <c r="C267" s="10"/>
      <c r="D267" s="10"/>
      <c r="E267" s="10"/>
      <c r="F267" s="10"/>
    </row>
    <row r="268">
      <c r="A268" s="11">
        <v>1.0</v>
      </c>
      <c r="B268" s="12" t="s">
        <v>5820</v>
      </c>
      <c r="C268" s="13" t="s">
        <v>5536</v>
      </c>
      <c r="D268" s="14">
        <v>40.71</v>
      </c>
      <c r="E268" s="14">
        <v>68.69</v>
      </c>
      <c r="F268" s="14">
        <v>12.0</v>
      </c>
    </row>
    <row r="269">
      <c r="A269" s="15">
        <v>2.0</v>
      </c>
      <c r="B269" s="16" t="s">
        <v>5821</v>
      </c>
      <c r="C269" s="17" t="s">
        <v>5536</v>
      </c>
      <c r="D269" s="18">
        <v>26.69</v>
      </c>
      <c r="E269" s="18">
        <v>37.37</v>
      </c>
      <c r="F269" s="18">
        <v>12.0</v>
      </c>
    </row>
    <row r="270">
      <c r="A270" s="15">
        <v>3.0</v>
      </c>
      <c r="B270" s="16" t="s">
        <v>5822</v>
      </c>
      <c r="C270" s="17" t="s">
        <v>5536</v>
      </c>
      <c r="D270" s="18">
        <v>36.07</v>
      </c>
      <c r="E270" s="18">
        <v>61.0</v>
      </c>
      <c r="F270" s="18">
        <v>12.0</v>
      </c>
    </row>
    <row r="271">
      <c r="A271" s="15">
        <v>4.0</v>
      </c>
      <c r="B271" s="16" t="s">
        <v>5823</v>
      </c>
      <c r="C271" s="17" t="s">
        <v>5536</v>
      </c>
      <c r="D271" s="18">
        <v>0.0</v>
      </c>
      <c r="E271" s="18">
        <v>0.0</v>
      </c>
      <c r="F271" s="18">
        <v>12.0</v>
      </c>
    </row>
    <row r="272">
      <c r="A272" s="15">
        <v>5.0</v>
      </c>
      <c r="B272" s="16" t="s">
        <v>5824</v>
      </c>
      <c r="C272" s="17" t="s">
        <v>5536</v>
      </c>
      <c r="D272" s="18">
        <v>112.39</v>
      </c>
      <c r="E272" s="18">
        <v>173.07</v>
      </c>
      <c r="F272" s="18">
        <v>12.0</v>
      </c>
    </row>
    <row r="273">
      <c r="A273" s="15">
        <v>6.0</v>
      </c>
      <c r="B273" s="16" t="s">
        <v>5825</v>
      </c>
      <c r="C273" s="17" t="s">
        <v>5536</v>
      </c>
      <c r="D273" s="18">
        <v>0.0</v>
      </c>
      <c r="E273" s="18">
        <v>0.0</v>
      </c>
      <c r="F273" s="18">
        <v>12.0</v>
      </c>
    </row>
    <row r="274">
      <c r="A274" s="15">
        <v>7.0</v>
      </c>
      <c r="B274" s="16" t="s">
        <v>5826</v>
      </c>
      <c r="C274" s="17" t="s">
        <v>5827</v>
      </c>
      <c r="D274" s="18">
        <v>64.29</v>
      </c>
      <c r="E274" s="18">
        <v>90.0</v>
      </c>
      <c r="F274" s="18">
        <v>12.0</v>
      </c>
    </row>
    <row r="275">
      <c r="A275" s="15">
        <v>8.0</v>
      </c>
      <c r="B275" s="16" t="s">
        <v>5826</v>
      </c>
      <c r="C275" s="17" t="s">
        <v>5828</v>
      </c>
      <c r="D275" s="18">
        <v>185.71</v>
      </c>
      <c r="E275" s="18">
        <v>283.0</v>
      </c>
      <c r="F275" s="18">
        <v>12.0</v>
      </c>
    </row>
    <row r="276">
      <c r="A276" s="15">
        <v>9.0</v>
      </c>
      <c r="B276" s="16" t="s">
        <v>5829</v>
      </c>
      <c r="C276" s="17" t="s">
        <v>5830</v>
      </c>
      <c r="D276" s="18">
        <v>55.71</v>
      </c>
      <c r="E276" s="18">
        <v>78.0</v>
      </c>
      <c r="F276" s="18">
        <v>12.0</v>
      </c>
    </row>
    <row r="277">
      <c r="A277" s="15">
        <v>10.0</v>
      </c>
      <c r="B277" s="16" t="s">
        <v>5829</v>
      </c>
      <c r="C277" s="17" t="s">
        <v>5831</v>
      </c>
      <c r="D277" s="18">
        <v>99.29</v>
      </c>
      <c r="E277" s="18">
        <v>139.0</v>
      </c>
      <c r="F277" s="18">
        <v>12.0</v>
      </c>
    </row>
    <row r="278">
      <c r="A278" s="15">
        <v>11.0</v>
      </c>
      <c r="B278" s="16" t="s">
        <v>236</v>
      </c>
      <c r="C278" s="16" t="s">
        <v>5558</v>
      </c>
      <c r="D278" s="18">
        <v>15.03</v>
      </c>
      <c r="E278" s="18">
        <v>21.03</v>
      </c>
      <c r="F278" s="18">
        <v>12.0</v>
      </c>
    </row>
    <row r="279">
      <c r="A279" s="15">
        <v>12.0</v>
      </c>
      <c r="B279" s="16" t="s">
        <v>5832</v>
      </c>
      <c r="C279" s="17" t="s">
        <v>5833</v>
      </c>
      <c r="D279" s="18">
        <v>35.71</v>
      </c>
      <c r="E279" s="18">
        <v>50.0</v>
      </c>
      <c r="F279" s="18">
        <v>12.0</v>
      </c>
    </row>
    <row r="280">
      <c r="A280" s="15">
        <v>13.0</v>
      </c>
      <c r="B280" s="16" t="s">
        <v>5834</v>
      </c>
      <c r="C280" s="17" t="s">
        <v>5536</v>
      </c>
      <c r="D280" s="18">
        <v>50.0</v>
      </c>
      <c r="E280" s="18">
        <v>70.0</v>
      </c>
      <c r="F280" s="18">
        <v>12.0</v>
      </c>
    </row>
    <row r="281">
      <c r="A281" s="15">
        <v>14.0</v>
      </c>
      <c r="B281" s="16" t="s">
        <v>5835</v>
      </c>
      <c r="C281" s="17" t="s">
        <v>5536</v>
      </c>
      <c r="D281" s="18">
        <v>59.93</v>
      </c>
      <c r="E281" s="18">
        <v>83.9</v>
      </c>
      <c r="F281" s="18">
        <v>12.0</v>
      </c>
    </row>
    <row r="282">
      <c r="A282" s="15">
        <v>15.0</v>
      </c>
      <c r="B282" s="16" t="s">
        <v>5836</v>
      </c>
      <c r="C282" s="17" t="s">
        <v>5536</v>
      </c>
      <c r="D282" s="18">
        <v>35.65</v>
      </c>
      <c r="E282" s="18">
        <v>49.9</v>
      </c>
      <c r="F282" s="18">
        <v>12.0</v>
      </c>
    </row>
    <row r="283">
      <c r="A283" s="15">
        <v>16.0</v>
      </c>
      <c r="B283" s="16" t="s">
        <v>5837</v>
      </c>
      <c r="C283" s="17" t="s">
        <v>5536</v>
      </c>
      <c r="D283" s="18">
        <v>65.08</v>
      </c>
      <c r="E283" s="18">
        <v>90.3</v>
      </c>
      <c r="F283" s="18">
        <v>12.0</v>
      </c>
    </row>
    <row r="284">
      <c r="A284" s="15">
        <v>17.0</v>
      </c>
      <c r="B284" s="16" t="s">
        <v>5838</v>
      </c>
      <c r="C284" s="17" t="s">
        <v>5839</v>
      </c>
      <c r="D284" s="18">
        <v>84.29</v>
      </c>
      <c r="E284" s="18">
        <v>118.0</v>
      </c>
      <c r="F284" s="18">
        <v>12.0</v>
      </c>
    </row>
    <row r="285">
      <c r="A285" s="15">
        <v>18.0</v>
      </c>
      <c r="B285" s="16" t="s">
        <v>5840</v>
      </c>
      <c r="C285" s="17" t="s">
        <v>5841</v>
      </c>
      <c r="D285" s="18">
        <v>251.36</v>
      </c>
      <c r="E285" s="18">
        <v>351.9</v>
      </c>
      <c r="F285" s="18">
        <v>12.0</v>
      </c>
    </row>
    <row r="286">
      <c r="A286" s="15">
        <v>19.0</v>
      </c>
      <c r="B286" s="16" t="s">
        <v>5842</v>
      </c>
      <c r="C286" s="17" t="s">
        <v>5562</v>
      </c>
      <c r="D286" s="18">
        <v>70.65</v>
      </c>
      <c r="E286" s="18">
        <v>98.91</v>
      </c>
      <c r="F286" s="18">
        <v>12.0</v>
      </c>
    </row>
    <row r="287">
      <c r="A287" s="15">
        <v>20.0</v>
      </c>
      <c r="B287" s="16" t="s">
        <v>5843</v>
      </c>
      <c r="C287" s="17" t="s">
        <v>5562</v>
      </c>
      <c r="D287" s="18">
        <v>86.07</v>
      </c>
      <c r="E287" s="18">
        <v>145.1</v>
      </c>
      <c r="F287" s="18">
        <v>12.0</v>
      </c>
    </row>
    <row r="288">
      <c r="A288" s="15">
        <v>21.0</v>
      </c>
      <c r="B288" s="16" t="s">
        <v>5844</v>
      </c>
      <c r="C288" s="17" t="s">
        <v>5536</v>
      </c>
      <c r="D288" s="18">
        <v>8.49</v>
      </c>
      <c r="E288" s="18">
        <v>11.88</v>
      </c>
      <c r="F288" s="18">
        <v>12.0</v>
      </c>
    </row>
    <row r="289">
      <c r="A289" s="15">
        <v>22.0</v>
      </c>
      <c r="B289" s="16" t="s">
        <v>5845</v>
      </c>
      <c r="C289" s="17" t="s">
        <v>5633</v>
      </c>
      <c r="D289" s="18">
        <v>40.82</v>
      </c>
      <c r="E289" s="18">
        <v>62.8</v>
      </c>
      <c r="F289" s="18">
        <v>12.0</v>
      </c>
    </row>
    <row r="290">
      <c r="A290" s="15">
        <v>23.0</v>
      </c>
      <c r="B290" s="16" t="s">
        <v>5846</v>
      </c>
      <c r="C290" s="17" t="s">
        <v>5847</v>
      </c>
      <c r="D290" s="18">
        <v>40.66</v>
      </c>
      <c r="E290" s="18">
        <v>51.8</v>
      </c>
      <c r="F290" s="18">
        <v>12.0</v>
      </c>
    </row>
    <row r="291">
      <c r="A291" s="15">
        <v>24.0</v>
      </c>
      <c r="B291" s="16" t="s">
        <v>5846</v>
      </c>
      <c r="C291" s="17" t="s">
        <v>5636</v>
      </c>
      <c r="D291" s="18">
        <v>34.37</v>
      </c>
      <c r="E291" s="18">
        <v>48.12</v>
      </c>
      <c r="F291" s="18">
        <v>12.0</v>
      </c>
    </row>
    <row r="292">
      <c r="A292" s="15">
        <v>25.0</v>
      </c>
      <c r="B292" s="16" t="s">
        <v>5848</v>
      </c>
      <c r="C292" s="17" t="s">
        <v>5636</v>
      </c>
      <c r="D292" s="18">
        <v>123.36</v>
      </c>
      <c r="E292" s="18">
        <v>189.97</v>
      </c>
      <c r="F292" s="18">
        <v>12.0</v>
      </c>
    </row>
    <row r="293">
      <c r="A293" s="15">
        <v>26.0</v>
      </c>
      <c r="B293" s="16" t="s">
        <v>5849</v>
      </c>
      <c r="C293" s="17" t="s">
        <v>5636</v>
      </c>
      <c r="D293" s="18">
        <v>47.29</v>
      </c>
      <c r="E293" s="18">
        <v>66.2</v>
      </c>
      <c r="F293" s="18">
        <v>12.0</v>
      </c>
    </row>
    <row r="294">
      <c r="A294" s="15">
        <v>27.0</v>
      </c>
      <c r="B294" s="16" t="s">
        <v>5850</v>
      </c>
      <c r="C294" s="17" t="s">
        <v>5598</v>
      </c>
      <c r="D294" s="18">
        <v>215.64</v>
      </c>
      <c r="E294" s="18">
        <v>301.9</v>
      </c>
      <c r="F294" s="18">
        <v>12.0</v>
      </c>
    </row>
    <row r="295">
      <c r="A295" s="15">
        <v>28.0</v>
      </c>
      <c r="B295" s="16" t="s">
        <v>5851</v>
      </c>
      <c r="C295" s="17" t="s">
        <v>5852</v>
      </c>
      <c r="D295" s="18">
        <v>38.57</v>
      </c>
      <c r="E295" s="18">
        <v>64.5</v>
      </c>
      <c r="F295" s="18">
        <v>12.0</v>
      </c>
    </row>
    <row r="296">
      <c r="A296" s="15">
        <v>29.0</v>
      </c>
      <c r="B296" s="16" t="s">
        <v>5851</v>
      </c>
      <c r="C296" s="17" t="s">
        <v>5853</v>
      </c>
      <c r="D296" s="18">
        <v>75.95</v>
      </c>
      <c r="E296" s="18">
        <v>116.85</v>
      </c>
      <c r="F296" s="18">
        <v>12.0</v>
      </c>
    </row>
    <row r="297">
      <c r="A297" s="15">
        <v>30.0</v>
      </c>
      <c r="B297" s="16" t="s">
        <v>5851</v>
      </c>
      <c r="C297" s="17" t="s">
        <v>5854</v>
      </c>
      <c r="D297" s="18">
        <v>47.23</v>
      </c>
      <c r="E297" s="18">
        <v>66.12</v>
      </c>
      <c r="F297" s="18">
        <v>12.0</v>
      </c>
    </row>
    <row r="298">
      <c r="A298" s="15">
        <v>31.0</v>
      </c>
      <c r="B298" s="16" t="s">
        <v>5851</v>
      </c>
      <c r="C298" s="17" t="s">
        <v>5855</v>
      </c>
      <c r="D298" s="18">
        <v>73.86</v>
      </c>
      <c r="E298" s="18">
        <v>105.35</v>
      </c>
      <c r="F298" s="18">
        <v>12.0</v>
      </c>
    </row>
    <row r="299">
      <c r="A299" s="15">
        <v>32.0</v>
      </c>
      <c r="B299" s="16" t="s">
        <v>5851</v>
      </c>
      <c r="C299" s="17" t="s">
        <v>5856</v>
      </c>
      <c r="D299" s="18">
        <v>109.8</v>
      </c>
      <c r="E299" s="18">
        <v>153.72</v>
      </c>
      <c r="F299" s="18">
        <v>12.0</v>
      </c>
    </row>
    <row r="300">
      <c r="A300" s="15">
        <v>33.0</v>
      </c>
      <c r="B300" s="16" t="s">
        <v>5851</v>
      </c>
      <c r="C300" s="17" t="s">
        <v>5857</v>
      </c>
      <c r="D300" s="18">
        <v>114.48</v>
      </c>
      <c r="E300" s="18">
        <v>160.27</v>
      </c>
      <c r="F300" s="18">
        <v>12.0</v>
      </c>
    </row>
    <row r="301">
      <c r="A301" s="15">
        <v>34.0</v>
      </c>
      <c r="B301" s="16" t="s">
        <v>5858</v>
      </c>
      <c r="C301" s="17" t="s">
        <v>5859</v>
      </c>
      <c r="D301" s="18">
        <v>46.93</v>
      </c>
      <c r="E301" s="18">
        <v>65.1</v>
      </c>
      <c r="F301" s="18">
        <v>12.0</v>
      </c>
    </row>
    <row r="302">
      <c r="A302" s="15">
        <v>35.0</v>
      </c>
      <c r="B302" s="16" t="s">
        <v>257</v>
      </c>
      <c r="C302" s="16" t="s">
        <v>5558</v>
      </c>
      <c r="D302" s="18">
        <v>23.23</v>
      </c>
      <c r="E302" s="18">
        <v>33.91</v>
      </c>
      <c r="F302" s="18">
        <v>12.0</v>
      </c>
    </row>
    <row r="303">
      <c r="A303" s="15">
        <v>36.0</v>
      </c>
      <c r="B303" s="16" t="s">
        <v>5860</v>
      </c>
      <c r="C303" s="17" t="s">
        <v>5861</v>
      </c>
      <c r="D303" s="18">
        <v>146.44</v>
      </c>
      <c r="E303" s="18">
        <v>235.0</v>
      </c>
      <c r="F303" s="18">
        <v>18.0</v>
      </c>
    </row>
    <row r="304">
      <c r="A304" s="15">
        <v>37.0</v>
      </c>
      <c r="B304" s="16" t="s">
        <v>5862</v>
      </c>
      <c r="C304" s="17" t="s">
        <v>5731</v>
      </c>
      <c r="D304" s="18">
        <v>142.5</v>
      </c>
      <c r="E304" s="18">
        <v>199.5</v>
      </c>
      <c r="F304" s="18">
        <v>12.0</v>
      </c>
    </row>
    <row r="305">
      <c r="A305" s="15">
        <v>38.0</v>
      </c>
      <c r="B305" s="16" t="s">
        <v>5863</v>
      </c>
      <c r="C305" s="17" t="s">
        <v>5725</v>
      </c>
      <c r="D305" s="18">
        <v>102.38</v>
      </c>
      <c r="E305" s="18">
        <v>149.06</v>
      </c>
      <c r="F305" s="18">
        <v>12.0</v>
      </c>
    </row>
    <row r="306">
      <c r="A306" s="15">
        <v>39.0</v>
      </c>
      <c r="B306" s="16" t="s">
        <v>5864</v>
      </c>
      <c r="C306" s="17" t="s">
        <v>5620</v>
      </c>
      <c r="D306" s="18">
        <v>17.2</v>
      </c>
      <c r="E306" s="18">
        <v>24.08</v>
      </c>
      <c r="F306" s="18">
        <v>12.0</v>
      </c>
    </row>
    <row r="307">
      <c r="A307" s="15">
        <v>40.0</v>
      </c>
      <c r="B307" s="16" t="s">
        <v>5865</v>
      </c>
      <c r="C307" s="16" t="s">
        <v>5700</v>
      </c>
      <c r="D307" s="18">
        <v>588.51</v>
      </c>
      <c r="E307" s="18">
        <v>950.0</v>
      </c>
      <c r="F307" s="18">
        <v>28.0</v>
      </c>
    </row>
    <row r="308">
      <c r="A308" s="15">
        <v>41.0</v>
      </c>
      <c r="B308" s="16" t="s">
        <v>5866</v>
      </c>
      <c r="C308" s="17" t="s">
        <v>5867</v>
      </c>
      <c r="D308" s="18">
        <v>108.47</v>
      </c>
      <c r="E308" s="18">
        <v>160.0</v>
      </c>
      <c r="F308" s="18">
        <v>18.0</v>
      </c>
    </row>
    <row r="309">
      <c r="A309" s="15">
        <v>42.0</v>
      </c>
      <c r="B309" s="16" t="s">
        <v>5868</v>
      </c>
      <c r="C309" s="17" t="s">
        <v>5598</v>
      </c>
      <c r="D309" s="18">
        <v>33.6</v>
      </c>
      <c r="E309" s="18">
        <v>46.62</v>
      </c>
      <c r="F309" s="18">
        <v>12.0</v>
      </c>
    </row>
    <row r="310">
      <c r="A310" s="15">
        <v>43.0</v>
      </c>
      <c r="B310" s="16" t="s">
        <v>5869</v>
      </c>
      <c r="C310" s="17" t="s">
        <v>5598</v>
      </c>
      <c r="D310" s="18">
        <v>59.66</v>
      </c>
      <c r="E310" s="18">
        <v>82.76</v>
      </c>
      <c r="F310" s="18">
        <v>12.0</v>
      </c>
    </row>
    <row r="311">
      <c r="A311" s="15">
        <v>44.0</v>
      </c>
      <c r="B311" s="16" t="s">
        <v>5870</v>
      </c>
      <c r="C311" s="17" t="s">
        <v>5768</v>
      </c>
      <c r="D311" s="18">
        <v>34.59</v>
      </c>
      <c r="E311" s="18">
        <v>47.97</v>
      </c>
      <c r="F311" s="18">
        <v>12.0</v>
      </c>
    </row>
    <row r="312">
      <c r="A312" s="15">
        <v>45.0</v>
      </c>
      <c r="B312" s="16" t="s">
        <v>267</v>
      </c>
      <c r="C312" s="16" t="s">
        <v>5558</v>
      </c>
      <c r="D312" s="18">
        <v>26.75</v>
      </c>
      <c r="E312" s="18">
        <v>41.19</v>
      </c>
      <c r="F312" s="18">
        <v>12.0</v>
      </c>
    </row>
    <row r="313">
      <c r="A313" s="15">
        <v>46.0</v>
      </c>
      <c r="B313" s="16" t="s">
        <v>5871</v>
      </c>
      <c r="C313" s="17" t="s">
        <v>5636</v>
      </c>
      <c r="D313" s="18">
        <v>26.91</v>
      </c>
      <c r="E313" s="18">
        <v>37.68</v>
      </c>
      <c r="F313" s="18">
        <v>12.0</v>
      </c>
    </row>
    <row r="314">
      <c r="A314" s="15">
        <v>47.0</v>
      </c>
      <c r="B314" s="16" t="s">
        <v>5871</v>
      </c>
      <c r="C314" s="17" t="s">
        <v>5603</v>
      </c>
      <c r="D314" s="18">
        <v>42.1</v>
      </c>
      <c r="E314" s="18">
        <v>60.05</v>
      </c>
      <c r="F314" s="18">
        <v>12.0</v>
      </c>
    </row>
    <row r="315">
      <c r="A315" s="15">
        <v>48.0</v>
      </c>
      <c r="B315" s="16" t="s">
        <v>5872</v>
      </c>
      <c r="C315" s="17" t="s">
        <v>5636</v>
      </c>
      <c r="D315" s="18">
        <v>44.56</v>
      </c>
      <c r="E315" s="18">
        <v>62.38</v>
      </c>
      <c r="F315" s="18">
        <v>12.0</v>
      </c>
    </row>
    <row r="316">
      <c r="A316" s="15">
        <v>49.0</v>
      </c>
      <c r="B316" s="16" t="s">
        <v>5872</v>
      </c>
      <c r="C316" s="17" t="s">
        <v>5603</v>
      </c>
      <c r="D316" s="18">
        <v>68.09</v>
      </c>
      <c r="E316" s="18">
        <v>95.33</v>
      </c>
      <c r="F316" s="18">
        <v>12.0</v>
      </c>
    </row>
    <row r="317">
      <c r="A317" s="15">
        <v>50.0</v>
      </c>
      <c r="B317" s="16" t="s">
        <v>5873</v>
      </c>
      <c r="C317" s="17" t="s">
        <v>5636</v>
      </c>
      <c r="D317" s="18">
        <v>61.27</v>
      </c>
      <c r="E317" s="18">
        <v>85.0</v>
      </c>
      <c r="F317" s="18">
        <v>12.0</v>
      </c>
    </row>
    <row r="318">
      <c r="A318" s="15">
        <v>51.0</v>
      </c>
      <c r="B318" s="16" t="s">
        <v>5874</v>
      </c>
      <c r="C318" s="17" t="s">
        <v>5665</v>
      </c>
      <c r="D318" s="18">
        <v>11.71</v>
      </c>
      <c r="E318" s="18">
        <v>16.69</v>
      </c>
      <c r="F318" s="18">
        <v>12.0</v>
      </c>
    </row>
    <row r="319">
      <c r="A319" s="15">
        <v>52.0</v>
      </c>
      <c r="B319" s="16" t="s">
        <v>5874</v>
      </c>
      <c r="C319" s="17" t="s">
        <v>5875</v>
      </c>
      <c r="D319" s="18">
        <v>19.75</v>
      </c>
      <c r="E319" s="18">
        <v>27.4</v>
      </c>
      <c r="F319" s="18">
        <v>12.0</v>
      </c>
    </row>
    <row r="320">
      <c r="A320" s="15">
        <v>53.0</v>
      </c>
      <c r="B320" s="16" t="s">
        <v>5876</v>
      </c>
      <c r="C320" s="17" t="s">
        <v>5877</v>
      </c>
      <c r="D320" s="18">
        <v>99.98</v>
      </c>
      <c r="E320" s="18">
        <v>139.97</v>
      </c>
      <c r="F320" s="18">
        <v>12.0</v>
      </c>
    </row>
    <row r="321">
      <c r="A321" s="15">
        <v>54.0</v>
      </c>
      <c r="B321" s="16" t="s">
        <v>5876</v>
      </c>
      <c r="C321" s="17" t="s">
        <v>5878</v>
      </c>
      <c r="D321" s="18">
        <v>55.14</v>
      </c>
      <c r="E321" s="18">
        <v>77.2</v>
      </c>
      <c r="F321" s="18">
        <v>12.0</v>
      </c>
    </row>
    <row r="322">
      <c r="A322" s="15">
        <v>55.0</v>
      </c>
      <c r="B322" s="16" t="s">
        <v>5876</v>
      </c>
      <c r="C322" s="17" t="s">
        <v>5879</v>
      </c>
      <c r="D322" s="18">
        <v>86.51</v>
      </c>
      <c r="E322" s="18">
        <v>121.12</v>
      </c>
      <c r="F322" s="18">
        <v>12.0</v>
      </c>
    </row>
    <row r="323">
      <c r="A323" s="15">
        <v>56.0</v>
      </c>
      <c r="B323" s="16" t="s">
        <v>5876</v>
      </c>
      <c r="C323" s="17" t="s">
        <v>5880</v>
      </c>
      <c r="D323" s="18">
        <v>141.56</v>
      </c>
      <c r="E323" s="18">
        <v>198.18</v>
      </c>
      <c r="F323" s="18">
        <v>12.0</v>
      </c>
    </row>
    <row r="324">
      <c r="A324" s="15">
        <v>57.0</v>
      </c>
      <c r="B324" s="16" t="s">
        <v>5876</v>
      </c>
      <c r="C324" s="17" t="s">
        <v>5881</v>
      </c>
      <c r="D324" s="18">
        <v>78.07</v>
      </c>
      <c r="E324" s="18">
        <v>109.3</v>
      </c>
      <c r="F324" s="18">
        <v>12.0</v>
      </c>
    </row>
    <row r="325">
      <c r="A325" s="15">
        <v>58.0</v>
      </c>
      <c r="B325" s="16" t="s">
        <v>5876</v>
      </c>
      <c r="C325" s="17" t="s">
        <v>5882</v>
      </c>
      <c r="D325" s="18">
        <v>135.81</v>
      </c>
      <c r="E325" s="18">
        <v>190.13</v>
      </c>
      <c r="F325" s="18">
        <v>12.0</v>
      </c>
    </row>
    <row r="326">
      <c r="A326" s="6"/>
      <c r="B326" s="7"/>
      <c r="C326" s="7"/>
      <c r="D326" s="7"/>
      <c r="E326" s="8"/>
      <c r="F326" s="16" t="s">
        <v>5883</v>
      </c>
    </row>
    <row r="327">
      <c r="A327" s="6"/>
      <c r="B327" s="7"/>
      <c r="C327" s="7"/>
      <c r="D327" s="7"/>
      <c r="E327" s="7"/>
      <c r="F327" s="8"/>
    </row>
    <row r="328">
      <c r="A328" s="6"/>
      <c r="B328" s="7"/>
      <c r="C328" s="7"/>
      <c r="D328" s="7"/>
      <c r="E328" s="7"/>
      <c r="F328" s="8"/>
    </row>
    <row r="329">
      <c r="A329" s="6"/>
      <c r="B329" s="7"/>
      <c r="C329" s="7"/>
      <c r="D329" s="7"/>
      <c r="E329" s="7"/>
      <c r="F329" s="8"/>
    </row>
    <row r="330">
      <c r="A330" s="6"/>
      <c r="B330" s="7"/>
      <c r="C330" s="7"/>
      <c r="D330" s="7"/>
      <c r="E330" s="7"/>
      <c r="F330" s="8"/>
    </row>
    <row r="331">
      <c r="A331" s="9" t="s">
        <v>5582</v>
      </c>
      <c r="B331" s="10"/>
      <c r="C331" s="10"/>
      <c r="D331" s="10"/>
      <c r="E331" s="10"/>
      <c r="F331" s="10"/>
    </row>
    <row r="332">
      <c r="A332" s="19" t="s">
        <v>5583</v>
      </c>
    </row>
    <row r="333">
      <c r="A333" s="6"/>
      <c r="B333" s="7"/>
      <c r="C333" s="7"/>
      <c r="D333" s="8"/>
      <c r="E333" s="12" t="s">
        <v>5584</v>
      </c>
      <c r="F333" s="12" t="s">
        <v>5884</v>
      </c>
    </row>
    <row r="334">
      <c r="A334" s="20" t="s">
        <v>5522</v>
      </c>
      <c r="B334" s="16" t="s">
        <v>5523</v>
      </c>
      <c r="C334" s="16" t="s">
        <v>5524</v>
      </c>
      <c r="D334" s="16" t="s">
        <v>5525</v>
      </c>
      <c r="E334" s="16" t="s">
        <v>5526</v>
      </c>
      <c r="F334" s="16" t="s">
        <v>5586</v>
      </c>
    </row>
    <row r="335">
      <c r="A335" s="15">
        <v>59.0</v>
      </c>
      <c r="B335" s="16" t="s">
        <v>5885</v>
      </c>
      <c r="C335" s="17" t="s">
        <v>5886</v>
      </c>
      <c r="D335" s="18">
        <v>22.33</v>
      </c>
      <c r="E335" s="18">
        <v>31.26</v>
      </c>
      <c r="F335" s="18">
        <v>12.0</v>
      </c>
    </row>
    <row r="336">
      <c r="A336" s="15">
        <v>60.0</v>
      </c>
      <c r="B336" s="16" t="s">
        <v>5885</v>
      </c>
      <c r="C336" s="17" t="s">
        <v>5887</v>
      </c>
      <c r="D336" s="18">
        <v>42.66</v>
      </c>
      <c r="E336" s="18">
        <v>59.72</v>
      </c>
      <c r="F336" s="18">
        <v>12.0</v>
      </c>
    </row>
    <row r="337">
      <c r="A337" s="15">
        <v>61.0</v>
      </c>
      <c r="B337" s="16" t="s">
        <v>5874</v>
      </c>
      <c r="C337" s="17" t="s">
        <v>5888</v>
      </c>
      <c r="D337" s="18">
        <v>43.46</v>
      </c>
      <c r="E337" s="18">
        <v>60.84</v>
      </c>
      <c r="F337" s="18">
        <v>12.0</v>
      </c>
    </row>
    <row r="338">
      <c r="A338" s="15">
        <v>62.0</v>
      </c>
      <c r="B338" s="16" t="s">
        <v>5874</v>
      </c>
      <c r="C338" s="17" t="s">
        <v>5889</v>
      </c>
      <c r="D338" s="18">
        <v>22.74</v>
      </c>
      <c r="E338" s="18">
        <v>31.84</v>
      </c>
      <c r="F338" s="18">
        <v>12.0</v>
      </c>
    </row>
    <row r="339">
      <c r="A339" s="15">
        <v>63.0</v>
      </c>
      <c r="B339" s="16" t="s">
        <v>5890</v>
      </c>
      <c r="C339" s="17" t="s">
        <v>5891</v>
      </c>
      <c r="D339" s="18">
        <v>135.0</v>
      </c>
      <c r="E339" s="18">
        <v>189.0</v>
      </c>
      <c r="F339" s="18">
        <v>12.0</v>
      </c>
    </row>
    <row r="340">
      <c r="A340" s="15">
        <v>64.0</v>
      </c>
      <c r="B340" s="16" t="s">
        <v>5890</v>
      </c>
      <c r="C340" s="17" t="s">
        <v>5892</v>
      </c>
      <c r="D340" s="18">
        <v>164.71</v>
      </c>
      <c r="E340" s="18">
        <v>253.43</v>
      </c>
      <c r="F340" s="18">
        <v>12.0</v>
      </c>
    </row>
    <row r="341">
      <c r="A341" s="15">
        <v>65.0</v>
      </c>
      <c r="B341" s="16" t="s">
        <v>5893</v>
      </c>
      <c r="C341" s="17" t="s">
        <v>5565</v>
      </c>
      <c r="D341" s="18">
        <v>40.95</v>
      </c>
      <c r="E341" s="18">
        <v>61.8</v>
      </c>
      <c r="F341" s="18">
        <v>12.0</v>
      </c>
    </row>
    <row r="342">
      <c r="A342" s="15">
        <v>66.0</v>
      </c>
      <c r="B342" s="16" t="s">
        <v>5894</v>
      </c>
      <c r="C342" s="17" t="s">
        <v>5565</v>
      </c>
      <c r="D342" s="18">
        <v>73.92</v>
      </c>
      <c r="E342" s="18">
        <v>109.87</v>
      </c>
      <c r="F342" s="18">
        <v>12.0</v>
      </c>
    </row>
    <row r="343">
      <c r="A343" s="15">
        <v>67.0</v>
      </c>
      <c r="B343" s="16" t="s">
        <v>5895</v>
      </c>
      <c r="C343" s="17" t="s">
        <v>5896</v>
      </c>
      <c r="D343" s="18">
        <v>62.41</v>
      </c>
      <c r="E343" s="18">
        <v>96.1</v>
      </c>
      <c r="F343" s="18">
        <v>12.0</v>
      </c>
    </row>
    <row r="344">
      <c r="A344" s="15">
        <v>68.0</v>
      </c>
      <c r="B344" s="16" t="s">
        <v>5897</v>
      </c>
      <c r="C344" s="17" t="s">
        <v>5614</v>
      </c>
      <c r="D344" s="18">
        <v>107.75</v>
      </c>
      <c r="E344" s="18">
        <v>150.85</v>
      </c>
      <c r="F344" s="18">
        <v>12.0</v>
      </c>
    </row>
    <row r="345">
      <c r="A345" s="15">
        <v>69.0</v>
      </c>
      <c r="B345" s="16" t="s">
        <v>5898</v>
      </c>
      <c r="C345" s="17" t="s">
        <v>5899</v>
      </c>
      <c r="D345" s="18">
        <v>144.57</v>
      </c>
      <c r="E345" s="18">
        <v>202.4</v>
      </c>
      <c r="F345" s="18">
        <v>12.0</v>
      </c>
    </row>
    <row r="346">
      <c r="A346" s="15">
        <v>70.0</v>
      </c>
      <c r="B346" s="16" t="s">
        <v>290</v>
      </c>
      <c r="C346" s="16" t="s">
        <v>5900</v>
      </c>
      <c r="D346" s="18">
        <v>68.57</v>
      </c>
      <c r="E346" s="18">
        <v>96.0</v>
      </c>
      <c r="F346" s="18">
        <v>12.0</v>
      </c>
    </row>
    <row r="347">
      <c r="A347" s="15">
        <v>71.0</v>
      </c>
      <c r="B347" s="16" t="s">
        <v>5901</v>
      </c>
      <c r="C347" s="17" t="s">
        <v>5636</v>
      </c>
      <c r="D347" s="18">
        <v>125.32</v>
      </c>
      <c r="E347" s="18">
        <v>169.0</v>
      </c>
      <c r="F347" s="18">
        <v>12.0</v>
      </c>
    </row>
    <row r="348">
      <c r="A348" s="15">
        <v>72.0</v>
      </c>
      <c r="B348" s="16" t="s">
        <v>5901</v>
      </c>
      <c r="C348" s="17" t="s">
        <v>5902</v>
      </c>
      <c r="D348" s="18">
        <v>204.3</v>
      </c>
      <c r="E348" s="18">
        <v>314.59</v>
      </c>
      <c r="F348" s="18">
        <v>12.0</v>
      </c>
    </row>
    <row r="349">
      <c r="A349" s="15">
        <v>73.0</v>
      </c>
      <c r="B349" s="16" t="s">
        <v>5903</v>
      </c>
      <c r="C349" s="17" t="s">
        <v>5676</v>
      </c>
      <c r="D349" s="18">
        <v>172.99</v>
      </c>
      <c r="E349" s="18">
        <v>240.0</v>
      </c>
      <c r="F349" s="18">
        <v>12.0</v>
      </c>
    </row>
    <row r="350">
      <c r="A350" s="15">
        <v>74.0</v>
      </c>
      <c r="B350" s="16" t="s">
        <v>5904</v>
      </c>
      <c r="C350" s="17" t="s">
        <v>5536</v>
      </c>
      <c r="D350" s="18">
        <v>40.72</v>
      </c>
      <c r="E350" s="18">
        <v>57.01</v>
      </c>
      <c r="F350" s="18">
        <v>12.0</v>
      </c>
    </row>
    <row r="351">
      <c r="A351" s="15">
        <v>75.0</v>
      </c>
      <c r="B351" s="16" t="s">
        <v>5904</v>
      </c>
      <c r="C351" s="17" t="s">
        <v>5546</v>
      </c>
      <c r="D351" s="18">
        <v>65.85</v>
      </c>
      <c r="E351" s="18">
        <v>96.1</v>
      </c>
      <c r="F351" s="18">
        <v>12.0</v>
      </c>
    </row>
    <row r="352">
      <c r="A352" s="15">
        <v>76.0</v>
      </c>
      <c r="B352" s="16" t="s">
        <v>5905</v>
      </c>
      <c r="C352" s="17" t="s">
        <v>5546</v>
      </c>
      <c r="D352" s="18">
        <v>138.71</v>
      </c>
      <c r="E352" s="18">
        <v>197.3</v>
      </c>
      <c r="F352" s="18">
        <v>12.0</v>
      </c>
    </row>
    <row r="353">
      <c r="A353" s="15">
        <v>77.0</v>
      </c>
      <c r="B353" s="16" t="s">
        <v>5906</v>
      </c>
      <c r="C353" s="17" t="s">
        <v>5907</v>
      </c>
      <c r="D353" s="18">
        <v>258.5</v>
      </c>
      <c r="E353" s="18">
        <v>361.89</v>
      </c>
      <c r="F353" s="18">
        <v>12.0</v>
      </c>
    </row>
    <row r="354">
      <c r="A354" s="15">
        <v>78.0</v>
      </c>
      <c r="B354" s="16" t="s">
        <v>5908</v>
      </c>
      <c r="C354" s="17" t="s">
        <v>5546</v>
      </c>
      <c r="D354" s="18">
        <v>76.21</v>
      </c>
      <c r="E354" s="18">
        <v>106.69</v>
      </c>
      <c r="F354" s="18">
        <v>12.0</v>
      </c>
    </row>
    <row r="355">
      <c r="A355" s="15">
        <v>79.0</v>
      </c>
      <c r="B355" s="16" t="s">
        <v>5909</v>
      </c>
      <c r="C355" s="17" t="s">
        <v>5536</v>
      </c>
      <c r="D355" s="18">
        <v>63.98</v>
      </c>
      <c r="E355" s="18">
        <v>89.57</v>
      </c>
      <c r="F355" s="18">
        <v>12.0</v>
      </c>
    </row>
    <row r="356">
      <c r="A356" s="15">
        <v>80.0</v>
      </c>
      <c r="B356" s="16" t="s">
        <v>5910</v>
      </c>
      <c r="C356" s="17" t="s">
        <v>5828</v>
      </c>
      <c r="D356" s="18">
        <v>102.84</v>
      </c>
      <c r="E356" s="18">
        <v>173.0</v>
      </c>
      <c r="F356" s="18">
        <v>12.0</v>
      </c>
    </row>
    <row r="357">
      <c r="A357" s="15">
        <v>81.0</v>
      </c>
      <c r="B357" s="16" t="s">
        <v>5911</v>
      </c>
      <c r="C357" s="17" t="s">
        <v>5912</v>
      </c>
      <c r="D357" s="18">
        <v>89.64</v>
      </c>
      <c r="E357" s="18">
        <v>125.5</v>
      </c>
      <c r="F357" s="18">
        <v>12.0</v>
      </c>
    </row>
    <row r="358">
      <c r="A358" s="15">
        <v>82.0</v>
      </c>
      <c r="B358" s="16" t="s">
        <v>5913</v>
      </c>
      <c r="C358" s="17" t="s">
        <v>5827</v>
      </c>
      <c r="D358" s="18">
        <v>117.86</v>
      </c>
      <c r="E358" s="18">
        <v>165.0</v>
      </c>
      <c r="F358" s="18">
        <v>12.0</v>
      </c>
    </row>
    <row r="359">
      <c r="A359" s="15">
        <v>83.0</v>
      </c>
      <c r="B359" s="16" t="s">
        <v>5913</v>
      </c>
      <c r="C359" s="17" t="s">
        <v>5828</v>
      </c>
      <c r="D359" s="18">
        <v>210.71</v>
      </c>
      <c r="E359" s="18">
        <v>295.0</v>
      </c>
      <c r="F359" s="18">
        <v>12.0</v>
      </c>
    </row>
    <row r="360">
      <c r="A360" s="15">
        <v>84.0</v>
      </c>
      <c r="B360" s="16" t="s">
        <v>5913</v>
      </c>
      <c r="C360" s="17" t="s">
        <v>5674</v>
      </c>
      <c r="D360" s="18">
        <v>282.14</v>
      </c>
      <c r="E360" s="18">
        <v>395.0</v>
      </c>
      <c r="F360" s="18">
        <v>12.0</v>
      </c>
    </row>
    <row r="361">
      <c r="A361" s="15">
        <v>85.0</v>
      </c>
      <c r="B361" s="16" t="s">
        <v>5914</v>
      </c>
      <c r="C361" s="17" t="s">
        <v>5830</v>
      </c>
      <c r="D361" s="18">
        <v>116.5</v>
      </c>
      <c r="E361" s="18">
        <v>160.0</v>
      </c>
      <c r="F361" s="18">
        <v>12.0</v>
      </c>
    </row>
    <row r="362">
      <c r="A362" s="15">
        <v>86.0</v>
      </c>
      <c r="B362" s="16" t="s">
        <v>5915</v>
      </c>
      <c r="C362" s="17" t="s">
        <v>5536</v>
      </c>
      <c r="D362" s="18">
        <v>149.04</v>
      </c>
      <c r="E362" s="18">
        <v>236.59</v>
      </c>
      <c r="F362" s="18">
        <v>5.0</v>
      </c>
    </row>
    <row r="363">
      <c r="A363" s="15">
        <v>87.0</v>
      </c>
      <c r="B363" s="16" t="s">
        <v>5916</v>
      </c>
      <c r="C363" s="17" t="s">
        <v>5536</v>
      </c>
      <c r="D363" s="18">
        <v>5.34</v>
      </c>
      <c r="E363" s="18">
        <v>7.61</v>
      </c>
      <c r="F363" s="18">
        <v>12.0</v>
      </c>
    </row>
    <row r="364">
      <c r="A364" s="15">
        <v>88.0</v>
      </c>
      <c r="B364" s="16" t="s">
        <v>5917</v>
      </c>
      <c r="C364" s="17" t="s">
        <v>5536</v>
      </c>
      <c r="D364" s="18">
        <v>10.99</v>
      </c>
      <c r="E364" s="18">
        <v>15.39</v>
      </c>
      <c r="F364" s="18">
        <v>12.0</v>
      </c>
    </row>
    <row r="365">
      <c r="A365" s="15">
        <v>89.0</v>
      </c>
      <c r="B365" s="16" t="s">
        <v>5918</v>
      </c>
      <c r="C365" s="17" t="s">
        <v>5536</v>
      </c>
      <c r="D365" s="18">
        <v>20.46</v>
      </c>
      <c r="E365" s="18">
        <v>28.65</v>
      </c>
      <c r="F365" s="18">
        <v>12.0</v>
      </c>
    </row>
    <row r="366">
      <c r="A366" s="15">
        <v>90.0</v>
      </c>
      <c r="B366" s="16" t="s">
        <v>5919</v>
      </c>
      <c r="C366" s="17" t="s">
        <v>5920</v>
      </c>
      <c r="D366" s="18">
        <v>18.21</v>
      </c>
      <c r="E366" s="18">
        <v>25.49</v>
      </c>
      <c r="F366" s="18">
        <v>12.0</v>
      </c>
    </row>
    <row r="367">
      <c r="A367" s="15">
        <v>91.0</v>
      </c>
      <c r="B367" s="16" t="s">
        <v>5919</v>
      </c>
      <c r="C367" s="17" t="s">
        <v>5921</v>
      </c>
      <c r="D367" s="18">
        <v>31.07</v>
      </c>
      <c r="E367" s="18">
        <v>47.85</v>
      </c>
      <c r="F367" s="18">
        <v>12.0</v>
      </c>
    </row>
    <row r="368">
      <c r="A368" s="15">
        <v>92.0</v>
      </c>
      <c r="B368" s="16" t="s">
        <v>5919</v>
      </c>
      <c r="C368" s="17" t="s">
        <v>5922</v>
      </c>
      <c r="D368" s="18">
        <v>34.31</v>
      </c>
      <c r="E368" s="18">
        <v>48.03</v>
      </c>
      <c r="F368" s="18">
        <v>12.0</v>
      </c>
    </row>
    <row r="369">
      <c r="A369" s="15">
        <v>93.0</v>
      </c>
      <c r="B369" s="16" t="s">
        <v>5919</v>
      </c>
      <c r="C369" s="17" t="s">
        <v>5923</v>
      </c>
      <c r="D369" s="18">
        <v>34.31</v>
      </c>
      <c r="E369" s="18">
        <v>51.02</v>
      </c>
      <c r="F369" s="18">
        <v>12.0</v>
      </c>
    </row>
    <row r="370">
      <c r="A370" s="15">
        <v>94.0</v>
      </c>
      <c r="B370" s="16" t="s">
        <v>5924</v>
      </c>
      <c r="C370" s="17" t="s">
        <v>5536</v>
      </c>
      <c r="D370" s="18">
        <v>140.71</v>
      </c>
      <c r="E370" s="18">
        <v>237.93</v>
      </c>
      <c r="F370" s="18">
        <v>12.0</v>
      </c>
    </row>
    <row r="371">
      <c r="A371" s="15">
        <v>95.0</v>
      </c>
      <c r="B371" s="16" t="s">
        <v>5924</v>
      </c>
      <c r="C371" s="17" t="s">
        <v>5546</v>
      </c>
      <c r="D371" s="18">
        <v>254.93</v>
      </c>
      <c r="E371" s="18">
        <v>392.4</v>
      </c>
      <c r="F371" s="18">
        <v>12.0</v>
      </c>
    </row>
    <row r="372">
      <c r="A372" s="15">
        <v>96.0</v>
      </c>
      <c r="B372" s="16" t="s">
        <v>5925</v>
      </c>
      <c r="C372" s="17" t="s">
        <v>5536</v>
      </c>
      <c r="D372" s="18">
        <v>92.24</v>
      </c>
      <c r="E372" s="18">
        <v>129.13</v>
      </c>
      <c r="F372" s="18">
        <v>12.0</v>
      </c>
    </row>
    <row r="373">
      <c r="A373" s="15">
        <v>97.0</v>
      </c>
      <c r="B373" s="16" t="s">
        <v>5925</v>
      </c>
      <c r="C373" s="17" t="s">
        <v>5546</v>
      </c>
      <c r="D373" s="18">
        <v>165.84</v>
      </c>
      <c r="E373" s="18">
        <v>232.17</v>
      </c>
      <c r="F373" s="18">
        <v>12.0</v>
      </c>
    </row>
    <row r="374">
      <c r="A374" s="15">
        <v>98.0</v>
      </c>
      <c r="B374" s="16" t="s">
        <v>5926</v>
      </c>
      <c r="C374" s="17" t="s">
        <v>5927</v>
      </c>
      <c r="D374" s="18">
        <v>356.0</v>
      </c>
      <c r="E374" s="18">
        <v>498.4</v>
      </c>
      <c r="F374" s="18">
        <v>12.0</v>
      </c>
    </row>
    <row r="375">
      <c r="A375" s="15">
        <v>99.0</v>
      </c>
      <c r="B375" s="16" t="s">
        <v>5926</v>
      </c>
      <c r="C375" s="17" t="s">
        <v>5928</v>
      </c>
      <c r="D375" s="18">
        <v>167.86</v>
      </c>
      <c r="E375" s="18">
        <v>235.0</v>
      </c>
      <c r="F375" s="18">
        <v>12.0</v>
      </c>
    </row>
    <row r="376">
      <c r="A376" s="15">
        <v>100.0</v>
      </c>
      <c r="B376" s="16" t="s">
        <v>5929</v>
      </c>
      <c r="C376" s="17" t="s">
        <v>5930</v>
      </c>
      <c r="D376" s="18">
        <v>237.29</v>
      </c>
      <c r="E376" s="18">
        <v>350.0</v>
      </c>
      <c r="F376" s="18">
        <v>18.0</v>
      </c>
    </row>
    <row r="377">
      <c r="A377" s="15">
        <v>101.0</v>
      </c>
      <c r="B377" s="16" t="s">
        <v>5929</v>
      </c>
      <c r="C377" s="17" t="s">
        <v>5931</v>
      </c>
      <c r="D377" s="18">
        <v>193.22</v>
      </c>
      <c r="E377" s="18">
        <v>329.0</v>
      </c>
      <c r="F377" s="18">
        <v>18.0</v>
      </c>
    </row>
    <row r="378">
      <c r="A378" s="15">
        <v>102.0</v>
      </c>
      <c r="B378" s="16" t="s">
        <v>5929</v>
      </c>
      <c r="C378" s="17" t="s">
        <v>5932</v>
      </c>
      <c r="D378" s="18">
        <v>334.58</v>
      </c>
      <c r="E378" s="18">
        <v>493.5</v>
      </c>
      <c r="F378" s="18">
        <v>18.0</v>
      </c>
    </row>
    <row r="379">
      <c r="A379" s="15">
        <v>103.0</v>
      </c>
      <c r="B379" s="16" t="s">
        <v>5929</v>
      </c>
      <c r="C379" s="17" t="s">
        <v>5933</v>
      </c>
      <c r="D379" s="18">
        <v>281.36</v>
      </c>
      <c r="E379" s="18">
        <v>415.0</v>
      </c>
      <c r="F379" s="18">
        <v>18.0</v>
      </c>
    </row>
    <row r="380">
      <c r="A380" s="15">
        <v>104.0</v>
      </c>
      <c r="B380" s="16" t="s">
        <v>5934</v>
      </c>
      <c r="C380" s="17" t="s">
        <v>5828</v>
      </c>
      <c r="D380" s="18">
        <v>110.0</v>
      </c>
      <c r="E380" s="18">
        <v>154.0</v>
      </c>
      <c r="F380" s="18">
        <v>12.0</v>
      </c>
    </row>
    <row r="381">
      <c r="A381" s="15">
        <v>105.0</v>
      </c>
      <c r="B381" s="16" t="s">
        <v>5934</v>
      </c>
      <c r="C381" s="17" t="s">
        <v>5674</v>
      </c>
      <c r="D381" s="18">
        <v>103.43</v>
      </c>
      <c r="E381" s="18">
        <v>143.5</v>
      </c>
      <c r="F381" s="18">
        <v>12.0</v>
      </c>
    </row>
    <row r="382">
      <c r="A382" s="15">
        <v>106.0</v>
      </c>
      <c r="B382" s="16" t="s">
        <v>5935</v>
      </c>
      <c r="C382" s="17" t="s">
        <v>5936</v>
      </c>
      <c r="D382" s="18">
        <v>70.28</v>
      </c>
      <c r="E382" s="18">
        <v>97.5</v>
      </c>
      <c r="F382" s="18">
        <v>12.0</v>
      </c>
    </row>
    <row r="383">
      <c r="A383" s="15">
        <v>107.0</v>
      </c>
      <c r="B383" s="16" t="s">
        <v>5937</v>
      </c>
      <c r="C383" s="17" t="s">
        <v>5731</v>
      </c>
      <c r="D383" s="18">
        <v>175.29</v>
      </c>
      <c r="E383" s="18">
        <v>223.1</v>
      </c>
      <c r="F383" s="18">
        <v>12.0</v>
      </c>
    </row>
    <row r="384">
      <c r="A384" s="15">
        <v>108.0</v>
      </c>
      <c r="B384" s="16" t="s">
        <v>5938</v>
      </c>
      <c r="C384" s="17" t="s">
        <v>5939</v>
      </c>
      <c r="D384" s="18">
        <v>607.14</v>
      </c>
      <c r="E384" s="18">
        <v>850.0</v>
      </c>
      <c r="F384" s="18">
        <v>12.0</v>
      </c>
    </row>
    <row r="385">
      <c r="A385" s="15">
        <v>109.0</v>
      </c>
      <c r="B385" s="16" t="s">
        <v>5940</v>
      </c>
      <c r="C385" s="17" t="s">
        <v>5536</v>
      </c>
      <c r="D385" s="18">
        <v>51.57</v>
      </c>
      <c r="E385" s="18">
        <v>79.4</v>
      </c>
      <c r="F385" s="18">
        <v>12.0</v>
      </c>
    </row>
    <row r="386">
      <c r="A386" s="15">
        <v>110.0</v>
      </c>
      <c r="B386" s="16" t="s">
        <v>5941</v>
      </c>
      <c r="C386" s="17" t="s">
        <v>5536</v>
      </c>
      <c r="D386" s="18">
        <v>69.29</v>
      </c>
      <c r="E386" s="18">
        <v>97.0</v>
      </c>
      <c r="F386" s="18">
        <v>12.0</v>
      </c>
    </row>
    <row r="387">
      <c r="A387" s="15">
        <v>111.0</v>
      </c>
      <c r="B387" s="16" t="s">
        <v>5942</v>
      </c>
      <c r="C387" s="17" t="s">
        <v>5580</v>
      </c>
      <c r="D387" s="18">
        <v>71.18</v>
      </c>
      <c r="E387" s="18">
        <v>99.65</v>
      </c>
      <c r="F387" s="18">
        <v>12.0</v>
      </c>
    </row>
    <row r="388">
      <c r="A388" s="15">
        <v>112.0</v>
      </c>
      <c r="B388" s="16" t="s">
        <v>5943</v>
      </c>
      <c r="C388" s="17" t="s">
        <v>5944</v>
      </c>
      <c r="D388" s="18">
        <v>276.53</v>
      </c>
      <c r="E388" s="18">
        <v>387.14</v>
      </c>
      <c r="F388" s="18">
        <v>12.0</v>
      </c>
    </row>
    <row r="389">
      <c r="A389" s="15">
        <v>113.0</v>
      </c>
      <c r="B389" s="16" t="s">
        <v>5943</v>
      </c>
      <c r="C389" s="17" t="s">
        <v>5945</v>
      </c>
      <c r="D389" s="18">
        <v>690.64</v>
      </c>
      <c r="E389" s="18">
        <v>966.9</v>
      </c>
      <c r="F389" s="18">
        <v>12.0</v>
      </c>
    </row>
    <row r="390">
      <c r="A390" s="15">
        <v>114.0</v>
      </c>
      <c r="B390" s="16" t="s">
        <v>5943</v>
      </c>
      <c r="C390" s="17" t="s">
        <v>5946</v>
      </c>
      <c r="D390" s="18">
        <v>141.94</v>
      </c>
      <c r="E390" s="18">
        <v>198.71</v>
      </c>
      <c r="F390" s="18">
        <v>12.0</v>
      </c>
    </row>
    <row r="391">
      <c r="A391" s="15">
        <v>115.0</v>
      </c>
      <c r="B391" s="16" t="s">
        <v>5947</v>
      </c>
      <c r="C391" s="17" t="s">
        <v>5948</v>
      </c>
      <c r="D391" s="18">
        <v>83.22</v>
      </c>
      <c r="E391" s="18">
        <v>116.5</v>
      </c>
      <c r="F391" s="18">
        <v>12.0</v>
      </c>
    </row>
    <row r="392">
      <c r="A392" s="15">
        <v>116.0</v>
      </c>
      <c r="B392" s="16" t="s">
        <v>5949</v>
      </c>
      <c r="C392" s="16" t="s">
        <v>5950</v>
      </c>
      <c r="D392" s="18">
        <v>60.6</v>
      </c>
      <c r="E392" s="18">
        <v>93.31</v>
      </c>
      <c r="F392" s="18">
        <v>12.0</v>
      </c>
    </row>
    <row r="393">
      <c r="A393" s="15">
        <v>117.0</v>
      </c>
      <c r="B393" s="16" t="s">
        <v>5951</v>
      </c>
      <c r="C393" s="17" t="s">
        <v>5562</v>
      </c>
      <c r="D393" s="18">
        <v>129.66</v>
      </c>
      <c r="E393" s="18">
        <v>181.53</v>
      </c>
      <c r="F393" s="18">
        <v>12.0</v>
      </c>
    </row>
    <row r="394">
      <c r="A394" s="15">
        <v>118.0</v>
      </c>
      <c r="B394" s="16" t="s">
        <v>5952</v>
      </c>
      <c r="C394" s="17" t="s">
        <v>5562</v>
      </c>
      <c r="D394" s="18">
        <v>152.47</v>
      </c>
      <c r="E394" s="18">
        <v>224.13</v>
      </c>
      <c r="F394" s="18">
        <v>12.0</v>
      </c>
    </row>
    <row r="395">
      <c r="A395" s="15">
        <v>119.0</v>
      </c>
      <c r="B395" s="16" t="s">
        <v>5953</v>
      </c>
      <c r="C395" s="17" t="s">
        <v>5954</v>
      </c>
      <c r="D395" s="18">
        <v>147.8</v>
      </c>
      <c r="E395" s="18">
        <v>199.0</v>
      </c>
      <c r="F395" s="18">
        <v>18.0</v>
      </c>
    </row>
    <row r="396">
      <c r="A396" s="6"/>
      <c r="B396" s="7"/>
      <c r="C396" s="7"/>
      <c r="D396" s="7"/>
      <c r="E396" s="8"/>
      <c r="F396" s="16" t="s">
        <v>5955</v>
      </c>
    </row>
    <row r="397">
      <c r="A397" s="6"/>
      <c r="B397" s="7"/>
      <c r="C397" s="7"/>
      <c r="D397" s="7"/>
      <c r="E397" s="7"/>
      <c r="F397" s="8"/>
    </row>
    <row r="398">
      <c r="A398" s="6"/>
      <c r="B398" s="7"/>
      <c r="C398" s="7"/>
      <c r="D398" s="7"/>
      <c r="E398" s="7"/>
      <c r="F398" s="8"/>
    </row>
    <row r="399">
      <c r="A399" s="6"/>
      <c r="B399" s="7"/>
      <c r="C399" s="7"/>
      <c r="D399" s="7"/>
      <c r="E399" s="7"/>
      <c r="F399" s="8"/>
    </row>
    <row r="400">
      <c r="A400" s="6"/>
      <c r="B400" s="7"/>
      <c r="C400" s="7"/>
      <c r="D400" s="7"/>
      <c r="E400" s="7"/>
      <c r="F400" s="8"/>
    </row>
    <row r="401">
      <c r="A401" s="9" t="s">
        <v>5582</v>
      </c>
      <c r="B401" s="10"/>
      <c r="C401" s="10"/>
      <c r="D401" s="10"/>
      <c r="E401" s="10"/>
      <c r="F401" s="10"/>
    </row>
    <row r="402">
      <c r="A402" s="19" t="s">
        <v>5583</v>
      </c>
    </row>
    <row r="403">
      <c r="A403" s="6"/>
      <c r="B403" s="7"/>
      <c r="C403" s="7"/>
      <c r="D403" s="8"/>
      <c r="E403" s="12" t="s">
        <v>5584</v>
      </c>
      <c r="F403" s="12" t="s">
        <v>5956</v>
      </c>
    </row>
    <row r="404">
      <c r="A404" s="20" t="s">
        <v>5522</v>
      </c>
      <c r="B404" s="16" t="s">
        <v>5523</v>
      </c>
      <c r="C404" s="16" t="s">
        <v>5524</v>
      </c>
      <c r="D404" s="16" t="s">
        <v>5525</v>
      </c>
      <c r="E404" s="16" t="s">
        <v>5526</v>
      </c>
      <c r="F404" s="16" t="s">
        <v>5586</v>
      </c>
    </row>
    <row r="405">
      <c r="A405" s="15">
        <v>120.0</v>
      </c>
      <c r="B405" s="16" t="s">
        <v>5953</v>
      </c>
      <c r="C405" s="17" t="s">
        <v>5957</v>
      </c>
      <c r="D405" s="18">
        <v>143.05</v>
      </c>
      <c r="E405" s="18">
        <v>211.0</v>
      </c>
      <c r="F405" s="18">
        <v>18.0</v>
      </c>
    </row>
    <row r="406">
      <c r="A406" s="15">
        <v>121.0</v>
      </c>
      <c r="B406" s="16" t="s">
        <v>5953</v>
      </c>
      <c r="C406" s="17" t="s">
        <v>5958</v>
      </c>
      <c r="D406" s="18">
        <v>328.81</v>
      </c>
      <c r="E406" s="18">
        <v>485.0</v>
      </c>
      <c r="F406" s="18">
        <v>18.0</v>
      </c>
    </row>
    <row r="407">
      <c r="A407" s="15">
        <v>122.0</v>
      </c>
      <c r="B407" s="16" t="s">
        <v>5959</v>
      </c>
      <c r="C407" s="17" t="s">
        <v>5960</v>
      </c>
      <c r="D407" s="18">
        <v>68.14</v>
      </c>
      <c r="E407" s="18">
        <v>110.0</v>
      </c>
      <c r="F407" s="18">
        <v>28.0</v>
      </c>
    </row>
    <row r="408">
      <c r="A408" s="15">
        <v>123.0</v>
      </c>
      <c r="B408" s="16" t="s">
        <v>5961</v>
      </c>
      <c r="C408" s="17" t="s">
        <v>5536</v>
      </c>
      <c r="D408" s="18">
        <v>49.71</v>
      </c>
      <c r="E408" s="18">
        <v>76.49</v>
      </c>
      <c r="F408" s="18">
        <v>12.0</v>
      </c>
    </row>
    <row r="409">
      <c r="A409" s="15">
        <v>124.0</v>
      </c>
      <c r="B409" s="16" t="s">
        <v>5962</v>
      </c>
      <c r="C409" s="17" t="s">
        <v>5636</v>
      </c>
      <c r="D409" s="18">
        <v>83.36</v>
      </c>
      <c r="E409" s="18">
        <v>116.71</v>
      </c>
      <c r="F409" s="18">
        <v>12.0</v>
      </c>
    </row>
    <row r="410">
      <c r="A410" s="15">
        <v>125.0</v>
      </c>
      <c r="B410" s="16" t="s">
        <v>5963</v>
      </c>
      <c r="C410" s="17" t="s">
        <v>5636</v>
      </c>
      <c r="D410" s="18">
        <v>110.45</v>
      </c>
      <c r="E410" s="18">
        <v>154.63</v>
      </c>
      <c r="F410" s="18">
        <v>12.0</v>
      </c>
    </row>
    <row r="411">
      <c r="A411" s="15">
        <v>126.0</v>
      </c>
      <c r="B411" s="16" t="s">
        <v>5964</v>
      </c>
      <c r="C411" s="17" t="s">
        <v>5636</v>
      </c>
      <c r="D411" s="18">
        <v>100.5</v>
      </c>
      <c r="E411" s="18">
        <v>154.7</v>
      </c>
      <c r="F411" s="18">
        <v>12.0</v>
      </c>
    </row>
    <row r="412">
      <c r="A412" s="15">
        <v>127.0</v>
      </c>
      <c r="B412" s="16" t="s">
        <v>5965</v>
      </c>
      <c r="C412" s="17" t="s">
        <v>5966</v>
      </c>
      <c r="D412" s="18">
        <v>47.0</v>
      </c>
      <c r="E412" s="18">
        <v>65.8</v>
      </c>
      <c r="F412" s="18">
        <v>12.0</v>
      </c>
    </row>
    <row r="413">
      <c r="A413" s="15">
        <v>128.0</v>
      </c>
      <c r="B413" s="16" t="s">
        <v>5965</v>
      </c>
      <c r="C413" s="17" t="s">
        <v>5967</v>
      </c>
      <c r="D413" s="18">
        <v>93.49</v>
      </c>
      <c r="E413" s="18">
        <v>130.89</v>
      </c>
      <c r="F413" s="18">
        <v>12.0</v>
      </c>
    </row>
    <row r="414">
      <c r="A414" s="15">
        <v>129.0</v>
      </c>
      <c r="B414" s="16" t="s">
        <v>5965</v>
      </c>
      <c r="C414" s="17" t="s">
        <v>5968</v>
      </c>
      <c r="D414" s="18">
        <v>92.86</v>
      </c>
      <c r="E414" s="18">
        <v>130.0</v>
      </c>
      <c r="F414" s="18">
        <v>12.0</v>
      </c>
    </row>
    <row r="415">
      <c r="A415" s="15">
        <v>130.0</v>
      </c>
      <c r="B415" s="16" t="s">
        <v>5965</v>
      </c>
      <c r="C415" s="17" t="s">
        <v>5969</v>
      </c>
      <c r="D415" s="18">
        <v>114.29</v>
      </c>
      <c r="E415" s="18">
        <v>160.0</v>
      </c>
      <c r="F415" s="18">
        <v>12.0</v>
      </c>
    </row>
    <row r="416">
      <c r="A416" s="15">
        <v>131.0</v>
      </c>
      <c r="B416" s="16" t="s">
        <v>5970</v>
      </c>
      <c r="C416" s="17" t="s">
        <v>5971</v>
      </c>
      <c r="D416" s="18">
        <v>72.14</v>
      </c>
      <c r="E416" s="18">
        <v>101.0</v>
      </c>
      <c r="F416" s="18">
        <v>12.0</v>
      </c>
    </row>
    <row r="417">
      <c r="A417" s="15">
        <v>132.0</v>
      </c>
      <c r="B417" s="16" t="s">
        <v>5970</v>
      </c>
      <c r="C417" s="17" t="s">
        <v>5972</v>
      </c>
      <c r="D417" s="18">
        <v>120.71</v>
      </c>
      <c r="E417" s="18">
        <v>169.0</v>
      </c>
      <c r="F417" s="18">
        <v>12.0</v>
      </c>
    </row>
    <row r="418">
      <c r="A418" s="15">
        <v>133.0</v>
      </c>
      <c r="B418" s="16" t="s">
        <v>5973</v>
      </c>
      <c r="C418" s="17" t="s">
        <v>5565</v>
      </c>
      <c r="D418" s="18">
        <v>116.49</v>
      </c>
      <c r="E418" s="18">
        <v>163.09</v>
      </c>
      <c r="F418" s="18">
        <v>12.0</v>
      </c>
    </row>
    <row r="419">
      <c r="A419" s="15">
        <v>134.0</v>
      </c>
      <c r="B419" s="16" t="s">
        <v>5974</v>
      </c>
      <c r="C419" s="17" t="s">
        <v>5565</v>
      </c>
      <c r="D419" s="18">
        <v>161.29</v>
      </c>
      <c r="E419" s="18">
        <v>248.15</v>
      </c>
      <c r="F419" s="18">
        <v>12.0</v>
      </c>
    </row>
    <row r="420">
      <c r="A420" s="15">
        <v>135.0</v>
      </c>
      <c r="B420" s="16" t="s">
        <v>5975</v>
      </c>
      <c r="C420" s="17" t="s">
        <v>5536</v>
      </c>
      <c r="D420" s="18">
        <v>39.63</v>
      </c>
      <c r="E420" s="18">
        <v>55.0</v>
      </c>
      <c r="F420" s="18">
        <v>12.0</v>
      </c>
    </row>
    <row r="421">
      <c r="A421" s="15">
        <v>136.0</v>
      </c>
      <c r="B421" s="16" t="s">
        <v>5976</v>
      </c>
      <c r="C421" s="17" t="s">
        <v>5536</v>
      </c>
      <c r="D421" s="18">
        <v>64.76</v>
      </c>
      <c r="E421" s="18">
        <v>90.66</v>
      </c>
      <c r="F421" s="18">
        <v>12.0</v>
      </c>
    </row>
    <row r="422">
      <c r="A422" s="15">
        <v>137.0</v>
      </c>
      <c r="B422" s="16" t="s">
        <v>5977</v>
      </c>
      <c r="C422" s="17" t="s">
        <v>5536</v>
      </c>
      <c r="D422" s="18">
        <v>66.23</v>
      </c>
      <c r="E422" s="18">
        <v>101.98</v>
      </c>
      <c r="F422" s="18">
        <v>12.0</v>
      </c>
    </row>
    <row r="423">
      <c r="A423" s="15">
        <v>138.0</v>
      </c>
      <c r="B423" s="16" t="s">
        <v>5978</v>
      </c>
      <c r="C423" s="17" t="s">
        <v>5536</v>
      </c>
      <c r="D423" s="18">
        <v>100.37</v>
      </c>
      <c r="E423" s="18">
        <v>140.52</v>
      </c>
      <c r="F423" s="18">
        <v>12.0</v>
      </c>
    </row>
    <row r="424">
      <c r="A424" s="15">
        <v>139.0</v>
      </c>
      <c r="B424" s="16" t="s">
        <v>5979</v>
      </c>
      <c r="C424" s="17" t="s">
        <v>5536</v>
      </c>
      <c r="D424" s="18">
        <v>81.96</v>
      </c>
      <c r="E424" s="18">
        <v>114.74</v>
      </c>
      <c r="F424" s="18">
        <v>12.0</v>
      </c>
    </row>
    <row r="425">
      <c r="A425" s="15">
        <v>140.0</v>
      </c>
      <c r="B425" s="16" t="s">
        <v>5980</v>
      </c>
      <c r="C425" s="17" t="s">
        <v>5536</v>
      </c>
      <c r="D425" s="18">
        <v>100.32</v>
      </c>
      <c r="E425" s="18">
        <v>154.48</v>
      </c>
      <c r="F425" s="18">
        <v>12.0</v>
      </c>
    </row>
    <row r="426">
      <c r="A426" s="15">
        <v>141.0</v>
      </c>
      <c r="B426" s="16" t="s">
        <v>5981</v>
      </c>
      <c r="C426" s="17" t="s">
        <v>5982</v>
      </c>
      <c r="D426" s="18">
        <v>107.79</v>
      </c>
      <c r="E426" s="18">
        <v>150.9</v>
      </c>
      <c r="F426" s="18">
        <v>12.0</v>
      </c>
    </row>
    <row r="427">
      <c r="A427" s="15">
        <v>142.0</v>
      </c>
      <c r="B427" s="16" t="s">
        <v>5981</v>
      </c>
      <c r="C427" s="17" t="s">
        <v>5983</v>
      </c>
      <c r="D427" s="18">
        <v>119.21</v>
      </c>
      <c r="E427" s="18">
        <v>166.9</v>
      </c>
      <c r="F427" s="18">
        <v>12.0</v>
      </c>
    </row>
    <row r="428">
      <c r="A428" s="15">
        <v>143.0</v>
      </c>
      <c r="B428" s="16" t="s">
        <v>5984</v>
      </c>
      <c r="C428" s="17" t="s">
        <v>5985</v>
      </c>
      <c r="D428" s="18">
        <v>559.32</v>
      </c>
      <c r="E428" s="18">
        <v>825.0</v>
      </c>
      <c r="F428" s="18">
        <v>18.0</v>
      </c>
    </row>
    <row r="429">
      <c r="A429" s="15">
        <v>144.0</v>
      </c>
      <c r="B429" s="16" t="s">
        <v>5986</v>
      </c>
      <c r="C429" s="17" t="s">
        <v>5636</v>
      </c>
      <c r="D429" s="18">
        <v>132.57</v>
      </c>
      <c r="E429" s="18">
        <v>185.6</v>
      </c>
      <c r="F429" s="18">
        <v>12.0</v>
      </c>
    </row>
    <row r="430">
      <c r="A430" s="15">
        <v>145.0</v>
      </c>
      <c r="B430" s="16" t="s">
        <v>5987</v>
      </c>
      <c r="C430" s="17" t="s">
        <v>5636</v>
      </c>
      <c r="D430" s="18">
        <v>219.57</v>
      </c>
      <c r="E430" s="18">
        <v>337.83</v>
      </c>
      <c r="F430" s="18">
        <v>12.0</v>
      </c>
    </row>
    <row r="431">
      <c r="A431" s="15">
        <v>146.0</v>
      </c>
      <c r="B431" s="16" t="s">
        <v>5988</v>
      </c>
      <c r="C431" s="17" t="s">
        <v>5636</v>
      </c>
      <c r="D431" s="18">
        <v>68.76</v>
      </c>
      <c r="E431" s="18">
        <v>96.27</v>
      </c>
      <c r="F431" s="18">
        <v>12.0</v>
      </c>
    </row>
    <row r="432">
      <c r="A432" s="15">
        <v>147.0</v>
      </c>
      <c r="B432" s="16" t="s">
        <v>5989</v>
      </c>
      <c r="C432" s="17" t="s">
        <v>5614</v>
      </c>
      <c r="D432" s="18">
        <v>42.86</v>
      </c>
      <c r="E432" s="18">
        <v>60.0</v>
      </c>
      <c r="F432" s="18">
        <v>12.0</v>
      </c>
    </row>
    <row r="433">
      <c r="A433" s="15">
        <v>148.0</v>
      </c>
      <c r="B433" s="16" t="s">
        <v>5990</v>
      </c>
      <c r="C433" s="17" t="s">
        <v>5614</v>
      </c>
      <c r="D433" s="18">
        <v>42.86</v>
      </c>
      <c r="E433" s="18">
        <v>60.0</v>
      </c>
      <c r="F433" s="18">
        <v>12.0</v>
      </c>
    </row>
    <row r="434">
      <c r="A434" s="15">
        <v>149.0</v>
      </c>
      <c r="B434" s="16" t="s">
        <v>5991</v>
      </c>
      <c r="C434" s="17" t="s">
        <v>5992</v>
      </c>
      <c r="D434" s="18">
        <v>13.28</v>
      </c>
      <c r="E434" s="18">
        <v>20.38</v>
      </c>
      <c r="F434" s="18">
        <v>12.0</v>
      </c>
    </row>
    <row r="435">
      <c r="A435" s="15">
        <v>150.0</v>
      </c>
      <c r="B435" s="16" t="s">
        <v>5991</v>
      </c>
      <c r="C435" s="17" t="s">
        <v>5993</v>
      </c>
      <c r="D435" s="18">
        <v>36.41</v>
      </c>
      <c r="E435" s="18">
        <v>51.94</v>
      </c>
      <c r="F435" s="18">
        <v>12.0</v>
      </c>
    </row>
    <row r="436">
      <c r="A436" s="15">
        <v>151.0</v>
      </c>
      <c r="B436" s="16" t="s">
        <v>5994</v>
      </c>
      <c r="C436" s="17" t="s">
        <v>5536</v>
      </c>
      <c r="D436" s="18">
        <v>67.86</v>
      </c>
      <c r="E436" s="18">
        <v>95.0</v>
      </c>
      <c r="F436" s="18">
        <v>12.0</v>
      </c>
    </row>
    <row r="437">
      <c r="A437" s="15">
        <v>152.0</v>
      </c>
      <c r="B437" s="16" t="s">
        <v>5994</v>
      </c>
      <c r="C437" s="17" t="s">
        <v>5546</v>
      </c>
      <c r="D437" s="18">
        <v>123.0</v>
      </c>
      <c r="E437" s="18">
        <v>180.81</v>
      </c>
      <c r="F437" s="18">
        <v>12.0</v>
      </c>
    </row>
    <row r="438">
      <c r="A438" s="15">
        <v>153.0</v>
      </c>
      <c r="B438" s="16" t="s">
        <v>5995</v>
      </c>
      <c r="C438" s="17" t="s">
        <v>5996</v>
      </c>
      <c r="D438" s="18">
        <v>216.95</v>
      </c>
      <c r="E438" s="18">
        <v>320.0</v>
      </c>
      <c r="F438" s="18">
        <v>18.0</v>
      </c>
    </row>
    <row r="439">
      <c r="A439" s="15">
        <v>154.0</v>
      </c>
      <c r="B439" s="16" t="s">
        <v>5995</v>
      </c>
      <c r="C439" s="17" t="s">
        <v>5997</v>
      </c>
      <c r="D439" s="18">
        <v>115.26</v>
      </c>
      <c r="E439" s="18">
        <v>170.0</v>
      </c>
      <c r="F439" s="18">
        <v>18.0</v>
      </c>
    </row>
    <row r="440">
      <c r="A440" s="15">
        <v>155.0</v>
      </c>
      <c r="B440" s="16" t="s">
        <v>5995</v>
      </c>
      <c r="C440" s="17" t="s">
        <v>5998</v>
      </c>
      <c r="D440" s="18">
        <v>194.64</v>
      </c>
      <c r="E440" s="18">
        <v>272.5</v>
      </c>
      <c r="F440" s="18">
        <v>12.0</v>
      </c>
    </row>
    <row r="441">
      <c r="A441" s="15">
        <v>156.0</v>
      </c>
      <c r="B441" s="16" t="s">
        <v>5995</v>
      </c>
      <c r="C441" s="17" t="s">
        <v>5999</v>
      </c>
      <c r="D441" s="18">
        <v>125.0</v>
      </c>
      <c r="E441" s="18">
        <v>175.0</v>
      </c>
      <c r="F441" s="18">
        <v>12.0</v>
      </c>
    </row>
    <row r="442">
      <c r="A442" s="15">
        <v>157.0</v>
      </c>
      <c r="B442" s="16" t="s">
        <v>6000</v>
      </c>
      <c r="C442" s="17" t="s">
        <v>6001</v>
      </c>
      <c r="D442" s="18">
        <v>237.29</v>
      </c>
      <c r="E442" s="18">
        <v>350.0</v>
      </c>
      <c r="F442" s="18">
        <v>18.0</v>
      </c>
    </row>
    <row r="443">
      <c r="A443" s="15">
        <v>158.0</v>
      </c>
      <c r="B443" s="16" t="s">
        <v>6000</v>
      </c>
      <c r="C443" s="17" t="s">
        <v>6002</v>
      </c>
      <c r="D443" s="18">
        <v>125.42</v>
      </c>
      <c r="E443" s="18">
        <v>185.0</v>
      </c>
      <c r="F443" s="18">
        <v>18.0</v>
      </c>
    </row>
    <row r="444">
      <c r="A444" s="15">
        <v>159.0</v>
      </c>
      <c r="B444" s="16" t="s">
        <v>6003</v>
      </c>
      <c r="C444" s="17" t="s">
        <v>6001</v>
      </c>
      <c r="D444" s="18">
        <v>230.51</v>
      </c>
      <c r="E444" s="18">
        <v>340.0</v>
      </c>
      <c r="F444" s="18">
        <v>18.0</v>
      </c>
    </row>
    <row r="445">
      <c r="A445" s="15">
        <v>160.0</v>
      </c>
      <c r="B445" s="16" t="s">
        <v>6003</v>
      </c>
      <c r="C445" s="17" t="s">
        <v>6002</v>
      </c>
      <c r="D445" s="18">
        <v>122.03</v>
      </c>
      <c r="E445" s="18">
        <v>180.0</v>
      </c>
      <c r="F445" s="18">
        <v>18.0</v>
      </c>
    </row>
    <row r="446">
      <c r="A446" s="15">
        <v>161.0</v>
      </c>
      <c r="B446" s="16" t="s">
        <v>6004</v>
      </c>
      <c r="C446" s="16" t="s">
        <v>1124</v>
      </c>
      <c r="D446" s="18">
        <v>53.57</v>
      </c>
      <c r="E446" s="18">
        <v>75.0</v>
      </c>
      <c r="F446" s="18">
        <v>12.0</v>
      </c>
    </row>
    <row r="447">
      <c r="A447" s="15">
        <v>162.0</v>
      </c>
      <c r="B447" s="16" t="s">
        <v>6004</v>
      </c>
      <c r="C447" s="16" t="s">
        <v>2274</v>
      </c>
      <c r="D447" s="18">
        <v>103.57</v>
      </c>
      <c r="E447" s="18">
        <v>145.0</v>
      </c>
      <c r="F447" s="18">
        <v>12.0</v>
      </c>
    </row>
    <row r="448">
      <c r="A448" s="15">
        <v>163.0</v>
      </c>
      <c r="B448" s="16" t="s">
        <v>6005</v>
      </c>
      <c r="C448" s="17" t="s">
        <v>5536</v>
      </c>
      <c r="D448" s="18">
        <v>69.91</v>
      </c>
      <c r="E448" s="18">
        <v>97.0</v>
      </c>
      <c r="F448" s="18">
        <v>12.0</v>
      </c>
    </row>
    <row r="449">
      <c r="A449" s="15">
        <v>164.0</v>
      </c>
      <c r="B449" s="16" t="s">
        <v>5628</v>
      </c>
      <c r="C449" s="17" t="s">
        <v>6006</v>
      </c>
      <c r="D449" s="18">
        <v>26.8</v>
      </c>
      <c r="E449" s="18">
        <v>40.88</v>
      </c>
      <c r="F449" s="18">
        <v>12.0</v>
      </c>
    </row>
    <row r="450">
      <c r="A450" s="15">
        <v>165.0</v>
      </c>
      <c r="B450" s="16" t="s">
        <v>5628</v>
      </c>
      <c r="C450" s="17" t="s">
        <v>6007</v>
      </c>
      <c r="D450" s="18">
        <v>28.4</v>
      </c>
      <c r="E450" s="18">
        <v>42.0</v>
      </c>
      <c r="F450" s="18">
        <v>12.0</v>
      </c>
    </row>
    <row r="451">
      <c r="A451" s="15">
        <v>166.0</v>
      </c>
      <c r="B451" s="16" t="s">
        <v>6008</v>
      </c>
      <c r="C451" s="17" t="s">
        <v>5546</v>
      </c>
      <c r="D451" s="18">
        <v>61.12</v>
      </c>
      <c r="E451" s="18">
        <v>85.57</v>
      </c>
      <c r="F451" s="18">
        <v>12.0</v>
      </c>
    </row>
    <row r="452">
      <c r="A452" s="15">
        <v>167.0</v>
      </c>
      <c r="B452" s="16" t="s">
        <v>6009</v>
      </c>
      <c r="C452" s="17" t="s">
        <v>5546</v>
      </c>
      <c r="D452" s="18">
        <v>108.59</v>
      </c>
      <c r="E452" s="18">
        <v>149.14</v>
      </c>
      <c r="F452" s="18">
        <v>12.0</v>
      </c>
    </row>
    <row r="453">
      <c r="A453" s="15">
        <v>168.0</v>
      </c>
      <c r="B453" s="16" t="s">
        <v>6010</v>
      </c>
      <c r="C453" s="17" t="s">
        <v>5536</v>
      </c>
      <c r="D453" s="18">
        <v>135.53</v>
      </c>
      <c r="E453" s="18">
        <v>188.05</v>
      </c>
      <c r="F453" s="18">
        <v>12.0</v>
      </c>
    </row>
    <row r="454">
      <c r="A454" s="15">
        <v>169.0</v>
      </c>
      <c r="B454" s="16" t="s">
        <v>6011</v>
      </c>
      <c r="C454" s="17" t="s">
        <v>5966</v>
      </c>
      <c r="D454" s="18">
        <v>21.86</v>
      </c>
      <c r="E454" s="18">
        <v>30.6</v>
      </c>
      <c r="F454" s="18">
        <v>12.0</v>
      </c>
    </row>
    <row r="455">
      <c r="A455" s="15">
        <v>170.0</v>
      </c>
      <c r="B455" s="16" t="s">
        <v>6011</v>
      </c>
      <c r="C455" s="17" t="s">
        <v>6012</v>
      </c>
      <c r="D455" s="18">
        <v>39.24</v>
      </c>
      <c r="E455" s="18">
        <v>54.94</v>
      </c>
      <c r="F455" s="18">
        <v>12.0</v>
      </c>
    </row>
    <row r="456">
      <c r="A456" s="15">
        <v>171.0</v>
      </c>
      <c r="B456" s="16" t="s">
        <v>6013</v>
      </c>
      <c r="C456" s="17" t="s">
        <v>5603</v>
      </c>
      <c r="D456" s="18">
        <v>88.93</v>
      </c>
      <c r="E456" s="18">
        <v>124.5</v>
      </c>
      <c r="F456" s="18">
        <v>12.0</v>
      </c>
    </row>
    <row r="457">
      <c r="A457" s="15">
        <v>172.0</v>
      </c>
      <c r="B457" s="16" t="s">
        <v>6014</v>
      </c>
      <c r="C457" s="17" t="s">
        <v>5636</v>
      </c>
      <c r="D457" s="18">
        <v>88.39</v>
      </c>
      <c r="E457" s="18">
        <v>123.75</v>
      </c>
      <c r="F457" s="18">
        <v>12.0</v>
      </c>
    </row>
    <row r="458">
      <c r="A458" s="15">
        <v>173.0</v>
      </c>
      <c r="B458" s="16" t="s">
        <v>6014</v>
      </c>
      <c r="C458" s="17" t="s">
        <v>5603</v>
      </c>
      <c r="D458" s="18">
        <v>132.59</v>
      </c>
      <c r="E458" s="18">
        <v>204.15</v>
      </c>
      <c r="F458" s="18">
        <v>12.0</v>
      </c>
    </row>
    <row r="459">
      <c r="A459" s="15">
        <v>174.0</v>
      </c>
      <c r="B459" s="16" t="s">
        <v>6015</v>
      </c>
      <c r="C459" s="17" t="s">
        <v>5636</v>
      </c>
      <c r="D459" s="18">
        <v>60.0</v>
      </c>
      <c r="E459" s="18">
        <v>84.0</v>
      </c>
      <c r="F459" s="18">
        <v>12.0</v>
      </c>
    </row>
    <row r="460">
      <c r="A460" s="15">
        <v>175.0</v>
      </c>
      <c r="B460" s="16" t="s">
        <v>6016</v>
      </c>
      <c r="C460" s="17" t="s">
        <v>5636</v>
      </c>
      <c r="D460" s="18">
        <v>90.14</v>
      </c>
      <c r="E460" s="18">
        <v>126.2</v>
      </c>
      <c r="F460" s="18">
        <v>12.0</v>
      </c>
    </row>
    <row r="461">
      <c r="A461" s="15">
        <v>176.0</v>
      </c>
      <c r="B461" s="16" t="s">
        <v>6017</v>
      </c>
      <c r="C461" s="17" t="s">
        <v>5636</v>
      </c>
      <c r="D461" s="18">
        <v>63.82</v>
      </c>
      <c r="E461" s="18">
        <v>89.35</v>
      </c>
      <c r="F461" s="18">
        <v>12.0</v>
      </c>
    </row>
    <row r="462">
      <c r="A462" s="15">
        <v>177.0</v>
      </c>
      <c r="B462" s="16" t="s">
        <v>6018</v>
      </c>
      <c r="C462" s="17" t="s">
        <v>5818</v>
      </c>
      <c r="D462" s="18">
        <v>85.07</v>
      </c>
      <c r="E462" s="18">
        <v>119.1</v>
      </c>
      <c r="F462" s="18">
        <v>12.0</v>
      </c>
    </row>
    <row r="463">
      <c r="A463" s="15">
        <v>178.0</v>
      </c>
      <c r="B463" s="16" t="s">
        <v>6018</v>
      </c>
      <c r="C463" s="17" t="s">
        <v>6019</v>
      </c>
      <c r="D463" s="18">
        <v>24.45</v>
      </c>
      <c r="E463" s="18">
        <v>32.45</v>
      </c>
      <c r="F463" s="18">
        <v>12.0</v>
      </c>
    </row>
    <row r="464">
      <c r="A464" s="15">
        <v>179.0</v>
      </c>
      <c r="B464" s="16" t="s">
        <v>6018</v>
      </c>
      <c r="C464" s="17" t="s">
        <v>6020</v>
      </c>
      <c r="D464" s="18">
        <v>54.95</v>
      </c>
      <c r="E464" s="18">
        <v>78.37</v>
      </c>
      <c r="F464" s="18">
        <v>12.0</v>
      </c>
    </row>
    <row r="465">
      <c r="A465" s="15">
        <v>180.0</v>
      </c>
      <c r="B465" s="16" t="s">
        <v>6021</v>
      </c>
      <c r="C465" s="17" t="s">
        <v>5562</v>
      </c>
      <c r="D465" s="18">
        <v>144.96</v>
      </c>
      <c r="E465" s="18">
        <v>202.95</v>
      </c>
      <c r="F465" s="18">
        <v>12.0</v>
      </c>
    </row>
    <row r="466">
      <c r="A466" s="6"/>
      <c r="B466" s="7"/>
      <c r="C466" s="7"/>
      <c r="D466" s="7"/>
      <c r="E466" s="8"/>
      <c r="F466" s="16" t="s">
        <v>6022</v>
      </c>
    </row>
    <row r="467">
      <c r="A467" s="6"/>
      <c r="B467" s="7"/>
      <c r="C467" s="7"/>
      <c r="D467" s="7"/>
      <c r="E467" s="7"/>
      <c r="F467" s="8"/>
    </row>
    <row r="468">
      <c r="A468" s="6"/>
      <c r="B468" s="7"/>
      <c r="C468" s="7"/>
      <c r="D468" s="7"/>
      <c r="E468" s="7"/>
      <c r="F468" s="8"/>
    </row>
    <row r="469">
      <c r="A469" s="6"/>
      <c r="B469" s="7"/>
      <c r="C469" s="7"/>
      <c r="D469" s="7"/>
      <c r="E469" s="7"/>
      <c r="F469" s="8"/>
    </row>
    <row r="470">
      <c r="A470" s="6"/>
      <c r="B470" s="7"/>
      <c r="C470" s="7"/>
      <c r="D470" s="7"/>
      <c r="E470" s="7"/>
      <c r="F470" s="8"/>
    </row>
    <row r="471">
      <c r="A471" s="9" t="s">
        <v>5582</v>
      </c>
      <c r="B471" s="10"/>
      <c r="C471" s="10"/>
      <c r="D471" s="10"/>
      <c r="E471" s="10"/>
      <c r="F471" s="10"/>
    </row>
    <row r="472">
      <c r="A472" s="19" t="s">
        <v>5583</v>
      </c>
    </row>
    <row r="473">
      <c r="A473" s="6"/>
      <c r="B473" s="7"/>
      <c r="C473" s="7"/>
      <c r="D473" s="8"/>
      <c r="E473" s="12" t="s">
        <v>5584</v>
      </c>
      <c r="F473" s="12" t="s">
        <v>6023</v>
      </c>
    </row>
    <row r="474">
      <c r="A474" s="20" t="s">
        <v>5522</v>
      </c>
      <c r="B474" s="16" t="s">
        <v>5523</v>
      </c>
      <c r="C474" s="16" t="s">
        <v>5524</v>
      </c>
      <c r="D474" s="16" t="s">
        <v>5525</v>
      </c>
      <c r="E474" s="16" t="s">
        <v>5526</v>
      </c>
      <c r="F474" s="16" t="s">
        <v>5586</v>
      </c>
    </row>
    <row r="475">
      <c r="A475" s="15">
        <v>181.0</v>
      </c>
      <c r="B475" s="16" t="s">
        <v>6024</v>
      </c>
      <c r="C475" s="17" t="s">
        <v>5536</v>
      </c>
      <c r="D475" s="18">
        <v>60.8</v>
      </c>
      <c r="E475" s="18">
        <v>88.75</v>
      </c>
      <c r="F475" s="18">
        <v>12.0</v>
      </c>
    </row>
    <row r="476">
      <c r="A476" s="15">
        <v>182.0</v>
      </c>
      <c r="B476" s="16" t="s">
        <v>6024</v>
      </c>
      <c r="C476" s="17" t="s">
        <v>5546</v>
      </c>
      <c r="D476" s="18">
        <v>95.09</v>
      </c>
      <c r="E476" s="18">
        <v>133.13</v>
      </c>
      <c r="F476" s="18">
        <v>12.0</v>
      </c>
    </row>
    <row r="477">
      <c r="A477" s="15">
        <v>183.0</v>
      </c>
      <c r="B477" s="16" t="s">
        <v>6025</v>
      </c>
      <c r="C477" s="17" t="s">
        <v>5536</v>
      </c>
      <c r="D477" s="18">
        <v>96.2</v>
      </c>
      <c r="E477" s="18">
        <v>133.5</v>
      </c>
      <c r="F477" s="18">
        <v>12.0</v>
      </c>
    </row>
    <row r="478">
      <c r="A478" s="15">
        <v>184.0</v>
      </c>
      <c r="B478" s="16" t="s">
        <v>6026</v>
      </c>
      <c r="C478" s="17" t="s">
        <v>5536</v>
      </c>
      <c r="D478" s="18">
        <v>31.43</v>
      </c>
      <c r="E478" s="18">
        <v>45.87</v>
      </c>
      <c r="F478" s="18">
        <v>12.0</v>
      </c>
    </row>
    <row r="479">
      <c r="A479" s="15">
        <v>185.0</v>
      </c>
      <c r="B479" s="16" t="s">
        <v>6027</v>
      </c>
      <c r="C479" s="17" t="s">
        <v>5636</v>
      </c>
      <c r="D479" s="18">
        <v>70.36</v>
      </c>
      <c r="E479" s="18">
        <v>98.5</v>
      </c>
      <c r="F479" s="18">
        <v>12.0</v>
      </c>
    </row>
    <row r="480">
      <c r="A480" s="15">
        <v>186.0</v>
      </c>
      <c r="B480" s="16" t="s">
        <v>6027</v>
      </c>
      <c r="C480" s="17" t="s">
        <v>5603</v>
      </c>
      <c r="D480" s="18">
        <v>163.18</v>
      </c>
      <c r="E480" s="18">
        <v>195.66</v>
      </c>
      <c r="F480" s="18">
        <v>12.0</v>
      </c>
    </row>
    <row r="481">
      <c r="A481" s="15">
        <v>187.0</v>
      </c>
      <c r="B481" s="16" t="s">
        <v>6028</v>
      </c>
      <c r="C481" s="17" t="s">
        <v>6029</v>
      </c>
      <c r="D481" s="18">
        <v>30.64</v>
      </c>
      <c r="E481" s="18">
        <v>42.9</v>
      </c>
      <c r="F481" s="18">
        <v>12.0</v>
      </c>
    </row>
    <row r="482">
      <c r="A482" s="15">
        <v>188.0</v>
      </c>
      <c r="B482" s="16" t="s">
        <v>6028</v>
      </c>
      <c r="C482" s="17" t="s">
        <v>6030</v>
      </c>
      <c r="D482" s="18">
        <v>103.57</v>
      </c>
      <c r="E482" s="18">
        <v>145.0</v>
      </c>
      <c r="F482" s="18">
        <v>12.0</v>
      </c>
    </row>
    <row r="483">
      <c r="A483" s="15">
        <v>189.0</v>
      </c>
      <c r="B483" s="16" t="s">
        <v>6028</v>
      </c>
      <c r="C483" s="17" t="s">
        <v>6031</v>
      </c>
      <c r="D483" s="18">
        <v>163.18</v>
      </c>
      <c r="E483" s="18">
        <v>228.45</v>
      </c>
      <c r="F483" s="18">
        <v>12.0</v>
      </c>
    </row>
    <row r="484">
      <c r="A484" s="15">
        <v>190.0</v>
      </c>
      <c r="B484" s="16" t="s">
        <v>6032</v>
      </c>
      <c r="C484" s="17" t="s">
        <v>5536</v>
      </c>
      <c r="D484" s="18">
        <v>27.32</v>
      </c>
      <c r="E484" s="18">
        <v>38.25</v>
      </c>
      <c r="F484" s="18">
        <v>12.0</v>
      </c>
    </row>
    <row r="485">
      <c r="A485" s="15">
        <v>191.0</v>
      </c>
      <c r="B485" s="16" t="s">
        <v>6032</v>
      </c>
      <c r="C485" s="17" t="s">
        <v>5546</v>
      </c>
      <c r="D485" s="18">
        <v>42.74</v>
      </c>
      <c r="E485" s="18">
        <v>59.83</v>
      </c>
      <c r="F485" s="18">
        <v>12.0</v>
      </c>
    </row>
    <row r="486">
      <c r="A486" s="15">
        <v>192.0</v>
      </c>
      <c r="B486" s="16" t="s">
        <v>6033</v>
      </c>
      <c r="C486" s="17" t="s">
        <v>5536</v>
      </c>
      <c r="D486" s="18">
        <v>74.21</v>
      </c>
      <c r="E486" s="18">
        <v>103.89</v>
      </c>
      <c r="F486" s="18">
        <v>12.0</v>
      </c>
    </row>
    <row r="487">
      <c r="A487" s="15">
        <v>193.0</v>
      </c>
      <c r="B487" s="16" t="s">
        <v>6033</v>
      </c>
      <c r="C487" s="17" t="s">
        <v>5546</v>
      </c>
      <c r="D487" s="18">
        <v>77.37</v>
      </c>
      <c r="E487" s="18">
        <v>108.32</v>
      </c>
      <c r="F487" s="18">
        <v>12.0</v>
      </c>
    </row>
    <row r="488">
      <c r="A488" s="15">
        <v>194.0</v>
      </c>
      <c r="B488" s="16" t="s">
        <v>6034</v>
      </c>
      <c r="C488" s="17" t="s">
        <v>5536</v>
      </c>
      <c r="D488" s="18">
        <v>75.41</v>
      </c>
      <c r="E488" s="18">
        <v>110.07</v>
      </c>
      <c r="F488" s="18">
        <v>12.0</v>
      </c>
    </row>
    <row r="489">
      <c r="A489" s="15">
        <v>195.0</v>
      </c>
      <c r="B489" s="16" t="s">
        <v>6035</v>
      </c>
      <c r="C489" s="17" t="s">
        <v>5831</v>
      </c>
      <c r="D489" s="18">
        <v>158.07</v>
      </c>
      <c r="E489" s="18">
        <v>221.3</v>
      </c>
      <c r="F489" s="18">
        <v>12.0</v>
      </c>
    </row>
    <row r="490">
      <c r="A490" s="15">
        <v>196.0</v>
      </c>
      <c r="B490" s="16" t="s">
        <v>6036</v>
      </c>
      <c r="C490" s="17" t="s">
        <v>5636</v>
      </c>
      <c r="D490" s="18">
        <v>78.2</v>
      </c>
      <c r="E490" s="18">
        <v>108.5</v>
      </c>
      <c r="F490" s="18">
        <v>12.0</v>
      </c>
    </row>
    <row r="491">
      <c r="A491" s="15">
        <v>197.0</v>
      </c>
      <c r="B491" s="16" t="s">
        <v>6035</v>
      </c>
      <c r="C491" s="17" t="s">
        <v>5636</v>
      </c>
      <c r="D491" s="18">
        <v>103.93</v>
      </c>
      <c r="E491" s="18">
        <v>145.5</v>
      </c>
      <c r="F491" s="18">
        <v>12.0</v>
      </c>
    </row>
    <row r="492">
      <c r="A492" s="15">
        <v>198.0</v>
      </c>
      <c r="B492" s="16" t="s">
        <v>6035</v>
      </c>
      <c r="C492" s="17" t="s">
        <v>5603</v>
      </c>
      <c r="D492" s="18">
        <v>155.89</v>
      </c>
      <c r="E492" s="18">
        <v>218.25</v>
      </c>
      <c r="F492" s="18">
        <v>12.0</v>
      </c>
    </row>
    <row r="493">
      <c r="A493" s="15">
        <v>199.0</v>
      </c>
      <c r="B493" s="16" t="s">
        <v>6037</v>
      </c>
      <c r="C493" s="17" t="s">
        <v>6038</v>
      </c>
      <c r="D493" s="18">
        <v>37.71</v>
      </c>
      <c r="E493" s="18">
        <v>52.8</v>
      </c>
      <c r="F493" s="18">
        <v>12.0</v>
      </c>
    </row>
    <row r="494">
      <c r="A494" s="15">
        <v>200.0</v>
      </c>
      <c r="B494" s="16" t="s">
        <v>6037</v>
      </c>
      <c r="C494" s="17" t="s">
        <v>6039</v>
      </c>
      <c r="D494" s="18">
        <v>75.21</v>
      </c>
      <c r="E494" s="18">
        <v>105.29</v>
      </c>
      <c r="F494" s="18">
        <v>12.0</v>
      </c>
    </row>
    <row r="495">
      <c r="A495" s="15">
        <v>201.0</v>
      </c>
      <c r="B495" s="16" t="s">
        <v>6037</v>
      </c>
      <c r="C495" s="17" t="s">
        <v>6040</v>
      </c>
      <c r="D495" s="18">
        <v>25.71</v>
      </c>
      <c r="E495" s="18">
        <v>43.41</v>
      </c>
      <c r="F495" s="18">
        <v>12.0</v>
      </c>
    </row>
    <row r="496">
      <c r="A496" s="15">
        <v>202.0</v>
      </c>
      <c r="B496" s="16" t="s">
        <v>6037</v>
      </c>
      <c r="C496" s="17" t="s">
        <v>6041</v>
      </c>
      <c r="D496" s="18">
        <v>46.51</v>
      </c>
      <c r="E496" s="18">
        <v>65.11</v>
      </c>
      <c r="F496" s="18">
        <v>12.0</v>
      </c>
    </row>
    <row r="497">
      <c r="A497" s="15">
        <v>203.0</v>
      </c>
      <c r="B497" s="16" t="s">
        <v>6037</v>
      </c>
      <c r="C497" s="17" t="s">
        <v>5831</v>
      </c>
      <c r="D497" s="18">
        <v>63.46</v>
      </c>
      <c r="E497" s="18">
        <v>88.85</v>
      </c>
      <c r="F497" s="18">
        <v>12.0</v>
      </c>
    </row>
    <row r="498">
      <c r="A498" s="15">
        <v>204.0</v>
      </c>
      <c r="B498" s="16" t="s">
        <v>6042</v>
      </c>
      <c r="C498" s="17" t="s">
        <v>5830</v>
      </c>
      <c r="D498" s="18">
        <v>164.14</v>
      </c>
      <c r="E498" s="18">
        <v>229.8</v>
      </c>
      <c r="F498" s="18">
        <v>12.0</v>
      </c>
    </row>
    <row r="499">
      <c r="A499" s="15">
        <v>205.0</v>
      </c>
      <c r="B499" s="16" t="s">
        <v>6042</v>
      </c>
      <c r="C499" s="17" t="s">
        <v>6043</v>
      </c>
      <c r="D499" s="18">
        <v>164.14</v>
      </c>
      <c r="E499" s="18">
        <v>229.8</v>
      </c>
      <c r="F499" s="18">
        <v>12.0</v>
      </c>
    </row>
    <row r="500">
      <c r="A500" s="15">
        <v>206.0</v>
      </c>
      <c r="B500" s="16" t="s">
        <v>6042</v>
      </c>
      <c r="C500" s="17" t="s">
        <v>5831</v>
      </c>
      <c r="D500" s="18">
        <v>171.21</v>
      </c>
      <c r="E500" s="18">
        <v>263.6</v>
      </c>
      <c r="F500" s="18">
        <v>12.0</v>
      </c>
    </row>
    <row r="501">
      <c r="A501" s="15">
        <v>207.0</v>
      </c>
      <c r="B501" s="16" t="s">
        <v>6044</v>
      </c>
      <c r="C501" s="17" t="s">
        <v>5530</v>
      </c>
      <c r="D501" s="18">
        <v>101.57</v>
      </c>
      <c r="E501" s="18">
        <v>142.2</v>
      </c>
      <c r="F501" s="18">
        <v>12.0</v>
      </c>
    </row>
    <row r="502">
      <c r="A502" s="15">
        <v>208.0</v>
      </c>
      <c r="B502" s="16" t="s">
        <v>6044</v>
      </c>
      <c r="C502" s="17" t="s">
        <v>6019</v>
      </c>
      <c r="D502" s="18">
        <v>184.18</v>
      </c>
      <c r="E502" s="18">
        <v>257.85</v>
      </c>
      <c r="F502" s="18">
        <v>12.0</v>
      </c>
    </row>
    <row r="503">
      <c r="A503" s="15">
        <v>209.0</v>
      </c>
      <c r="B503" s="16" t="s">
        <v>6044</v>
      </c>
      <c r="C503" s="17" t="s">
        <v>5531</v>
      </c>
      <c r="D503" s="18">
        <v>110.2</v>
      </c>
      <c r="E503" s="18">
        <v>157.8</v>
      </c>
      <c r="F503" s="18">
        <v>12.0</v>
      </c>
    </row>
    <row r="504">
      <c r="A504" s="15">
        <v>210.0</v>
      </c>
      <c r="B504" s="16" t="s">
        <v>6044</v>
      </c>
      <c r="C504" s="17" t="s">
        <v>6020</v>
      </c>
      <c r="D504" s="18">
        <v>224.78</v>
      </c>
      <c r="E504" s="18">
        <v>314.69</v>
      </c>
      <c r="F504" s="18">
        <v>12.0</v>
      </c>
    </row>
    <row r="505">
      <c r="A505" s="15">
        <v>211.0</v>
      </c>
      <c r="B505" s="16" t="s">
        <v>6045</v>
      </c>
      <c r="C505" s="17" t="s">
        <v>6046</v>
      </c>
      <c r="D505" s="18">
        <v>82.48</v>
      </c>
      <c r="E505" s="18">
        <v>127.01</v>
      </c>
      <c r="F505" s="18">
        <v>12.0</v>
      </c>
    </row>
    <row r="506">
      <c r="A506" s="15">
        <v>212.0</v>
      </c>
      <c r="B506" s="16" t="s">
        <v>6047</v>
      </c>
      <c r="C506" s="17" t="s">
        <v>5536</v>
      </c>
      <c r="D506" s="18">
        <v>123.64</v>
      </c>
      <c r="E506" s="18">
        <v>190.4</v>
      </c>
      <c r="F506" s="18">
        <v>12.0</v>
      </c>
    </row>
    <row r="507">
      <c r="A507" s="15">
        <v>213.0</v>
      </c>
      <c r="B507" s="16" t="s">
        <v>6048</v>
      </c>
      <c r="C507" s="17" t="s">
        <v>5636</v>
      </c>
      <c r="D507" s="18">
        <v>82.04</v>
      </c>
      <c r="E507" s="18">
        <v>104.5</v>
      </c>
      <c r="F507" s="18">
        <v>12.0</v>
      </c>
    </row>
    <row r="508">
      <c r="A508" s="15">
        <v>214.0</v>
      </c>
      <c r="B508" s="16" t="s">
        <v>6048</v>
      </c>
      <c r="C508" s="17" t="s">
        <v>5603</v>
      </c>
      <c r="D508" s="18">
        <v>135.34</v>
      </c>
      <c r="E508" s="18">
        <v>189.48</v>
      </c>
      <c r="F508" s="18">
        <v>12.0</v>
      </c>
    </row>
    <row r="509">
      <c r="A509" s="15">
        <v>215.0</v>
      </c>
      <c r="B509" s="16" t="s">
        <v>6049</v>
      </c>
      <c r="C509" s="17" t="s">
        <v>5636</v>
      </c>
      <c r="D509" s="18">
        <v>98.05</v>
      </c>
      <c r="E509" s="18">
        <v>124.9</v>
      </c>
      <c r="F509" s="18">
        <v>12.0</v>
      </c>
    </row>
    <row r="510">
      <c r="A510" s="15">
        <v>216.0</v>
      </c>
      <c r="B510" s="16" t="s">
        <v>6049</v>
      </c>
      <c r="C510" s="17" t="s">
        <v>5603</v>
      </c>
      <c r="D510" s="18">
        <v>177.92</v>
      </c>
      <c r="E510" s="18">
        <v>249.09</v>
      </c>
      <c r="F510" s="18">
        <v>12.0</v>
      </c>
    </row>
    <row r="511">
      <c r="A511" s="15">
        <v>217.0</v>
      </c>
      <c r="B511" s="16" t="s">
        <v>6050</v>
      </c>
      <c r="C511" s="17" t="s">
        <v>5982</v>
      </c>
      <c r="D511" s="18">
        <v>64.0</v>
      </c>
      <c r="E511" s="18">
        <v>87.9</v>
      </c>
      <c r="F511" s="18">
        <v>12.0</v>
      </c>
    </row>
    <row r="512">
      <c r="A512" s="15">
        <v>218.0</v>
      </c>
      <c r="B512" s="16" t="s">
        <v>6050</v>
      </c>
      <c r="C512" s="17" t="s">
        <v>5983</v>
      </c>
      <c r="D512" s="18">
        <v>78.92</v>
      </c>
      <c r="E512" s="18">
        <v>108.37</v>
      </c>
      <c r="F512" s="18">
        <v>12.0</v>
      </c>
    </row>
    <row r="513">
      <c r="A513" s="15">
        <v>219.0</v>
      </c>
      <c r="B513" s="16" t="s">
        <v>6051</v>
      </c>
      <c r="C513" s="17" t="s">
        <v>5536</v>
      </c>
      <c r="D513" s="18">
        <v>81.96</v>
      </c>
      <c r="E513" s="18">
        <v>114.74</v>
      </c>
      <c r="F513" s="18">
        <v>12.0</v>
      </c>
    </row>
    <row r="514">
      <c r="A514" s="15">
        <v>220.0</v>
      </c>
      <c r="B514" s="16" t="s">
        <v>6051</v>
      </c>
      <c r="C514" s="17" t="s">
        <v>5546</v>
      </c>
      <c r="D514" s="18">
        <v>135.21</v>
      </c>
      <c r="E514" s="18">
        <v>189.3</v>
      </c>
      <c r="F514" s="18">
        <v>12.0</v>
      </c>
    </row>
    <row r="515">
      <c r="A515" s="15">
        <v>221.0</v>
      </c>
      <c r="B515" s="16" t="s">
        <v>6052</v>
      </c>
      <c r="C515" s="17" t="s">
        <v>5536</v>
      </c>
      <c r="D515" s="18">
        <v>110.34</v>
      </c>
      <c r="E515" s="18">
        <v>127.8</v>
      </c>
      <c r="F515" s="18">
        <v>12.0</v>
      </c>
    </row>
    <row r="516">
      <c r="A516" s="15">
        <v>222.0</v>
      </c>
      <c r="B516" s="16" t="s">
        <v>6052</v>
      </c>
      <c r="C516" s="17" t="s">
        <v>5546</v>
      </c>
      <c r="D516" s="18">
        <v>182.05</v>
      </c>
      <c r="E516" s="18">
        <v>254.87</v>
      </c>
      <c r="F516" s="18">
        <v>12.0</v>
      </c>
    </row>
    <row r="517">
      <c r="A517" s="15">
        <v>223.0</v>
      </c>
      <c r="B517" s="16" t="s">
        <v>6053</v>
      </c>
      <c r="C517" s="17" t="s">
        <v>6054</v>
      </c>
      <c r="D517" s="18">
        <v>98.07</v>
      </c>
      <c r="E517" s="18">
        <v>248.95</v>
      </c>
      <c r="F517" s="18">
        <v>12.0</v>
      </c>
    </row>
    <row r="518">
      <c r="A518" s="15">
        <v>224.0</v>
      </c>
      <c r="B518" s="16" t="s">
        <v>6053</v>
      </c>
      <c r="C518" s="17" t="s">
        <v>5983</v>
      </c>
      <c r="D518" s="18">
        <v>108.5</v>
      </c>
      <c r="E518" s="18">
        <v>166.9</v>
      </c>
      <c r="F518" s="18">
        <v>12.0</v>
      </c>
    </row>
    <row r="519">
      <c r="A519" s="15">
        <v>225.0</v>
      </c>
      <c r="B519" s="16" t="s">
        <v>6053</v>
      </c>
      <c r="C519" s="17" t="s">
        <v>6055</v>
      </c>
      <c r="D519" s="18">
        <v>216.33</v>
      </c>
      <c r="E519" s="18">
        <v>302.86</v>
      </c>
      <c r="F519" s="18">
        <v>12.0</v>
      </c>
    </row>
    <row r="520">
      <c r="A520" s="15">
        <v>226.0</v>
      </c>
      <c r="B520" s="16" t="s">
        <v>6056</v>
      </c>
      <c r="C520" s="17" t="s">
        <v>5768</v>
      </c>
      <c r="D520" s="18">
        <v>39.63</v>
      </c>
      <c r="E520" s="18">
        <v>55.0</v>
      </c>
      <c r="F520" s="18">
        <v>12.0</v>
      </c>
    </row>
    <row r="521">
      <c r="A521" s="15">
        <v>227.0</v>
      </c>
      <c r="B521" s="16" t="s">
        <v>6056</v>
      </c>
      <c r="C521" s="17" t="s">
        <v>5804</v>
      </c>
      <c r="D521" s="18">
        <v>27.02</v>
      </c>
      <c r="E521" s="18">
        <v>37.5</v>
      </c>
      <c r="F521" s="18">
        <v>12.0</v>
      </c>
    </row>
    <row r="522">
      <c r="A522" s="15">
        <v>228.0</v>
      </c>
      <c r="B522" s="16" t="s">
        <v>6057</v>
      </c>
      <c r="C522" s="17" t="s">
        <v>5536</v>
      </c>
      <c r="D522" s="18">
        <v>91.37</v>
      </c>
      <c r="E522" s="18">
        <v>125.5</v>
      </c>
      <c r="F522" s="18">
        <v>12.0</v>
      </c>
    </row>
    <row r="523">
      <c r="A523" s="15">
        <v>229.0</v>
      </c>
      <c r="B523" s="16" t="s">
        <v>6058</v>
      </c>
      <c r="C523" s="17" t="s">
        <v>5614</v>
      </c>
      <c r="D523" s="18">
        <v>151.09</v>
      </c>
      <c r="E523" s="18">
        <v>207.5</v>
      </c>
      <c r="F523" s="18">
        <v>12.0</v>
      </c>
    </row>
    <row r="524">
      <c r="A524" s="15">
        <v>230.0</v>
      </c>
      <c r="B524" s="16" t="s">
        <v>6059</v>
      </c>
      <c r="C524" s="17" t="s">
        <v>6060</v>
      </c>
      <c r="D524" s="18">
        <v>237.29</v>
      </c>
      <c r="E524" s="18">
        <v>350.0</v>
      </c>
      <c r="F524" s="18">
        <v>18.0</v>
      </c>
    </row>
    <row r="525">
      <c r="A525" s="15">
        <v>231.0</v>
      </c>
      <c r="B525" s="16" t="s">
        <v>6061</v>
      </c>
      <c r="C525" s="17" t="s">
        <v>6062</v>
      </c>
      <c r="D525" s="18">
        <v>298.31</v>
      </c>
      <c r="E525" s="18">
        <v>458.0</v>
      </c>
      <c r="F525" s="18">
        <v>18.0</v>
      </c>
    </row>
    <row r="526">
      <c r="A526" s="15">
        <v>232.0</v>
      </c>
      <c r="B526" s="16" t="s">
        <v>6063</v>
      </c>
      <c r="C526" s="17" t="s">
        <v>6064</v>
      </c>
      <c r="D526" s="18">
        <v>152.54</v>
      </c>
      <c r="E526" s="18">
        <v>225.0</v>
      </c>
      <c r="F526" s="18">
        <v>18.0</v>
      </c>
    </row>
    <row r="527">
      <c r="A527" s="15">
        <v>233.0</v>
      </c>
      <c r="B527" s="16" t="s">
        <v>6065</v>
      </c>
      <c r="C527" s="16" t="s">
        <v>2290</v>
      </c>
      <c r="D527" s="18">
        <v>58.57</v>
      </c>
      <c r="E527" s="18">
        <v>99.04</v>
      </c>
      <c r="F527" s="18">
        <v>12.0</v>
      </c>
    </row>
    <row r="528">
      <c r="A528" s="15">
        <v>234.0</v>
      </c>
      <c r="B528" s="16" t="s">
        <v>6066</v>
      </c>
      <c r="C528" s="16" t="s">
        <v>2290</v>
      </c>
      <c r="D528" s="18">
        <v>63.57</v>
      </c>
      <c r="E528" s="18">
        <v>89.0</v>
      </c>
      <c r="F528" s="18">
        <v>12.0</v>
      </c>
    </row>
    <row r="529">
      <c r="A529" s="15">
        <v>235.0</v>
      </c>
      <c r="B529" s="16" t="s">
        <v>6067</v>
      </c>
      <c r="C529" s="17" t="s">
        <v>6068</v>
      </c>
      <c r="D529" s="18">
        <v>86.49</v>
      </c>
      <c r="E529" s="18">
        <v>120.0</v>
      </c>
      <c r="F529" s="18">
        <v>12.0</v>
      </c>
    </row>
    <row r="530">
      <c r="A530" s="15">
        <v>236.0</v>
      </c>
      <c r="B530" s="16" t="s">
        <v>6069</v>
      </c>
      <c r="C530" s="17" t="s">
        <v>5827</v>
      </c>
      <c r="D530" s="18">
        <v>62.14</v>
      </c>
      <c r="E530" s="18">
        <v>87.0</v>
      </c>
      <c r="F530" s="18">
        <v>12.0</v>
      </c>
    </row>
    <row r="531">
      <c r="A531" s="15">
        <v>237.0</v>
      </c>
      <c r="B531" s="16" t="s">
        <v>438</v>
      </c>
      <c r="C531" s="16" t="s">
        <v>6070</v>
      </c>
      <c r="D531" s="18">
        <v>94.59</v>
      </c>
      <c r="E531" s="18">
        <v>140.37</v>
      </c>
      <c r="F531" s="18">
        <v>12.0</v>
      </c>
    </row>
    <row r="532">
      <c r="A532" s="15">
        <v>238.0</v>
      </c>
      <c r="B532" s="16" t="s">
        <v>6071</v>
      </c>
      <c r="C532" s="17" t="s">
        <v>5636</v>
      </c>
      <c r="D532" s="18">
        <v>205.69</v>
      </c>
      <c r="E532" s="18">
        <v>282.5</v>
      </c>
      <c r="F532" s="18">
        <v>12.0</v>
      </c>
    </row>
    <row r="533">
      <c r="A533" s="15">
        <v>239.0</v>
      </c>
      <c r="B533" s="16" t="s">
        <v>6072</v>
      </c>
      <c r="C533" s="17" t="s">
        <v>5636</v>
      </c>
      <c r="D533" s="18">
        <v>139.73</v>
      </c>
      <c r="E533" s="18">
        <v>214.99</v>
      </c>
      <c r="F533" s="18">
        <v>12.0</v>
      </c>
    </row>
    <row r="534">
      <c r="A534" s="15">
        <v>240.0</v>
      </c>
      <c r="B534" s="16" t="s">
        <v>6073</v>
      </c>
      <c r="C534" s="17" t="s">
        <v>5536</v>
      </c>
      <c r="D534" s="18">
        <v>221.43</v>
      </c>
      <c r="E534" s="18">
        <v>310.0</v>
      </c>
      <c r="F534" s="18">
        <v>12.0</v>
      </c>
    </row>
    <row r="535">
      <c r="A535" s="15">
        <v>241.0</v>
      </c>
      <c r="B535" s="16" t="s">
        <v>6074</v>
      </c>
      <c r="C535" s="17" t="s">
        <v>5536</v>
      </c>
      <c r="D535" s="18">
        <v>19.46</v>
      </c>
      <c r="E535" s="18">
        <v>27.0</v>
      </c>
      <c r="F535" s="18">
        <v>12.0</v>
      </c>
    </row>
    <row r="536">
      <c r="A536" s="6"/>
      <c r="B536" s="7"/>
      <c r="C536" s="7"/>
      <c r="D536" s="7"/>
      <c r="E536" s="8"/>
      <c r="F536" s="16" t="s">
        <v>6075</v>
      </c>
    </row>
    <row r="537">
      <c r="A537" s="6"/>
      <c r="B537" s="7"/>
      <c r="C537" s="7"/>
      <c r="D537" s="7"/>
      <c r="E537" s="7"/>
      <c r="F537" s="8"/>
    </row>
    <row r="538">
      <c r="A538" s="6"/>
      <c r="B538" s="7"/>
      <c r="C538" s="7"/>
      <c r="D538" s="7"/>
      <c r="E538" s="7"/>
      <c r="F538" s="8"/>
    </row>
    <row r="539">
      <c r="A539" s="6"/>
      <c r="B539" s="7"/>
      <c r="C539" s="7"/>
      <c r="D539" s="7"/>
      <c r="E539" s="7"/>
      <c r="F539" s="8"/>
    </row>
    <row r="540">
      <c r="A540" s="6"/>
      <c r="B540" s="7"/>
      <c r="C540" s="7"/>
      <c r="D540" s="7"/>
      <c r="E540" s="7"/>
      <c r="F540" s="8"/>
    </row>
    <row r="541">
      <c r="A541" s="9" t="s">
        <v>5582</v>
      </c>
      <c r="B541" s="10"/>
      <c r="C541" s="10"/>
      <c r="D541" s="10"/>
      <c r="E541" s="10"/>
      <c r="F541" s="10"/>
    </row>
    <row r="542">
      <c r="A542" s="19" t="s">
        <v>5583</v>
      </c>
    </row>
    <row r="543">
      <c r="A543" s="6"/>
      <c r="B543" s="7"/>
      <c r="C543" s="7"/>
      <c r="D543" s="8"/>
      <c r="E543" s="12" t="s">
        <v>5584</v>
      </c>
      <c r="F543" s="12" t="s">
        <v>6076</v>
      </c>
    </row>
    <row r="544">
      <c r="A544" s="20" t="s">
        <v>5522</v>
      </c>
      <c r="B544" s="16" t="s">
        <v>5523</v>
      </c>
      <c r="C544" s="16" t="s">
        <v>5524</v>
      </c>
      <c r="D544" s="16" t="s">
        <v>5525</v>
      </c>
      <c r="E544" s="16" t="s">
        <v>5526</v>
      </c>
      <c r="F544" s="16" t="s">
        <v>5586</v>
      </c>
    </row>
    <row r="545">
      <c r="A545" s="15">
        <v>242.0</v>
      </c>
      <c r="B545" s="16" t="s">
        <v>6077</v>
      </c>
      <c r="C545" s="17" t="s">
        <v>5536</v>
      </c>
      <c r="D545" s="18">
        <v>45.0</v>
      </c>
      <c r="E545" s="18">
        <v>63.0</v>
      </c>
      <c r="F545" s="18">
        <v>12.0</v>
      </c>
    </row>
    <row r="546">
      <c r="A546" s="15">
        <v>243.0</v>
      </c>
      <c r="B546" s="16" t="s">
        <v>6078</v>
      </c>
      <c r="C546" s="17" t="s">
        <v>6079</v>
      </c>
      <c r="D546" s="18">
        <v>196.25</v>
      </c>
      <c r="E546" s="18">
        <v>274.75</v>
      </c>
      <c r="F546" s="18">
        <v>12.0</v>
      </c>
    </row>
    <row r="547">
      <c r="A547" s="15">
        <v>244.0</v>
      </c>
      <c r="B547" s="16" t="s">
        <v>6078</v>
      </c>
      <c r="C547" s="17" t="s">
        <v>6080</v>
      </c>
      <c r="D547" s="18">
        <v>431.75</v>
      </c>
      <c r="E547" s="18">
        <v>604.45</v>
      </c>
      <c r="F547" s="18">
        <v>12.0</v>
      </c>
    </row>
    <row r="548">
      <c r="A548" s="15">
        <v>245.0</v>
      </c>
      <c r="B548" s="16" t="s">
        <v>6078</v>
      </c>
      <c r="C548" s="17" t="s">
        <v>5536</v>
      </c>
      <c r="D548" s="18">
        <v>88.71</v>
      </c>
      <c r="E548" s="18">
        <v>124.19</v>
      </c>
      <c r="F548" s="18">
        <v>12.0</v>
      </c>
    </row>
    <row r="549">
      <c r="A549" s="15">
        <v>246.0</v>
      </c>
      <c r="B549" s="16" t="s">
        <v>6078</v>
      </c>
      <c r="C549" s="17" t="s">
        <v>5546</v>
      </c>
      <c r="D549" s="18">
        <v>146.25</v>
      </c>
      <c r="E549" s="18">
        <v>204.75</v>
      </c>
      <c r="F549" s="18">
        <v>12.0</v>
      </c>
    </row>
    <row r="550">
      <c r="A550" s="15">
        <v>247.0</v>
      </c>
      <c r="B550" s="16" t="s">
        <v>6081</v>
      </c>
      <c r="C550" s="17" t="s">
        <v>5550</v>
      </c>
      <c r="D550" s="18">
        <v>90.81</v>
      </c>
      <c r="E550" s="18">
        <v>126.0</v>
      </c>
      <c r="F550" s="18">
        <v>12.0</v>
      </c>
    </row>
    <row r="551">
      <c r="A551" s="15">
        <v>248.0</v>
      </c>
      <c r="B551" s="16" t="s">
        <v>6081</v>
      </c>
      <c r="C551" s="17" t="s">
        <v>5580</v>
      </c>
      <c r="D551" s="18">
        <v>46.07</v>
      </c>
      <c r="E551" s="18">
        <v>64.5</v>
      </c>
      <c r="F551" s="18">
        <v>12.0</v>
      </c>
    </row>
    <row r="552">
      <c r="A552" s="15">
        <v>249.0</v>
      </c>
      <c r="B552" s="16" t="s">
        <v>6081</v>
      </c>
      <c r="C552" s="17" t="s">
        <v>6082</v>
      </c>
      <c r="D552" s="18">
        <v>83.0</v>
      </c>
      <c r="E552" s="18">
        <v>116.2</v>
      </c>
      <c r="F552" s="18">
        <v>12.0</v>
      </c>
    </row>
    <row r="553">
      <c r="A553" s="15">
        <v>250.0</v>
      </c>
      <c r="B553" s="16" t="s">
        <v>6081</v>
      </c>
      <c r="C553" s="17" t="s">
        <v>5665</v>
      </c>
      <c r="D553" s="18">
        <v>99.69</v>
      </c>
      <c r="E553" s="18">
        <v>139.57</v>
      </c>
      <c r="F553" s="18">
        <v>12.0</v>
      </c>
    </row>
    <row r="554">
      <c r="A554" s="15">
        <v>251.0</v>
      </c>
      <c r="B554" s="16" t="s">
        <v>6081</v>
      </c>
      <c r="C554" s="17" t="s">
        <v>5553</v>
      </c>
      <c r="D554" s="18">
        <v>149.57</v>
      </c>
      <c r="E554" s="18">
        <v>230.25</v>
      </c>
      <c r="F554" s="18">
        <v>12.0</v>
      </c>
    </row>
    <row r="555">
      <c r="A555" s="15">
        <v>252.0</v>
      </c>
      <c r="B555" s="16" t="s">
        <v>6081</v>
      </c>
      <c r="C555" s="17" t="s">
        <v>6083</v>
      </c>
      <c r="D555" s="18">
        <v>90.44</v>
      </c>
      <c r="E555" s="18">
        <v>125.5</v>
      </c>
      <c r="F555" s="18">
        <v>12.0</v>
      </c>
    </row>
    <row r="556">
      <c r="A556" s="15">
        <v>253.0</v>
      </c>
      <c r="B556" s="16" t="s">
        <v>6084</v>
      </c>
      <c r="C556" s="17" t="s">
        <v>6085</v>
      </c>
      <c r="D556" s="18">
        <v>135.5</v>
      </c>
      <c r="E556" s="18">
        <v>189.7</v>
      </c>
      <c r="F556" s="18">
        <v>12.0</v>
      </c>
    </row>
    <row r="557">
      <c r="A557" s="15">
        <v>254.0</v>
      </c>
      <c r="B557" s="16" t="s">
        <v>6086</v>
      </c>
      <c r="C557" s="17" t="s">
        <v>5536</v>
      </c>
      <c r="D557" s="18">
        <v>141.98</v>
      </c>
      <c r="E557" s="18">
        <v>195.0</v>
      </c>
      <c r="F557" s="18">
        <v>12.0</v>
      </c>
    </row>
    <row r="558">
      <c r="A558" s="15">
        <v>255.0</v>
      </c>
      <c r="B558" s="16" t="s">
        <v>6087</v>
      </c>
      <c r="C558" s="17" t="s">
        <v>5536</v>
      </c>
      <c r="D558" s="18">
        <v>236.64</v>
      </c>
      <c r="E558" s="18">
        <v>325.0</v>
      </c>
      <c r="F558" s="18">
        <v>12.0</v>
      </c>
    </row>
    <row r="559">
      <c r="A559" s="15">
        <v>256.0</v>
      </c>
      <c r="B559" s="16" t="s">
        <v>6088</v>
      </c>
      <c r="C559" s="17" t="s">
        <v>5636</v>
      </c>
      <c r="D559" s="18">
        <v>79.5</v>
      </c>
      <c r="E559" s="18">
        <v>183.61</v>
      </c>
      <c r="F559" s="18">
        <v>12.0</v>
      </c>
    </row>
    <row r="560">
      <c r="A560" s="15">
        <v>257.0</v>
      </c>
      <c r="B560" s="16" t="s">
        <v>6089</v>
      </c>
      <c r="C560" s="17" t="s">
        <v>5636</v>
      </c>
      <c r="D560" s="18">
        <v>140.48</v>
      </c>
      <c r="E560" s="18">
        <v>324.46</v>
      </c>
      <c r="F560" s="18">
        <v>12.0</v>
      </c>
    </row>
    <row r="561">
      <c r="A561" s="15">
        <v>258.0</v>
      </c>
      <c r="B561" s="16" t="s">
        <v>6089</v>
      </c>
      <c r="C561" s="17" t="s">
        <v>5603</v>
      </c>
      <c r="D561" s="18">
        <v>231.76</v>
      </c>
      <c r="E561" s="18">
        <v>324.46</v>
      </c>
      <c r="F561" s="18">
        <v>12.0</v>
      </c>
    </row>
    <row r="562">
      <c r="A562" s="15">
        <v>259.0</v>
      </c>
      <c r="B562" s="16" t="s">
        <v>6090</v>
      </c>
      <c r="C562" s="17" t="s">
        <v>5536</v>
      </c>
      <c r="D562" s="18">
        <v>86.98</v>
      </c>
      <c r="E562" s="18">
        <v>120.7</v>
      </c>
      <c r="F562" s="18">
        <v>12.0</v>
      </c>
    </row>
    <row r="563">
      <c r="A563" s="15">
        <v>260.0</v>
      </c>
      <c r="B563" s="16" t="s">
        <v>6091</v>
      </c>
      <c r="C563" s="17" t="s">
        <v>6092</v>
      </c>
      <c r="D563" s="18">
        <v>72.82</v>
      </c>
      <c r="E563" s="18">
        <v>100.0</v>
      </c>
      <c r="F563" s="18">
        <v>12.0</v>
      </c>
    </row>
    <row r="564">
      <c r="A564" s="15">
        <v>261.0</v>
      </c>
      <c r="B564" s="16" t="s">
        <v>6091</v>
      </c>
      <c r="C564" s="17" t="s">
        <v>6040</v>
      </c>
      <c r="D564" s="18">
        <v>109.25</v>
      </c>
      <c r="E564" s="18">
        <v>150.0</v>
      </c>
      <c r="F564" s="18">
        <v>12.0</v>
      </c>
    </row>
    <row r="565">
      <c r="A565" s="15">
        <v>262.0</v>
      </c>
      <c r="B565" s="16" t="s">
        <v>6093</v>
      </c>
      <c r="C565" s="17" t="s">
        <v>5654</v>
      </c>
      <c r="D565" s="18">
        <v>86.49</v>
      </c>
      <c r="E565" s="18">
        <v>131.8</v>
      </c>
      <c r="F565" s="18">
        <v>12.0</v>
      </c>
    </row>
    <row r="566">
      <c r="A566" s="15">
        <v>263.0</v>
      </c>
      <c r="B566" s="16" t="s">
        <v>6094</v>
      </c>
      <c r="C566" s="17" t="s">
        <v>5636</v>
      </c>
      <c r="D566" s="18">
        <v>107.14</v>
      </c>
      <c r="E566" s="18">
        <v>150.0</v>
      </c>
      <c r="F566" s="18">
        <v>12.0</v>
      </c>
    </row>
    <row r="567">
      <c r="A567" s="15">
        <v>264.0</v>
      </c>
      <c r="B567" s="16" t="s">
        <v>461</v>
      </c>
      <c r="C567" s="16" t="s">
        <v>5558</v>
      </c>
      <c r="D567" s="18">
        <v>53.57</v>
      </c>
      <c r="E567" s="18">
        <v>75.0</v>
      </c>
      <c r="F567" s="18">
        <v>12.0</v>
      </c>
    </row>
    <row r="568">
      <c r="A568" s="15">
        <v>265.0</v>
      </c>
      <c r="B568" s="16" t="s">
        <v>6095</v>
      </c>
      <c r="C568" s="17" t="s">
        <v>6096</v>
      </c>
      <c r="D568" s="18">
        <v>61.94</v>
      </c>
      <c r="E568" s="18">
        <v>95.37</v>
      </c>
      <c r="F568" s="18">
        <v>12.0</v>
      </c>
    </row>
    <row r="569">
      <c r="A569" s="15">
        <v>266.0</v>
      </c>
      <c r="B569" s="16" t="s">
        <v>6095</v>
      </c>
      <c r="C569" s="17" t="s">
        <v>6097</v>
      </c>
      <c r="D569" s="18">
        <v>73.71</v>
      </c>
      <c r="E569" s="18">
        <v>124.72</v>
      </c>
      <c r="F569" s="18">
        <v>12.0</v>
      </c>
    </row>
    <row r="570">
      <c r="A570" s="15">
        <v>267.0</v>
      </c>
      <c r="B570" s="16" t="s">
        <v>6098</v>
      </c>
      <c r="C570" s="17" t="s">
        <v>6099</v>
      </c>
      <c r="D570" s="18">
        <v>208.18</v>
      </c>
      <c r="E570" s="18">
        <v>291.45</v>
      </c>
      <c r="F570" s="18">
        <v>12.0</v>
      </c>
    </row>
    <row r="571">
      <c r="A571" s="15">
        <v>268.0</v>
      </c>
      <c r="B571" s="16" t="s">
        <v>6098</v>
      </c>
      <c r="C571" s="17" t="s">
        <v>6100</v>
      </c>
      <c r="D571" s="18">
        <v>202.76</v>
      </c>
      <c r="E571" s="18">
        <v>425.8</v>
      </c>
      <c r="F571" s="18">
        <v>12.0</v>
      </c>
    </row>
    <row r="572">
      <c r="A572" s="15">
        <v>269.0</v>
      </c>
      <c r="B572" s="16" t="s">
        <v>6098</v>
      </c>
      <c r="C572" s="17" t="s">
        <v>5595</v>
      </c>
      <c r="D572" s="18">
        <v>128.57</v>
      </c>
      <c r="E572" s="18">
        <v>180.0</v>
      </c>
      <c r="F572" s="18">
        <v>12.0</v>
      </c>
    </row>
    <row r="573">
      <c r="A573" s="15">
        <v>270.0</v>
      </c>
      <c r="B573" s="16" t="s">
        <v>466</v>
      </c>
      <c r="C573" s="16" t="s">
        <v>6101</v>
      </c>
      <c r="D573" s="18">
        <v>96.43</v>
      </c>
      <c r="E573" s="18">
        <v>150.0</v>
      </c>
      <c r="F573" s="18">
        <v>12.0</v>
      </c>
    </row>
    <row r="574">
      <c r="A574" s="6"/>
      <c r="B574" s="7"/>
      <c r="C574" s="7"/>
      <c r="D574" s="7"/>
      <c r="E574" s="7"/>
      <c r="F574" s="8"/>
    </row>
    <row r="575">
      <c r="A575" s="9" t="s">
        <v>6102</v>
      </c>
      <c r="B575" s="10"/>
      <c r="C575" s="10"/>
      <c r="D575" s="10"/>
      <c r="E575" s="10"/>
      <c r="F575" s="10"/>
    </row>
    <row r="576">
      <c r="A576" s="11">
        <v>1.0</v>
      </c>
      <c r="B576" s="12" t="s">
        <v>6103</v>
      </c>
      <c r="C576" s="13" t="s">
        <v>6104</v>
      </c>
      <c r="D576" s="14">
        <v>21.43</v>
      </c>
      <c r="E576" s="14">
        <v>30.0</v>
      </c>
      <c r="F576" s="14">
        <v>12.0</v>
      </c>
    </row>
    <row r="577">
      <c r="A577" s="15">
        <v>2.0</v>
      </c>
      <c r="B577" s="16" t="s">
        <v>5579</v>
      </c>
      <c r="C577" s="17" t="s">
        <v>5720</v>
      </c>
      <c r="D577" s="18">
        <v>13.78</v>
      </c>
      <c r="E577" s="18">
        <v>17.01</v>
      </c>
      <c r="F577" s="18">
        <v>5.0</v>
      </c>
    </row>
    <row r="578">
      <c r="A578" s="15">
        <v>3.0</v>
      </c>
      <c r="B578" s="16" t="s">
        <v>6105</v>
      </c>
      <c r="C578" s="16" t="s">
        <v>6106</v>
      </c>
      <c r="D578" s="18">
        <v>79.28</v>
      </c>
      <c r="E578" s="18">
        <v>110.0</v>
      </c>
      <c r="F578" s="18">
        <v>12.0</v>
      </c>
    </row>
    <row r="579">
      <c r="A579" s="15">
        <v>4.0</v>
      </c>
      <c r="B579" s="16" t="s">
        <v>6107</v>
      </c>
      <c r="C579" s="17" t="s">
        <v>5603</v>
      </c>
      <c r="D579" s="18">
        <v>24.24</v>
      </c>
      <c r="E579" s="18">
        <v>33.93</v>
      </c>
      <c r="F579" s="18">
        <v>12.0</v>
      </c>
    </row>
    <row r="580">
      <c r="A580" s="6"/>
      <c r="B580" s="7"/>
      <c r="C580" s="7"/>
      <c r="D580" s="7"/>
      <c r="E580" s="7"/>
      <c r="F580" s="8"/>
    </row>
    <row r="581">
      <c r="A581" s="9" t="s">
        <v>6108</v>
      </c>
      <c r="B581" s="10"/>
      <c r="C581" s="10"/>
      <c r="D581" s="10"/>
      <c r="E581" s="10"/>
      <c r="F581" s="10"/>
    </row>
    <row r="582">
      <c r="A582" s="6"/>
      <c r="B582" s="7"/>
      <c r="C582" s="7"/>
      <c r="D582" s="7"/>
      <c r="E582" s="7"/>
      <c r="F582" s="8"/>
    </row>
    <row r="583">
      <c r="A583" s="9" t="s">
        <v>6109</v>
      </c>
      <c r="B583" s="10"/>
      <c r="C583" s="10"/>
      <c r="D583" s="10"/>
      <c r="E583" s="10"/>
      <c r="F583" s="10"/>
    </row>
    <row r="584">
      <c r="A584" s="6"/>
      <c r="B584" s="7"/>
      <c r="C584" s="7"/>
      <c r="D584" s="7"/>
      <c r="E584" s="7"/>
      <c r="F584" s="8"/>
    </row>
    <row r="585">
      <c r="A585" s="9" t="s">
        <v>6110</v>
      </c>
      <c r="B585" s="10"/>
      <c r="C585" s="10"/>
      <c r="D585" s="10"/>
      <c r="E585" s="10"/>
      <c r="F585" s="10"/>
    </row>
    <row r="586">
      <c r="A586" s="11">
        <v>1.0</v>
      </c>
      <c r="B586" s="12" t="s">
        <v>6111</v>
      </c>
      <c r="C586" s="13" t="s">
        <v>5614</v>
      </c>
      <c r="D586" s="14">
        <v>66.38</v>
      </c>
      <c r="E586" s="14">
        <v>92.1</v>
      </c>
      <c r="F586" s="14">
        <v>12.0</v>
      </c>
    </row>
    <row r="587">
      <c r="A587" s="15">
        <v>2.0</v>
      </c>
      <c r="B587" s="16" t="s">
        <v>6112</v>
      </c>
      <c r="C587" s="17" t="s">
        <v>5636</v>
      </c>
      <c r="D587" s="18">
        <v>137.79</v>
      </c>
      <c r="E587" s="18">
        <v>192.9</v>
      </c>
      <c r="F587" s="18">
        <v>12.0</v>
      </c>
    </row>
    <row r="588">
      <c r="A588" s="15">
        <v>3.0</v>
      </c>
      <c r="B588" s="16" t="s">
        <v>6113</v>
      </c>
      <c r="C588" s="17" t="s">
        <v>6114</v>
      </c>
      <c r="D588" s="18">
        <v>49.08</v>
      </c>
      <c r="E588" s="18">
        <v>67.4</v>
      </c>
      <c r="F588" s="18">
        <v>12.0</v>
      </c>
    </row>
    <row r="589">
      <c r="A589" s="15">
        <v>4.0</v>
      </c>
      <c r="B589" s="16" t="s">
        <v>6115</v>
      </c>
      <c r="C589" s="17" t="s">
        <v>6116</v>
      </c>
      <c r="D589" s="18">
        <v>3.74</v>
      </c>
      <c r="E589" s="18">
        <v>5.2</v>
      </c>
      <c r="F589" s="18">
        <v>12.0</v>
      </c>
    </row>
    <row r="590">
      <c r="A590" s="15">
        <v>5.0</v>
      </c>
      <c r="B590" s="16" t="s">
        <v>6117</v>
      </c>
      <c r="C590" s="17" t="s">
        <v>5887</v>
      </c>
      <c r="D590" s="18">
        <v>33.51</v>
      </c>
      <c r="E590" s="18">
        <v>46.5</v>
      </c>
      <c r="F590" s="18">
        <v>12.0</v>
      </c>
    </row>
    <row r="591">
      <c r="A591" s="15">
        <v>6.0</v>
      </c>
      <c r="B591" s="16" t="s">
        <v>6117</v>
      </c>
      <c r="C591" s="17" t="s">
        <v>6118</v>
      </c>
      <c r="D591" s="18">
        <v>33.51</v>
      </c>
      <c r="E591" s="18">
        <v>46.5</v>
      </c>
      <c r="F591" s="18">
        <v>12.0</v>
      </c>
    </row>
    <row r="592">
      <c r="A592" s="6"/>
      <c r="B592" s="7"/>
      <c r="C592" s="7"/>
      <c r="D592" s="7"/>
      <c r="E592" s="7"/>
      <c r="F592" s="8"/>
    </row>
    <row r="593">
      <c r="A593" s="9" t="s">
        <v>6119</v>
      </c>
      <c r="B593" s="10"/>
      <c r="C593" s="10"/>
      <c r="D593" s="10"/>
      <c r="E593" s="10"/>
      <c r="F593" s="10"/>
    </row>
    <row r="594">
      <c r="A594" s="11">
        <v>1.0</v>
      </c>
      <c r="B594" s="12" t="s">
        <v>6120</v>
      </c>
      <c r="C594" s="13" t="s">
        <v>6104</v>
      </c>
      <c r="D594" s="14">
        <v>22.36</v>
      </c>
      <c r="E594" s="14">
        <v>31.3</v>
      </c>
      <c r="F594" s="14">
        <v>12.0</v>
      </c>
    </row>
    <row r="595">
      <c r="A595" s="15">
        <v>2.0</v>
      </c>
      <c r="B595" s="16" t="s">
        <v>6121</v>
      </c>
      <c r="C595" s="17" t="s">
        <v>5636</v>
      </c>
      <c r="D595" s="18">
        <v>75.72</v>
      </c>
      <c r="E595" s="18">
        <v>104.0</v>
      </c>
      <c r="F595" s="18">
        <v>12.0</v>
      </c>
    </row>
    <row r="596">
      <c r="A596" s="15">
        <v>3.0</v>
      </c>
      <c r="B596" s="16" t="s">
        <v>6122</v>
      </c>
      <c r="C596" s="17" t="s">
        <v>5536</v>
      </c>
      <c r="D596" s="18">
        <v>43.62</v>
      </c>
      <c r="E596" s="18">
        <v>60.5</v>
      </c>
      <c r="F596" s="18">
        <v>12.0</v>
      </c>
    </row>
    <row r="597">
      <c r="A597" s="15">
        <v>4.0</v>
      </c>
      <c r="B597" s="16" t="s">
        <v>6123</v>
      </c>
      <c r="C597" s="17" t="s">
        <v>6124</v>
      </c>
      <c r="D597" s="18">
        <v>16.02</v>
      </c>
      <c r="E597" s="18">
        <v>22.25</v>
      </c>
      <c r="F597" s="18">
        <v>12.0</v>
      </c>
    </row>
    <row r="598">
      <c r="A598" s="15">
        <v>5.0</v>
      </c>
      <c r="B598" s="16" t="s">
        <v>6123</v>
      </c>
      <c r="C598" s="17" t="s">
        <v>6125</v>
      </c>
      <c r="D598" s="18">
        <v>27.0</v>
      </c>
      <c r="E598" s="18">
        <v>37.07</v>
      </c>
      <c r="F598" s="18">
        <v>12.0</v>
      </c>
    </row>
    <row r="599">
      <c r="A599" s="6"/>
      <c r="B599" s="7"/>
      <c r="C599" s="7"/>
      <c r="D599" s="7"/>
      <c r="E599" s="7"/>
      <c r="F599" s="8"/>
    </row>
    <row r="600">
      <c r="A600" s="9" t="s">
        <v>6126</v>
      </c>
      <c r="B600" s="10"/>
      <c r="C600" s="10"/>
      <c r="D600" s="10"/>
      <c r="E600" s="10"/>
      <c r="F600" s="10"/>
    </row>
    <row r="601">
      <c r="A601" s="11">
        <v>1.0</v>
      </c>
      <c r="B601" s="12" t="s">
        <v>5909</v>
      </c>
      <c r="C601" s="13" t="s">
        <v>5546</v>
      </c>
      <c r="D601" s="14">
        <v>95.97</v>
      </c>
      <c r="E601" s="14">
        <v>147.7</v>
      </c>
      <c r="F601" s="14">
        <v>12.0</v>
      </c>
    </row>
    <row r="602">
      <c r="A602" s="15">
        <v>2.0</v>
      </c>
      <c r="B602" s="16" t="s">
        <v>5914</v>
      </c>
      <c r="C602" s="17" t="s">
        <v>5831</v>
      </c>
      <c r="D602" s="18">
        <v>216.96</v>
      </c>
      <c r="E602" s="18">
        <v>298.0</v>
      </c>
      <c r="F602" s="18">
        <v>12.0</v>
      </c>
    </row>
    <row r="603">
      <c r="A603" s="15">
        <v>3.0</v>
      </c>
      <c r="B603" s="16" t="s">
        <v>5919</v>
      </c>
      <c r="C603" s="17" t="s">
        <v>6127</v>
      </c>
      <c r="D603" s="18">
        <v>11.64</v>
      </c>
      <c r="E603" s="18">
        <v>16.3</v>
      </c>
      <c r="F603" s="18">
        <v>12.0</v>
      </c>
    </row>
    <row r="604">
      <c r="A604" s="15">
        <v>4.0</v>
      </c>
      <c r="B604" s="16" t="s">
        <v>5991</v>
      </c>
      <c r="C604" s="17" t="s">
        <v>5886</v>
      </c>
      <c r="D604" s="18">
        <v>23.28</v>
      </c>
      <c r="E604" s="18">
        <v>32.59</v>
      </c>
      <c r="F604" s="18">
        <v>12.0</v>
      </c>
    </row>
    <row r="605">
      <c r="A605" s="15">
        <v>5.0</v>
      </c>
      <c r="B605" s="16" t="s">
        <v>6028</v>
      </c>
      <c r="C605" s="17" t="s">
        <v>5657</v>
      </c>
      <c r="D605" s="18">
        <v>98.91</v>
      </c>
      <c r="E605" s="18">
        <v>228.45</v>
      </c>
      <c r="F605" s="18">
        <v>12.0</v>
      </c>
    </row>
    <row r="606">
      <c r="A606" s="6"/>
      <c r="B606" s="7"/>
      <c r="C606" s="7"/>
      <c r="D606" s="7"/>
      <c r="E606" s="8"/>
      <c r="F606" s="16" t="s">
        <v>6128</v>
      </c>
    </row>
    <row r="607">
      <c r="A607" s="6"/>
      <c r="B607" s="7"/>
      <c r="C607" s="7"/>
      <c r="D607" s="7"/>
      <c r="E607" s="7"/>
      <c r="F607" s="8"/>
    </row>
    <row r="608">
      <c r="A608" s="6"/>
      <c r="B608" s="7"/>
      <c r="C608" s="7"/>
      <c r="D608" s="7"/>
      <c r="E608" s="7"/>
      <c r="F608" s="8"/>
    </row>
    <row r="609">
      <c r="A609" s="6"/>
      <c r="B609" s="7"/>
      <c r="C609" s="7"/>
      <c r="D609" s="7"/>
      <c r="E609" s="7"/>
      <c r="F609" s="8"/>
    </row>
    <row r="610">
      <c r="A610" s="6"/>
      <c r="B610" s="7"/>
      <c r="C610" s="7"/>
      <c r="D610" s="7"/>
      <c r="E610" s="7"/>
      <c r="F610" s="8"/>
    </row>
    <row r="611">
      <c r="A611" s="9" t="s">
        <v>5582</v>
      </c>
      <c r="B611" s="10"/>
      <c r="C611" s="10"/>
      <c r="D611" s="10"/>
      <c r="E611" s="10"/>
      <c r="F611" s="10"/>
    </row>
    <row r="612">
      <c r="A612" s="19" t="s">
        <v>5583</v>
      </c>
    </row>
    <row r="613">
      <c r="A613" s="6"/>
      <c r="B613" s="7"/>
      <c r="C613" s="7"/>
      <c r="D613" s="8"/>
      <c r="E613" s="12" t="s">
        <v>5584</v>
      </c>
      <c r="F613" s="12" t="s">
        <v>6129</v>
      </c>
    </row>
    <row r="614">
      <c r="A614" s="20" t="s">
        <v>5522</v>
      </c>
      <c r="B614" s="16" t="s">
        <v>5523</v>
      </c>
      <c r="C614" s="16" t="s">
        <v>5524</v>
      </c>
      <c r="D614" s="16" t="s">
        <v>5525</v>
      </c>
      <c r="E614" s="16" t="s">
        <v>5526</v>
      </c>
      <c r="F614" s="16" t="s">
        <v>5586</v>
      </c>
    </row>
    <row r="615">
      <c r="A615" s="6"/>
      <c r="B615" s="7"/>
      <c r="C615" s="7"/>
      <c r="D615" s="7"/>
      <c r="E615" s="7"/>
      <c r="F615" s="8"/>
    </row>
    <row r="616">
      <c r="A616" s="9" t="s">
        <v>6130</v>
      </c>
      <c r="B616" s="10"/>
      <c r="C616" s="10"/>
      <c r="D616" s="10"/>
      <c r="E616" s="10"/>
      <c r="F616" s="10"/>
    </row>
    <row r="617">
      <c r="A617" s="11">
        <v>1.0</v>
      </c>
      <c r="B617" s="12" t="s">
        <v>487</v>
      </c>
      <c r="C617" s="12" t="s">
        <v>5558</v>
      </c>
      <c r="D617" s="14">
        <v>38.55</v>
      </c>
      <c r="E617" s="14">
        <v>53.5</v>
      </c>
      <c r="F617" s="14">
        <v>12.0</v>
      </c>
    </row>
    <row r="618">
      <c r="A618" s="6"/>
      <c r="B618" s="7"/>
      <c r="C618" s="7"/>
      <c r="D618" s="7"/>
      <c r="E618" s="7"/>
      <c r="F618" s="8"/>
    </row>
    <row r="619">
      <c r="A619" s="9" t="s">
        <v>6131</v>
      </c>
      <c r="B619" s="10"/>
      <c r="C619" s="10"/>
      <c r="D619" s="10"/>
      <c r="E619" s="10"/>
      <c r="F619" s="10"/>
    </row>
    <row r="620">
      <c r="A620" s="11">
        <v>1.0</v>
      </c>
      <c r="B620" s="12" t="s">
        <v>6132</v>
      </c>
      <c r="C620" s="13" t="s">
        <v>6133</v>
      </c>
      <c r="D620" s="14">
        <v>1106.72</v>
      </c>
      <c r="E620" s="14">
        <v>1520.0</v>
      </c>
      <c r="F620" s="14">
        <v>12.0</v>
      </c>
    </row>
    <row r="621">
      <c r="A621" s="15">
        <v>2.0</v>
      </c>
      <c r="B621" s="16" t="s">
        <v>6134</v>
      </c>
      <c r="C621" s="17" t="s">
        <v>6135</v>
      </c>
      <c r="D621" s="18">
        <v>7342.52</v>
      </c>
      <c r="E621" s="18">
        <v>11985.96</v>
      </c>
      <c r="F621" s="18">
        <v>12.0</v>
      </c>
    </row>
    <row r="622">
      <c r="A622" s="15">
        <v>3.0</v>
      </c>
      <c r="B622" s="16" t="s">
        <v>6134</v>
      </c>
      <c r="C622" s="17" t="s">
        <v>6136</v>
      </c>
      <c r="D622" s="18">
        <v>0.0</v>
      </c>
      <c r="E622" s="18">
        <v>10.0</v>
      </c>
      <c r="F622" s="18">
        <v>12.0</v>
      </c>
    </row>
    <row r="623">
      <c r="A623" s="15">
        <v>4.0</v>
      </c>
      <c r="B623" s="16" t="s">
        <v>6137</v>
      </c>
      <c r="C623" s="17" t="s">
        <v>6138</v>
      </c>
      <c r="D623" s="18">
        <v>18.03</v>
      </c>
      <c r="E623" s="18">
        <v>25.0</v>
      </c>
      <c r="F623" s="18">
        <v>12.0</v>
      </c>
    </row>
    <row r="624">
      <c r="A624" s="15">
        <v>5.0</v>
      </c>
      <c r="B624" s="16" t="s">
        <v>6139</v>
      </c>
      <c r="C624" s="17" t="s">
        <v>6140</v>
      </c>
      <c r="D624" s="18">
        <v>144.64</v>
      </c>
      <c r="E624" s="18">
        <v>202.5</v>
      </c>
      <c r="F624" s="18">
        <v>18.0</v>
      </c>
    </row>
    <row r="625">
      <c r="A625" s="6"/>
      <c r="B625" s="7"/>
      <c r="C625" s="7"/>
      <c r="D625" s="7"/>
      <c r="E625" s="7"/>
      <c r="F625" s="8"/>
    </row>
    <row r="626">
      <c r="A626" s="9" t="s">
        <v>6141</v>
      </c>
      <c r="B626" s="10"/>
      <c r="C626" s="10"/>
      <c r="D626" s="10"/>
      <c r="E626" s="10"/>
      <c r="F626" s="10"/>
    </row>
    <row r="627">
      <c r="A627" s="6"/>
      <c r="B627" s="7"/>
      <c r="C627" s="7"/>
      <c r="D627" s="7"/>
      <c r="E627" s="7"/>
      <c r="F627" s="8"/>
    </row>
    <row r="628">
      <c r="A628" s="9" t="s">
        <v>6142</v>
      </c>
      <c r="B628" s="10"/>
      <c r="C628" s="10"/>
      <c r="D628" s="10"/>
      <c r="E628" s="10"/>
      <c r="F628" s="10"/>
    </row>
    <row r="629">
      <c r="A629" s="11">
        <v>1.0</v>
      </c>
      <c r="B629" s="12" t="s">
        <v>6143</v>
      </c>
      <c r="C629" s="13" t="s">
        <v>5647</v>
      </c>
      <c r="D629" s="14">
        <v>14.77</v>
      </c>
      <c r="E629" s="14">
        <v>20.68</v>
      </c>
      <c r="F629" s="14">
        <v>12.0</v>
      </c>
    </row>
    <row r="630">
      <c r="A630" s="15">
        <v>2.0</v>
      </c>
      <c r="B630" s="16" t="s">
        <v>6144</v>
      </c>
      <c r="C630" s="17" t="s">
        <v>5536</v>
      </c>
      <c r="D630" s="18">
        <v>38.59</v>
      </c>
      <c r="E630" s="18">
        <v>53.55</v>
      </c>
      <c r="F630" s="18">
        <v>12.0</v>
      </c>
    </row>
    <row r="631">
      <c r="A631" s="15">
        <v>3.0</v>
      </c>
      <c r="B631" s="16" t="s">
        <v>6145</v>
      </c>
      <c r="C631" s="17" t="s">
        <v>5536</v>
      </c>
      <c r="D631" s="18">
        <v>70.25</v>
      </c>
      <c r="E631" s="18">
        <v>97.46</v>
      </c>
      <c r="F631" s="18">
        <v>12.0</v>
      </c>
    </row>
    <row r="632">
      <c r="A632" s="15">
        <v>4.0</v>
      </c>
      <c r="B632" s="16" t="s">
        <v>6146</v>
      </c>
      <c r="C632" s="17" t="s">
        <v>5536</v>
      </c>
      <c r="D632" s="18">
        <v>25.23</v>
      </c>
      <c r="E632" s="18">
        <v>35.0</v>
      </c>
      <c r="F632" s="18">
        <v>12.0</v>
      </c>
    </row>
    <row r="633">
      <c r="A633" s="15">
        <v>5.0</v>
      </c>
      <c r="B633" s="16" t="s">
        <v>6147</v>
      </c>
      <c r="C633" s="17" t="s">
        <v>6148</v>
      </c>
      <c r="D633" s="18">
        <v>51.56</v>
      </c>
      <c r="E633" s="18">
        <v>71.5</v>
      </c>
      <c r="F633" s="18">
        <v>12.0</v>
      </c>
    </row>
    <row r="634">
      <c r="A634" s="15">
        <v>6.0</v>
      </c>
      <c r="B634" s="16" t="s">
        <v>6147</v>
      </c>
      <c r="C634" s="17" t="s">
        <v>6127</v>
      </c>
      <c r="D634" s="18">
        <v>86.98</v>
      </c>
      <c r="E634" s="18">
        <v>120.7</v>
      </c>
      <c r="F634" s="18">
        <v>12.0</v>
      </c>
    </row>
    <row r="635">
      <c r="A635" s="6"/>
      <c r="B635" s="7"/>
      <c r="C635" s="7"/>
      <c r="D635" s="7"/>
      <c r="E635" s="7"/>
      <c r="F635" s="8"/>
    </row>
    <row r="636">
      <c r="A636" s="9" t="s">
        <v>6149</v>
      </c>
      <c r="B636" s="10"/>
      <c r="C636" s="10"/>
      <c r="D636" s="10"/>
      <c r="E636" s="10"/>
      <c r="F636" s="10"/>
    </row>
    <row r="637">
      <c r="A637" s="11">
        <v>1.0</v>
      </c>
      <c r="B637" s="12" t="s">
        <v>6150</v>
      </c>
      <c r="C637" s="13" t="s">
        <v>6151</v>
      </c>
      <c r="D637" s="14">
        <v>7.67</v>
      </c>
      <c r="E637" s="14">
        <v>14.99</v>
      </c>
      <c r="F637" s="14">
        <v>5.0</v>
      </c>
    </row>
    <row r="638">
      <c r="A638" s="15">
        <v>2.0</v>
      </c>
      <c r="B638" s="16" t="s">
        <v>6152</v>
      </c>
      <c r="C638" s="21"/>
      <c r="D638" s="18">
        <v>0.0</v>
      </c>
      <c r="E638" s="18">
        <v>0.0</v>
      </c>
      <c r="F638" s="18">
        <v>0.0</v>
      </c>
    </row>
    <row r="639">
      <c r="A639" s="6"/>
      <c r="B639" s="7"/>
      <c r="C639" s="7"/>
      <c r="D639" s="7"/>
      <c r="E639" s="7"/>
      <c r="F639" s="8"/>
    </row>
    <row r="640">
      <c r="A640" s="9" t="s">
        <v>6153</v>
      </c>
      <c r="B640" s="10"/>
      <c r="C640" s="10"/>
      <c r="D640" s="10"/>
      <c r="E640" s="10"/>
      <c r="F640" s="10"/>
    </row>
    <row r="641">
      <c r="A641" s="11">
        <v>1.0</v>
      </c>
      <c r="B641" s="12" t="s">
        <v>6154</v>
      </c>
      <c r="C641" s="12" t="s">
        <v>1124</v>
      </c>
      <c r="D641" s="14">
        <v>51.43</v>
      </c>
      <c r="E641" s="14">
        <v>72.0</v>
      </c>
      <c r="F641" s="14">
        <v>12.0</v>
      </c>
    </row>
    <row r="642">
      <c r="A642" s="15">
        <v>2.0</v>
      </c>
      <c r="B642" s="16" t="s">
        <v>6155</v>
      </c>
      <c r="C642" s="17" t="s">
        <v>5636</v>
      </c>
      <c r="D642" s="18">
        <v>71.25</v>
      </c>
      <c r="E642" s="18">
        <v>115.0</v>
      </c>
      <c r="F642" s="18">
        <v>28.0</v>
      </c>
    </row>
    <row r="643">
      <c r="A643" s="6"/>
      <c r="B643" s="7"/>
      <c r="C643" s="7"/>
      <c r="D643" s="7"/>
      <c r="E643" s="7"/>
      <c r="F643" s="8"/>
    </row>
    <row r="644">
      <c r="A644" s="9" t="s">
        <v>6156</v>
      </c>
      <c r="B644" s="10"/>
      <c r="C644" s="10"/>
      <c r="D644" s="10"/>
      <c r="E644" s="10"/>
      <c r="F644" s="10"/>
    </row>
    <row r="645">
      <c r="A645" s="11">
        <v>1.0</v>
      </c>
      <c r="B645" s="12" t="s">
        <v>6157</v>
      </c>
      <c r="C645" s="13" t="s">
        <v>5536</v>
      </c>
      <c r="D645" s="14">
        <v>9.08</v>
      </c>
      <c r="E645" s="14">
        <v>12.6</v>
      </c>
      <c r="F645" s="14">
        <v>12.0</v>
      </c>
    </row>
    <row r="646">
      <c r="A646" s="15">
        <v>2.0</v>
      </c>
      <c r="B646" s="16" t="s">
        <v>6158</v>
      </c>
      <c r="C646" s="17" t="s">
        <v>5536</v>
      </c>
      <c r="D646" s="18">
        <v>7.37</v>
      </c>
      <c r="E646" s="18">
        <v>10.22</v>
      </c>
      <c r="F646" s="18">
        <v>12.0</v>
      </c>
    </row>
    <row r="647">
      <c r="A647" s="15">
        <v>3.0</v>
      </c>
      <c r="B647" s="16" t="s">
        <v>6159</v>
      </c>
      <c r="C647" s="17" t="s">
        <v>5654</v>
      </c>
      <c r="D647" s="18">
        <v>15.44</v>
      </c>
      <c r="E647" s="18">
        <v>21.2</v>
      </c>
      <c r="F647" s="18">
        <v>12.0</v>
      </c>
    </row>
    <row r="648">
      <c r="A648" s="6"/>
      <c r="B648" s="7"/>
      <c r="C648" s="7"/>
      <c r="D648" s="7"/>
      <c r="E648" s="7"/>
      <c r="F648" s="8"/>
    </row>
    <row r="649">
      <c r="A649" s="9" t="s">
        <v>6160</v>
      </c>
      <c r="B649" s="10"/>
      <c r="C649" s="10"/>
      <c r="D649" s="10"/>
      <c r="E649" s="10"/>
      <c r="F649" s="10"/>
    </row>
    <row r="650">
      <c r="A650" s="11">
        <v>1.0</v>
      </c>
      <c r="B650" s="12" t="s">
        <v>6161</v>
      </c>
      <c r="C650" s="13" t="s">
        <v>6162</v>
      </c>
      <c r="D650" s="14">
        <v>6.99</v>
      </c>
      <c r="E650" s="14">
        <v>9.17</v>
      </c>
      <c r="F650" s="14">
        <v>5.0</v>
      </c>
    </row>
    <row r="651">
      <c r="A651" s="15">
        <v>2.0</v>
      </c>
      <c r="B651" s="16" t="s">
        <v>6161</v>
      </c>
      <c r="C651" s="17" t="s">
        <v>6163</v>
      </c>
      <c r="D651" s="18">
        <v>7.57</v>
      </c>
      <c r="E651" s="18">
        <v>9.93</v>
      </c>
      <c r="F651" s="18">
        <v>5.0</v>
      </c>
    </row>
    <row r="652">
      <c r="A652" s="15">
        <v>3.0</v>
      </c>
      <c r="B652" s="16" t="s">
        <v>6164</v>
      </c>
      <c r="C652" s="17" t="s">
        <v>5742</v>
      </c>
      <c r="D652" s="18">
        <v>35.5</v>
      </c>
      <c r="E652" s="18">
        <v>54.65</v>
      </c>
      <c r="F652" s="18">
        <v>12.0</v>
      </c>
    </row>
    <row r="653">
      <c r="A653" s="15">
        <v>4.0</v>
      </c>
      <c r="B653" s="16" t="s">
        <v>6165</v>
      </c>
      <c r="C653" s="17" t="s">
        <v>5827</v>
      </c>
      <c r="D653" s="18">
        <v>40.86</v>
      </c>
      <c r="E653" s="18">
        <v>57.2</v>
      </c>
      <c r="F653" s="18">
        <v>12.0</v>
      </c>
    </row>
    <row r="654">
      <c r="A654" s="15">
        <v>5.0</v>
      </c>
      <c r="B654" s="16" t="s">
        <v>6164</v>
      </c>
      <c r="C654" s="17" t="s">
        <v>5999</v>
      </c>
      <c r="D654" s="18">
        <v>58.57</v>
      </c>
      <c r="E654" s="18">
        <v>118.7</v>
      </c>
      <c r="F654" s="18">
        <v>12.0</v>
      </c>
    </row>
    <row r="655">
      <c r="A655" s="15">
        <v>6.0</v>
      </c>
      <c r="B655" s="16" t="s">
        <v>6166</v>
      </c>
      <c r="C655" s="17" t="s">
        <v>6167</v>
      </c>
      <c r="D655" s="18">
        <v>19.32</v>
      </c>
      <c r="E655" s="18">
        <v>25.36</v>
      </c>
      <c r="F655" s="18">
        <v>5.0</v>
      </c>
    </row>
    <row r="656">
      <c r="A656" s="15">
        <v>7.0</v>
      </c>
      <c r="B656" s="16" t="s">
        <v>6166</v>
      </c>
      <c r="C656" s="17" t="s">
        <v>5669</v>
      </c>
      <c r="D656" s="18">
        <v>11.25</v>
      </c>
      <c r="E656" s="18">
        <v>14.77</v>
      </c>
      <c r="F656" s="18">
        <v>5.0</v>
      </c>
    </row>
    <row r="657">
      <c r="A657" s="15">
        <v>8.0</v>
      </c>
      <c r="B657" s="16" t="s">
        <v>5748</v>
      </c>
      <c r="C657" s="17" t="s">
        <v>5747</v>
      </c>
      <c r="D657" s="18">
        <v>15.47</v>
      </c>
      <c r="E657" s="18">
        <v>21.32</v>
      </c>
      <c r="F657" s="18">
        <v>12.0</v>
      </c>
    </row>
    <row r="658">
      <c r="A658" s="15">
        <v>9.0</v>
      </c>
      <c r="B658" s="16" t="s">
        <v>6168</v>
      </c>
      <c r="C658" s="17" t="s">
        <v>6169</v>
      </c>
      <c r="D658" s="18">
        <v>82.14</v>
      </c>
      <c r="E658" s="18">
        <v>115.0</v>
      </c>
      <c r="F658" s="18">
        <v>12.0</v>
      </c>
    </row>
    <row r="659">
      <c r="A659" s="15">
        <v>10.0</v>
      </c>
      <c r="B659" s="16" t="s">
        <v>6168</v>
      </c>
      <c r="C659" s="17" t="s">
        <v>6170</v>
      </c>
      <c r="D659" s="18">
        <v>44.29</v>
      </c>
      <c r="E659" s="18">
        <v>62.0</v>
      </c>
      <c r="F659" s="18">
        <v>12.0</v>
      </c>
    </row>
    <row r="660">
      <c r="A660" s="15">
        <v>11.0</v>
      </c>
      <c r="B660" s="16" t="s">
        <v>6150</v>
      </c>
      <c r="C660" s="17" t="s">
        <v>6171</v>
      </c>
      <c r="D660" s="18">
        <v>20.27</v>
      </c>
      <c r="E660" s="18">
        <v>26.6</v>
      </c>
      <c r="F660" s="18">
        <v>5.0</v>
      </c>
    </row>
    <row r="661">
      <c r="A661" s="15">
        <v>12.0</v>
      </c>
      <c r="B661" s="16" t="s">
        <v>6015</v>
      </c>
      <c r="C661" s="17" t="s">
        <v>5603</v>
      </c>
      <c r="D661" s="18">
        <v>54.64</v>
      </c>
      <c r="E661" s="18">
        <v>151.8</v>
      </c>
      <c r="F661" s="18">
        <v>12.0</v>
      </c>
    </row>
    <row r="662">
      <c r="A662" s="15">
        <v>13.0</v>
      </c>
      <c r="B662" s="16" t="s">
        <v>6172</v>
      </c>
      <c r="C662" s="17" t="s">
        <v>5636</v>
      </c>
      <c r="D662" s="18">
        <v>11.31</v>
      </c>
      <c r="E662" s="18">
        <v>15.83</v>
      </c>
      <c r="F662" s="18">
        <v>12.0</v>
      </c>
    </row>
    <row r="663">
      <c r="A663" s="6"/>
      <c r="B663" s="7"/>
      <c r="C663" s="7"/>
      <c r="D663" s="7"/>
      <c r="E663" s="7"/>
      <c r="F663" s="8"/>
    </row>
    <row r="664">
      <c r="A664" s="9" t="s">
        <v>6173</v>
      </c>
      <c r="B664" s="10"/>
      <c r="C664" s="10"/>
      <c r="D664" s="10"/>
      <c r="E664" s="10"/>
      <c r="F664" s="10"/>
    </row>
    <row r="665">
      <c r="A665" s="11">
        <v>1.0</v>
      </c>
      <c r="B665" s="12" t="s">
        <v>6174</v>
      </c>
      <c r="C665" s="13" t="s">
        <v>5603</v>
      </c>
      <c r="D665" s="14">
        <v>88.15</v>
      </c>
      <c r="E665" s="14">
        <v>130.0</v>
      </c>
      <c r="F665" s="14">
        <v>18.0</v>
      </c>
    </row>
    <row r="666">
      <c r="A666" s="15">
        <v>2.0</v>
      </c>
      <c r="B666" s="16" t="s">
        <v>6175</v>
      </c>
      <c r="C666" s="16" t="s">
        <v>6176</v>
      </c>
      <c r="D666" s="18">
        <v>81.36</v>
      </c>
      <c r="E666" s="18">
        <v>120.0</v>
      </c>
      <c r="F666" s="18">
        <v>18.0</v>
      </c>
    </row>
    <row r="667">
      <c r="A667" s="15">
        <v>3.0</v>
      </c>
      <c r="B667" s="16" t="s">
        <v>528</v>
      </c>
      <c r="C667" s="16" t="s">
        <v>5558</v>
      </c>
      <c r="D667" s="18">
        <v>87.46</v>
      </c>
      <c r="E667" s="18">
        <v>129.0</v>
      </c>
      <c r="F667" s="18">
        <v>18.0</v>
      </c>
    </row>
    <row r="668">
      <c r="A668" s="15">
        <v>4.0</v>
      </c>
      <c r="B668" s="16" t="s">
        <v>6177</v>
      </c>
      <c r="C668" s="17" t="s">
        <v>5636</v>
      </c>
      <c r="D668" s="18">
        <v>128.82</v>
      </c>
      <c r="E668" s="18">
        <v>190.0</v>
      </c>
      <c r="F668" s="18">
        <v>18.0</v>
      </c>
    </row>
    <row r="669">
      <c r="A669" s="15">
        <v>5.0</v>
      </c>
      <c r="B669" s="16" t="s">
        <v>530</v>
      </c>
      <c r="C669" s="16" t="s">
        <v>5558</v>
      </c>
      <c r="D669" s="18">
        <v>84.84</v>
      </c>
      <c r="E669" s="18">
        <v>119.0</v>
      </c>
      <c r="F669" s="18">
        <v>12.0</v>
      </c>
    </row>
    <row r="670">
      <c r="A670" s="15">
        <v>6.0</v>
      </c>
      <c r="B670" s="16" t="s">
        <v>531</v>
      </c>
      <c r="C670" s="16" t="s">
        <v>5558</v>
      </c>
      <c r="D670" s="18">
        <v>156.86</v>
      </c>
      <c r="E670" s="18">
        <v>220.0</v>
      </c>
      <c r="F670" s="18">
        <v>12.0</v>
      </c>
    </row>
    <row r="671">
      <c r="A671" s="15">
        <v>7.0</v>
      </c>
      <c r="B671" s="16" t="s">
        <v>6178</v>
      </c>
      <c r="C671" s="17" t="s">
        <v>5603</v>
      </c>
      <c r="D671" s="18">
        <v>92.69</v>
      </c>
      <c r="E671" s="18">
        <v>130.0</v>
      </c>
      <c r="F671" s="18">
        <v>12.0</v>
      </c>
    </row>
    <row r="672">
      <c r="A672" s="15">
        <v>8.0</v>
      </c>
      <c r="B672" s="16" t="s">
        <v>6179</v>
      </c>
      <c r="C672" s="17" t="s">
        <v>5636</v>
      </c>
      <c r="D672" s="18">
        <v>78.43</v>
      </c>
      <c r="E672" s="18">
        <v>110.0</v>
      </c>
      <c r="F672" s="18">
        <v>12.0</v>
      </c>
    </row>
    <row r="673">
      <c r="A673" s="6"/>
      <c r="B673" s="7"/>
      <c r="C673" s="7"/>
      <c r="D673" s="7"/>
      <c r="E673" s="7"/>
      <c r="F673" s="8"/>
    </row>
    <row r="674">
      <c r="A674" s="9" t="s">
        <v>6180</v>
      </c>
      <c r="B674" s="10"/>
      <c r="C674" s="10"/>
      <c r="D674" s="10"/>
      <c r="E674" s="10"/>
      <c r="F674" s="10"/>
    </row>
    <row r="675">
      <c r="A675" s="11">
        <v>1.0</v>
      </c>
      <c r="B675" s="12" t="s">
        <v>6181</v>
      </c>
      <c r="C675" s="13" t="s">
        <v>5536</v>
      </c>
      <c r="D675" s="14">
        <v>39.68</v>
      </c>
      <c r="E675" s="14">
        <v>55.55</v>
      </c>
      <c r="F675" s="14">
        <v>12.0</v>
      </c>
    </row>
    <row r="676">
      <c r="A676" s="6"/>
      <c r="B676" s="7"/>
      <c r="C676" s="7"/>
      <c r="D676" s="7"/>
      <c r="E676" s="8"/>
      <c r="F676" s="16" t="s">
        <v>6182</v>
      </c>
    </row>
    <row r="677">
      <c r="A677" s="6"/>
      <c r="B677" s="7"/>
      <c r="C677" s="7"/>
      <c r="D677" s="7"/>
      <c r="E677" s="7"/>
      <c r="F677" s="8"/>
    </row>
    <row r="678">
      <c r="A678" s="6"/>
      <c r="B678" s="7"/>
      <c r="C678" s="7"/>
      <c r="D678" s="7"/>
      <c r="E678" s="7"/>
      <c r="F678" s="8"/>
    </row>
    <row r="679">
      <c r="A679" s="6"/>
      <c r="B679" s="7"/>
      <c r="C679" s="7"/>
      <c r="D679" s="7"/>
      <c r="E679" s="7"/>
      <c r="F679" s="8"/>
    </row>
    <row r="680">
      <c r="A680" s="6"/>
      <c r="B680" s="7"/>
      <c r="C680" s="7"/>
      <c r="D680" s="7"/>
      <c r="E680" s="7"/>
      <c r="F680" s="8"/>
    </row>
    <row r="681">
      <c r="A681" s="9" t="s">
        <v>5582</v>
      </c>
      <c r="B681" s="10"/>
      <c r="C681" s="10"/>
      <c r="D681" s="10"/>
      <c r="E681" s="10"/>
      <c r="F681" s="10"/>
    </row>
    <row r="682">
      <c r="A682" s="19" t="s">
        <v>5583</v>
      </c>
    </row>
    <row r="683">
      <c r="A683" s="6"/>
      <c r="B683" s="7"/>
      <c r="C683" s="7"/>
      <c r="D683" s="8"/>
      <c r="E683" s="12" t="s">
        <v>5584</v>
      </c>
      <c r="F683" s="12" t="s">
        <v>6183</v>
      </c>
    </row>
    <row r="684">
      <c r="A684" s="20" t="s">
        <v>5522</v>
      </c>
      <c r="B684" s="16" t="s">
        <v>5523</v>
      </c>
      <c r="C684" s="16" t="s">
        <v>5524</v>
      </c>
      <c r="D684" s="16" t="s">
        <v>5525</v>
      </c>
      <c r="E684" s="16" t="s">
        <v>5526</v>
      </c>
      <c r="F684" s="16" t="s">
        <v>5586</v>
      </c>
    </row>
    <row r="685">
      <c r="A685" s="15">
        <v>2.0</v>
      </c>
      <c r="B685" s="16" t="s">
        <v>6184</v>
      </c>
      <c r="C685" s="17" t="s">
        <v>5833</v>
      </c>
      <c r="D685" s="18">
        <v>13.14</v>
      </c>
      <c r="E685" s="18">
        <v>18.39</v>
      </c>
      <c r="F685" s="18">
        <v>12.0</v>
      </c>
    </row>
    <row r="686">
      <c r="A686" s="15">
        <v>3.0</v>
      </c>
      <c r="B686" s="16" t="s">
        <v>6185</v>
      </c>
      <c r="C686" s="17" t="s">
        <v>6186</v>
      </c>
      <c r="D686" s="18">
        <v>42.5</v>
      </c>
      <c r="E686" s="18">
        <v>59.5</v>
      </c>
      <c r="F686" s="18">
        <v>12.0</v>
      </c>
    </row>
    <row r="687">
      <c r="A687" s="15">
        <v>4.0</v>
      </c>
      <c r="B687" s="16" t="s">
        <v>6187</v>
      </c>
      <c r="C687" s="17" t="s">
        <v>5536</v>
      </c>
      <c r="D687" s="18">
        <v>20.01</v>
      </c>
      <c r="E687" s="18">
        <v>28.01</v>
      </c>
      <c r="F687" s="18">
        <v>12.0</v>
      </c>
    </row>
    <row r="688">
      <c r="A688" s="15">
        <v>5.0</v>
      </c>
      <c r="B688" s="16" t="s">
        <v>539</v>
      </c>
      <c r="C688" s="16" t="s">
        <v>5558</v>
      </c>
      <c r="D688" s="18">
        <v>40.71</v>
      </c>
      <c r="E688" s="18">
        <v>57.0</v>
      </c>
      <c r="F688" s="18">
        <v>12.0</v>
      </c>
    </row>
    <row r="689">
      <c r="A689" s="15">
        <v>6.0</v>
      </c>
      <c r="B689" s="16" t="s">
        <v>6188</v>
      </c>
      <c r="C689" s="17" t="s">
        <v>5636</v>
      </c>
      <c r="D689" s="18">
        <v>35.71</v>
      </c>
      <c r="E689" s="18">
        <v>50.0</v>
      </c>
      <c r="F689" s="18">
        <v>12.0</v>
      </c>
    </row>
    <row r="690">
      <c r="A690" s="15">
        <v>7.0</v>
      </c>
      <c r="B690" s="16" t="s">
        <v>6189</v>
      </c>
      <c r="C690" s="17" t="s">
        <v>6190</v>
      </c>
      <c r="D690" s="18">
        <v>32.5</v>
      </c>
      <c r="E690" s="18">
        <v>45.5</v>
      </c>
      <c r="F690" s="18">
        <v>12.0</v>
      </c>
    </row>
    <row r="691">
      <c r="A691" s="15">
        <v>8.0</v>
      </c>
      <c r="B691" s="16" t="s">
        <v>6189</v>
      </c>
      <c r="C691" s="17" t="s">
        <v>6191</v>
      </c>
      <c r="D691" s="18">
        <v>61.78</v>
      </c>
      <c r="E691" s="18">
        <v>86.5</v>
      </c>
      <c r="F691" s="18">
        <v>12.0</v>
      </c>
    </row>
    <row r="692">
      <c r="A692" s="15">
        <v>9.0</v>
      </c>
      <c r="B692" s="16" t="s">
        <v>6192</v>
      </c>
      <c r="C692" s="17" t="s">
        <v>5530</v>
      </c>
      <c r="D692" s="18">
        <v>42.14</v>
      </c>
      <c r="E692" s="18">
        <v>59.0</v>
      </c>
      <c r="F692" s="18">
        <v>12.0</v>
      </c>
    </row>
    <row r="693">
      <c r="A693" s="15">
        <v>10.0</v>
      </c>
      <c r="B693" s="16" t="s">
        <v>6193</v>
      </c>
      <c r="C693" s="17" t="s">
        <v>5830</v>
      </c>
      <c r="D693" s="18">
        <v>49.82</v>
      </c>
      <c r="E693" s="18">
        <v>69.75</v>
      </c>
      <c r="F693" s="18">
        <v>12.0</v>
      </c>
    </row>
    <row r="694">
      <c r="A694" s="15">
        <v>11.0</v>
      </c>
      <c r="B694" s="16" t="s">
        <v>6193</v>
      </c>
      <c r="C694" s="17" t="s">
        <v>5831</v>
      </c>
      <c r="D694" s="18">
        <v>78.57</v>
      </c>
      <c r="E694" s="18">
        <v>110.0</v>
      </c>
      <c r="F694" s="18">
        <v>12.0</v>
      </c>
    </row>
    <row r="695">
      <c r="A695" s="15">
        <v>12.0</v>
      </c>
      <c r="B695" s="16" t="s">
        <v>6194</v>
      </c>
      <c r="C695" s="17" t="s">
        <v>6195</v>
      </c>
      <c r="D695" s="18">
        <v>24.78</v>
      </c>
      <c r="E695" s="18">
        <v>34.69</v>
      </c>
      <c r="F695" s="18">
        <v>12.0</v>
      </c>
    </row>
    <row r="696">
      <c r="A696" s="15">
        <v>13.0</v>
      </c>
      <c r="B696" s="16" t="s">
        <v>6196</v>
      </c>
      <c r="C696" s="17" t="s">
        <v>6197</v>
      </c>
      <c r="D696" s="18">
        <v>11.28</v>
      </c>
      <c r="E696" s="18">
        <v>15.79</v>
      </c>
      <c r="F696" s="18">
        <v>12.0</v>
      </c>
    </row>
    <row r="697">
      <c r="A697" s="15">
        <v>14.0</v>
      </c>
      <c r="B697" s="16" t="s">
        <v>6196</v>
      </c>
      <c r="C697" s="17" t="s">
        <v>5536</v>
      </c>
      <c r="D697" s="18">
        <v>7.74</v>
      </c>
      <c r="E697" s="18">
        <v>10.84</v>
      </c>
      <c r="F697" s="18">
        <v>12.0</v>
      </c>
    </row>
    <row r="698">
      <c r="A698" s="15">
        <v>15.0</v>
      </c>
      <c r="B698" s="16" t="s">
        <v>6198</v>
      </c>
      <c r="C698" s="17" t="s">
        <v>5636</v>
      </c>
      <c r="D698" s="18">
        <v>43.54</v>
      </c>
      <c r="E698" s="18">
        <v>60.95</v>
      </c>
      <c r="F698" s="18">
        <v>12.0</v>
      </c>
    </row>
    <row r="699">
      <c r="A699" s="15">
        <v>16.0</v>
      </c>
      <c r="B699" s="16" t="s">
        <v>6199</v>
      </c>
      <c r="C699" s="17" t="s">
        <v>5636</v>
      </c>
      <c r="D699" s="18">
        <v>46.43</v>
      </c>
      <c r="E699" s="18">
        <v>65.0</v>
      </c>
      <c r="F699" s="18">
        <v>12.0</v>
      </c>
    </row>
    <row r="700">
      <c r="A700" s="15">
        <v>17.0</v>
      </c>
      <c r="B700" s="16" t="s">
        <v>6200</v>
      </c>
      <c r="C700" s="17" t="s">
        <v>5536</v>
      </c>
      <c r="D700" s="18">
        <v>27.09</v>
      </c>
      <c r="E700" s="18">
        <v>37.92</v>
      </c>
      <c r="F700" s="18">
        <v>12.0</v>
      </c>
    </row>
    <row r="701">
      <c r="A701" s="15">
        <v>18.0</v>
      </c>
      <c r="B701" s="16" t="s">
        <v>6201</v>
      </c>
      <c r="C701" s="17" t="s">
        <v>6202</v>
      </c>
      <c r="D701" s="18">
        <v>31.12</v>
      </c>
      <c r="E701" s="18">
        <v>41.5</v>
      </c>
      <c r="F701" s="18">
        <v>12.0</v>
      </c>
    </row>
    <row r="702">
      <c r="A702" s="15">
        <v>19.0</v>
      </c>
      <c r="B702" s="16" t="s">
        <v>6203</v>
      </c>
      <c r="C702" s="17" t="s">
        <v>5948</v>
      </c>
      <c r="D702" s="18">
        <v>37.86</v>
      </c>
      <c r="E702" s="18">
        <v>53.0</v>
      </c>
      <c r="F702" s="18">
        <v>12.0</v>
      </c>
    </row>
    <row r="703">
      <c r="A703" s="15">
        <v>20.0</v>
      </c>
      <c r="B703" s="16" t="s">
        <v>6204</v>
      </c>
      <c r="C703" s="17" t="s">
        <v>6205</v>
      </c>
      <c r="D703" s="18">
        <v>3.09</v>
      </c>
      <c r="E703" s="18">
        <v>4.12</v>
      </c>
      <c r="F703" s="18">
        <v>12.0</v>
      </c>
    </row>
    <row r="704">
      <c r="A704" s="15">
        <v>21.0</v>
      </c>
      <c r="B704" s="16" t="s">
        <v>6206</v>
      </c>
      <c r="C704" s="17" t="s">
        <v>6207</v>
      </c>
      <c r="D704" s="18">
        <v>309.93</v>
      </c>
      <c r="E704" s="18">
        <v>387.41</v>
      </c>
      <c r="F704" s="18">
        <v>5.0</v>
      </c>
    </row>
    <row r="705">
      <c r="A705" s="15">
        <v>22.0</v>
      </c>
      <c r="B705" s="16" t="s">
        <v>6208</v>
      </c>
      <c r="C705" s="17" t="s">
        <v>6209</v>
      </c>
      <c r="D705" s="18">
        <v>464.89</v>
      </c>
      <c r="E705" s="18">
        <v>581.11</v>
      </c>
      <c r="F705" s="18">
        <v>5.0</v>
      </c>
    </row>
    <row r="706">
      <c r="A706" s="15">
        <v>23.0</v>
      </c>
      <c r="B706" s="16" t="s">
        <v>6210</v>
      </c>
      <c r="C706" s="17" t="s">
        <v>5677</v>
      </c>
      <c r="D706" s="18">
        <v>117.14</v>
      </c>
      <c r="E706" s="18">
        <v>164.0</v>
      </c>
      <c r="F706" s="18">
        <v>12.0</v>
      </c>
    </row>
    <row r="707">
      <c r="A707" s="15">
        <v>24.0</v>
      </c>
      <c r="B707" s="16" t="s">
        <v>558</v>
      </c>
      <c r="C707" s="16" t="s">
        <v>5558</v>
      </c>
      <c r="D707" s="18">
        <v>53.57</v>
      </c>
      <c r="E707" s="18">
        <v>75.0</v>
      </c>
      <c r="F707" s="18">
        <v>12.0</v>
      </c>
    </row>
    <row r="708">
      <c r="A708" s="15">
        <v>25.0</v>
      </c>
      <c r="B708" s="16" t="s">
        <v>6211</v>
      </c>
      <c r="C708" s="17" t="s">
        <v>6212</v>
      </c>
      <c r="D708" s="18">
        <v>594.29</v>
      </c>
      <c r="E708" s="18">
        <v>780.0</v>
      </c>
      <c r="F708" s="18">
        <v>5.0</v>
      </c>
    </row>
    <row r="709">
      <c r="A709" s="15">
        <v>26.0</v>
      </c>
      <c r="B709" s="16" t="s">
        <v>6213</v>
      </c>
      <c r="C709" s="17" t="s">
        <v>5677</v>
      </c>
      <c r="D709" s="18">
        <v>96.97</v>
      </c>
      <c r="E709" s="18">
        <v>135.75</v>
      </c>
      <c r="F709" s="18">
        <v>12.0</v>
      </c>
    </row>
    <row r="710">
      <c r="A710" s="15">
        <v>27.0</v>
      </c>
      <c r="B710" s="16" t="s">
        <v>6213</v>
      </c>
      <c r="C710" s="17" t="s">
        <v>6214</v>
      </c>
      <c r="D710" s="18">
        <v>107.0</v>
      </c>
      <c r="E710" s="18">
        <v>149.8</v>
      </c>
      <c r="F710" s="18">
        <v>12.0</v>
      </c>
    </row>
    <row r="711">
      <c r="A711" s="15">
        <v>28.0</v>
      </c>
      <c r="B711" s="16" t="s">
        <v>6215</v>
      </c>
      <c r="C711" s="17" t="s">
        <v>5636</v>
      </c>
      <c r="D711" s="18">
        <v>4.95</v>
      </c>
      <c r="E711" s="18">
        <v>6.6</v>
      </c>
      <c r="F711" s="18">
        <v>12.0</v>
      </c>
    </row>
    <row r="712">
      <c r="A712" s="15">
        <v>29.0</v>
      </c>
      <c r="B712" s="16" t="s">
        <v>6216</v>
      </c>
      <c r="C712" s="17" t="s">
        <v>5636</v>
      </c>
      <c r="D712" s="18">
        <v>4.87</v>
      </c>
      <c r="E712" s="18">
        <v>6.5</v>
      </c>
      <c r="F712" s="18">
        <v>12.0</v>
      </c>
    </row>
    <row r="713">
      <c r="A713" s="15">
        <v>30.0</v>
      </c>
      <c r="B713" s="16" t="s">
        <v>6217</v>
      </c>
      <c r="C713" s="17" t="s">
        <v>5536</v>
      </c>
      <c r="D713" s="18">
        <v>25.16</v>
      </c>
      <c r="E713" s="18">
        <v>35.22</v>
      </c>
      <c r="F713" s="18">
        <v>12.0</v>
      </c>
    </row>
    <row r="714">
      <c r="A714" s="15">
        <v>31.0</v>
      </c>
      <c r="B714" s="16" t="s">
        <v>6218</v>
      </c>
      <c r="C714" s="17" t="s">
        <v>5536</v>
      </c>
      <c r="D714" s="18">
        <v>42.74</v>
      </c>
      <c r="E714" s="18">
        <v>59.83</v>
      </c>
      <c r="F714" s="18">
        <v>12.0</v>
      </c>
    </row>
    <row r="715">
      <c r="A715" s="15">
        <v>32.0</v>
      </c>
      <c r="B715" s="16" t="s">
        <v>6219</v>
      </c>
      <c r="C715" s="17" t="s">
        <v>6220</v>
      </c>
      <c r="D715" s="18">
        <v>39.29</v>
      </c>
      <c r="E715" s="18">
        <v>55.0</v>
      </c>
      <c r="F715" s="18">
        <v>12.0</v>
      </c>
    </row>
    <row r="716">
      <c r="A716" s="15">
        <v>33.0</v>
      </c>
      <c r="B716" s="16" t="s">
        <v>6219</v>
      </c>
      <c r="C716" s="17" t="s">
        <v>6221</v>
      </c>
      <c r="D716" s="18">
        <v>57.14</v>
      </c>
      <c r="E716" s="18">
        <v>80.0</v>
      </c>
      <c r="F716" s="18">
        <v>12.0</v>
      </c>
    </row>
    <row r="717">
      <c r="A717" s="15">
        <v>34.0</v>
      </c>
      <c r="B717" s="16" t="s">
        <v>6219</v>
      </c>
      <c r="C717" s="17" t="s">
        <v>6222</v>
      </c>
      <c r="D717" s="18">
        <v>43.57</v>
      </c>
      <c r="E717" s="18">
        <v>61.0</v>
      </c>
      <c r="F717" s="18">
        <v>12.0</v>
      </c>
    </row>
    <row r="718">
      <c r="A718" s="15">
        <v>35.0</v>
      </c>
      <c r="B718" s="16" t="s">
        <v>6219</v>
      </c>
      <c r="C718" s="17" t="s">
        <v>6223</v>
      </c>
      <c r="D718" s="18">
        <v>60.71</v>
      </c>
      <c r="E718" s="18">
        <v>85.0</v>
      </c>
      <c r="F718" s="18">
        <v>12.0</v>
      </c>
    </row>
    <row r="719">
      <c r="A719" s="15">
        <v>36.0</v>
      </c>
      <c r="B719" s="16" t="s">
        <v>6224</v>
      </c>
      <c r="C719" s="17" t="s">
        <v>6225</v>
      </c>
      <c r="D719" s="18">
        <v>92.86</v>
      </c>
      <c r="E719" s="18">
        <v>130.0</v>
      </c>
      <c r="F719" s="18">
        <v>12.0</v>
      </c>
    </row>
    <row r="720">
      <c r="A720" s="15">
        <v>37.0</v>
      </c>
      <c r="B720" s="16" t="s">
        <v>6224</v>
      </c>
      <c r="C720" s="17" t="s">
        <v>6226</v>
      </c>
      <c r="D720" s="18">
        <v>85.71</v>
      </c>
      <c r="E720" s="18">
        <v>120.0</v>
      </c>
      <c r="F720" s="18">
        <v>12.0</v>
      </c>
    </row>
    <row r="721">
      <c r="A721" s="15">
        <v>38.0</v>
      </c>
      <c r="B721" s="16" t="s">
        <v>6227</v>
      </c>
      <c r="C721" s="17" t="s">
        <v>5536</v>
      </c>
      <c r="D721" s="18">
        <v>53.57</v>
      </c>
      <c r="E721" s="18">
        <v>70.0</v>
      </c>
      <c r="F721" s="18">
        <v>12.0</v>
      </c>
    </row>
    <row r="722">
      <c r="A722" s="15">
        <v>39.0</v>
      </c>
      <c r="B722" s="16" t="s">
        <v>6228</v>
      </c>
      <c r="C722" s="17" t="s">
        <v>5536</v>
      </c>
      <c r="D722" s="18">
        <v>63.57</v>
      </c>
      <c r="E722" s="18">
        <v>89.0</v>
      </c>
      <c r="F722" s="18">
        <v>12.0</v>
      </c>
    </row>
    <row r="723">
      <c r="A723" s="15">
        <v>40.0</v>
      </c>
      <c r="B723" s="16" t="s">
        <v>574</v>
      </c>
      <c r="C723" s="16" t="s">
        <v>5558</v>
      </c>
      <c r="D723" s="18">
        <v>50.96</v>
      </c>
      <c r="E723" s="18">
        <v>70.0</v>
      </c>
      <c r="F723" s="18">
        <v>12.0</v>
      </c>
    </row>
    <row r="724">
      <c r="A724" s="15">
        <v>41.0</v>
      </c>
      <c r="B724" s="16" t="s">
        <v>574</v>
      </c>
      <c r="C724" s="17" t="s">
        <v>5636</v>
      </c>
      <c r="D724" s="18">
        <v>50.96</v>
      </c>
      <c r="E724" s="18">
        <v>70.0</v>
      </c>
      <c r="F724" s="18">
        <v>12.0</v>
      </c>
    </row>
    <row r="725">
      <c r="A725" s="15">
        <v>42.0</v>
      </c>
      <c r="B725" s="16" t="s">
        <v>6229</v>
      </c>
      <c r="C725" s="17" t="s">
        <v>5562</v>
      </c>
      <c r="D725" s="18">
        <v>63.57</v>
      </c>
      <c r="E725" s="18">
        <v>89.0</v>
      </c>
      <c r="F725" s="18">
        <v>12.0</v>
      </c>
    </row>
    <row r="726">
      <c r="A726" s="15">
        <v>43.0</v>
      </c>
      <c r="B726" s="16" t="s">
        <v>6229</v>
      </c>
      <c r="C726" s="17" t="s">
        <v>6230</v>
      </c>
      <c r="D726" s="18">
        <v>21.78</v>
      </c>
      <c r="E726" s="18">
        <v>30.5</v>
      </c>
      <c r="F726" s="18">
        <v>12.0</v>
      </c>
    </row>
    <row r="727">
      <c r="A727" s="15">
        <v>44.0</v>
      </c>
      <c r="B727" s="16" t="s">
        <v>6229</v>
      </c>
      <c r="C727" s="17" t="s">
        <v>6231</v>
      </c>
      <c r="D727" s="18">
        <v>22.86</v>
      </c>
      <c r="E727" s="18">
        <v>32.0</v>
      </c>
      <c r="F727" s="18">
        <v>12.0</v>
      </c>
    </row>
    <row r="728">
      <c r="A728" s="15">
        <v>45.0</v>
      </c>
      <c r="B728" s="16" t="s">
        <v>6229</v>
      </c>
      <c r="C728" s="17" t="s">
        <v>6232</v>
      </c>
      <c r="D728" s="18">
        <v>70.0</v>
      </c>
      <c r="E728" s="18">
        <v>98.0</v>
      </c>
      <c r="F728" s="18">
        <v>12.0</v>
      </c>
    </row>
    <row r="729">
      <c r="A729" s="15">
        <v>46.0</v>
      </c>
      <c r="B729" s="16" t="s">
        <v>6229</v>
      </c>
      <c r="C729" s="17" t="s">
        <v>6233</v>
      </c>
      <c r="D729" s="18">
        <v>99.29</v>
      </c>
      <c r="E729" s="18">
        <v>139.0</v>
      </c>
      <c r="F729" s="18">
        <v>12.0</v>
      </c>
    </row>
    <row r="730">
      <c r="A730" s="15">
        <v>47.0</v>
      </c>
      <c r="B730" s="16" t="s">
        <v>6229</v>
      </c>
      <c r="C730" s="17" t="s">
        <v>6234</v>
      </c>
      <c r="D730" s="18">
        <v>84.29</v>
      </c>
      <c r="E730" s="18">
        <v>118.0</v>
      </c>
      <c r="F730" s="18">
        <v>12.0</v>
      </c>
    </row>
    <row r="731">
      <c r="A731" s="15">
        <v>48.0</v>
      </c>
      <c r="B731" s="16" t="s">
        <v>6229</v>
      </c>
      <c r="C731" s="17" t="s">
        <v>6235</v>
      </c>
      <c r="D731" s="18">
        <v>85.71</v>
      </c>
      <c r="E731" s="18">
        <v>120.0</v>
      </c>
      <c r="F731" s="18">
        <v>12.0</v>
      </c>
    </row>
    <row r="732">
      <c r="A732" s="15">
        <v>49.0</v>
      </c>
      <c r="B732" s="16" t="s">
        <v>6236</v>
      </c>
      <c r="C732" s="17" t="s">
        <v>5598</v>
      </c>
      <c r="D732" s="18">
        <v>63.57</v>
      </c>
      <c r="E732" s="18">
        <v>89.0</v>
      </c>
      <c r="F732" s="18">
        <v>12.0</v>
      </c>
    </row>
    <row r="733">
      <c r="A733" s="15">
        <v>50.0</v>
      </c>
      <c r="B733" s="16" t="s">
        <v>6237</v>
      </c>
      <c r="C733" s="17" t="s">
        <v>5598</v>
      </c>
      <c r="D733" s="18">
        <v>101.64</v>
      </c>
      <c r="E733" s="18">
        <v>142.3</v>
      </c>
      <c r="F733" s="18">
        <v>12.0</v>
      </c>
    </row>
    <row r="734">
      <c r="A734" s="15">
        <v>51.0</v>
      </c>
      <c r="B734" s="16" t="s">
        <v>6238</v>
      </c>
      <c r="C734" s="17" t="s">
        <v>6239</v>
      </c>
      <c r="D734" s="18">
        <v>38.29</v>
      </c>
      <c r="E734" s="18">
        <v>53.6</v>
      </c>
      <c r="F734" s="18">
        <v>12.0</v>
      </c>
    </row>
    <row r="735">
      <c r="A735" s="15">
        <v>52.0</v>
      </c>
      <c r="B735" s="16" t="s">
        <v>6238</v>
      </c>
      <c r="C735" s="17" t="s">
        <v>6240</v>
      </c>
      <c r="D735" s="18">
        <v>53.57</v>
      </c>
      <c r="E735" s="18">
        <v>75.0</v>
      </c>
      <c r="F735" s="18">
        <v>12.0</v>
      </c>
    </row>
    <row r="736">
      <c r="A736" s="15">
        <v>53.0</v>
      </c>
      <c r="B736" s="16" t="s">
        <v>6241</v>
      </c>
      <c r="C736" s="17" t="s">
        <v>5788</v>
      </c>
      <c r="D736" s="18">
        <v>11.14</v>
      </c>
      <c r="E736" s="18">
        <v>14.85</v>
      </c>
      <c r="F736" s="18">
        <v>12.0</v>
      </c>
    </row>
    <row r="737">
      <c r="A737" s="15">
        <v>54.0</v>
      </c>
      <c r="B737" s="16" t="s">
        <v>6241</v>
      </c>
      <c r="C737" s="17" t="s">
        <v>5636</v>
      </c>
      <c r="D737" s="18">
        <v>3.63</v>
      </c>
      <c r="E737" s="18">
        <v>4.75</v>
      </c>
      <c r="F737" s="18">
        <v>12.0</v>
      </c>
    </row>
    <row r="738">
      <c r="A738" s="15">
        <v>55.0</v>
      </c>
      <c r="B738" s="16" t="s">
        <v>6242</v>
      </c>
      <c r="C738" s="17" t="s">
        <v>5530</v>
      </c>
      <c r="D738" s="18">
        <v>27.42</v>
      </c>
      <c r="E738" s="18">
        <v>38.38</v>
      </c>
      <c r="F738" s="18">
        <v>12.0</v>
      </c>
    </row>
    <row r="739">
      <c r="A739" s="15">
        <v>56.0</v>
      </c>
      <c r="B739" s="16" t="s">
        <v>6242</v>
      </c>
      <c r="C739" s="17" t="s">
        <v>5531</v>
      </c>
      <c r="D739" s="18">
        <v>43.29</v>
      </c>
      <c r="E739" s="18">
        <v>60.6</v>
      </c>
      <c r="F739" s="18">
        <v>12.0</v>
      </c>
    </row>
    <row r="740">
      <c r="A740" s="15">
        <v>57.0</v>
      </c>
      <c r="B740" s="16" t="s">
        <v>6243</v>
      </c>
      <c r="C740" s="17" t="s">
        <v>5636</v>
      </c>
      <c r="D740" s="18">
        <v>40.64</v>
      </c>
      <c r="E740" s="18">
        <v>56.9</v>
      </c>
      <c r="F740" s="18">
        <v>12.0</v>
      </c>
    </row>
    <row r="741">
      <c r="A741" s="15">
        <v>58.0</v>
      </c>
      <c r="B741" s="16" t="s">
        <v>6244</v>
      </c>
      <c r="C741" s="17" t="s">
        <v>5636</v>
      </c>
      <c r="D741" s="18">
        <v>58.57</v>
      </c>
      <c r="E741" s="18">
        <v>82.0</v>
      </c>
      <c r="F741" s="18">
        <v>12.0</v>
      </c>
    </row>
    <row r="742">
      <c r="A742" s="15">
        <v>59.0</v>
      </c>
      <c r="B742" s="16" t="s">
        <v>593</v>
      </c>
      <c r="C742" s="16" t="s">
        <v>5558</v>
      </c>
      <c r="D742" s="18">
        <v>70.0</v>
      </c>
      <c r="E742" s="18">
        <v>98.0</v>
      </c>
      <c r="F742" s="18">
        <v>12.0</v>
      </c>
    </row>
    <row r="743">
      <c r="A743" s="15">
        <v>60.0</v>
      </c>
      <c r="B743" s="16" t="s">
        <v>594</v>
      </c>
      <c r="C743" s="16" t="s">
        <v>5558</v>
      </c>
      <c r="D743" s="18">
        <v>60.0</v>
      </c>
      <c r="E743" s="18">
        <v>84.0</v>
      </c>
      <c r="F743" s="18">
        <v>12.0</v>
      </c>
    </row>
    <row r="744">
      <c r="A744" s="15">
        <v>61.0</v>
      </c>
      <c r="B744" s="16" t="s">
        <v>6245</v>
      </c>
      <c r="C744" s="17" t="s">
        <v>5536</v>
      </c>
      <c r="D744" s="18">
        <v>60.0</v>
      </c>
      <c r="E744" s="18">
        <v>84.0</v>
      </c>
      <c r="F744" s="18">
        <v>12.0</v>
      </c>
    </row>
    <row r="745">
      <c r="A745" s="15">
        <v>62.0</v>
      </c>
      <c r="B745" s="16" t="s">
        <v>6246</v>
      </c>
      <c r="C745" s="17" t="s">
        <v>6247</v>
      </c>
      <c r="D745" s="18">
        <v>51.72</v>
      </c>
      <c r="E745" s="18">
        <v>71.0</v>
      </c>
      <c r="F745" s="18">
        <v>12.0</v>
      </c>
    </row>
    <row r="746">
      <c r="A746" s="6"/>
      <c r="B746" s="7"/>
      <c r="C746" s="7"/>
      <c r="D746" s="7"/>
      <c r="E746" s="8"/>
      <c r="F746" s="16" t="s">
        <v>6248</v>
      </c>
    </row>
    <row r="747">
      <c r="A747" s="6"/>
      <c r="B747" s="7"/>
      <c r="C747" s="7"/>
      <c r="D747" s="7"/>
      <c r="E747" s="7"/>
      <c r="F747" s="8"/>
    </row>
    <row r="748">
      <c r="A748" s="6"/>
      <c r="B748" s="7"/>
      <c r="C748" s="7"/>
      <c r="D748" s="7"/>
      <c r="E748" s="7"/>
      <c r="F748" s="8"/>
    </row>
    <row r="749">
      <c r="A749" s="6"/>
      <c r="B749" s="7"/>
      <c r="C749" s="7"/>
      <c r="D749" s="7"/>
      <c r="E749" s="7"/>
      <c r="F749" s="8"/>
    </row>
    <row r="750">
      <c r="A750" s="6"/>
      <c r="B750" s="7"/>
      <c r="C750" s="7"/>
      <c r="D750" s="7"/>
      <c r="E750" s="7"/>
      <c r="F750" s="8"/>
    </row>
    <row r="751">
      <c r="A751" s="9" t="s">
        <v>5582</v>
      </c>
      <c r="B751" s="10"/>
      <c r="C751" s="10"/>
      <c r="D751" s="10"/>
      <c r="E751" s="10"/>
      <c r="F751" s="10"/>
    </row>
    <row r="752">
      <c r="A752" s="19" t="s">
        <v>5583</v>
      </c>
    </row>
    <row r="753">
      <c r="A753" s="6"/>
      <c r="B753" s="7"/>
      <c r="C753" s="7"/>
      <c r="D753" s="8"/>
      <c r="E753" s="12" t="s">
        <v>5584</v>
      </c>
      <c r="F753" s="12" t="s">
        <v>6249</v>
      </c>
    </row>
    <row r="754">
      <c r="A754" s="20" t="s">
        <v>5522</v>
      </c>
      <c r="B754" s="16" t="s">
        <v>5523</v>
      </c>
      <c r="C754" s="16" t="s">
        <v>5524</v>
      </c>
      <c r="D754" s="16" t="s">
        <v>5525</v>
      </c>
      <c r="E754" s="16" t="s">
        <v>5526</v>
      </c>
      <c r="F754" s="16" t="s">
        <v>5586</v>
      </c>
    </row>
    <row r="755">
      <c r="A755" s="15">
        <v>63.0</v>
      </c>
      <c r="B755" s="16" t="s">
        <v>6250</v>
      </c>
      <c r="C755" s="17" t="s">
        <v>6251</v>
      </c>
      <c r="D755" s="18">
        <v>34.27</v>
      </c>
      <c r="E755" s="18">
        <v>45.7</v>
      </c>
      <c r="F755" s="18">
        <v>12.0</v>
      </c>
    </row>
    <row r="756">
      <c r="A756" s="15">
        <v>64.0</v>
      </c>
      <c r="B756" s="16" t="s">
        <v>6252</v>
      </c>
      <c r="C756" s="17" t="s">
        <v>6253</v>
      </c>
      <c r="D756" s="18">
        <v>152.46</v>
      </c>
      <c r="E756" s="18">
        <v>213.45</v>
      </c>
      <c r="F756" s="18">
        <v>12.0</v>
      </c>
    </row>
    <row r="757">
      <c r="A757" s="15">
        <v>65.0</v>
      </c>
      <c r="B757" s="16" t="s">
        <v>6254</v>
      </c>
      <c r="C757" s="17" t="s">
        <v>6255</v>
      </c>
      <c r="D757" s="18">
        <v>50.9</v>
      </c>
      <c r="E757" s="18">
        <v>67.87</v>
      </c>
      <c r="F757" s="18">
        <v>12.0</v>
      </c>
    </row>
    <row r="758">
      <c r="A758" s="15">
        <v>66.0</v>
      </c>
      <c r="B758" s="16" t="s">
        <v>6256</v>
      </c>
      <c r="C758" s="16" t="s">
        <v>6106</v>
      </c>
      <c r="D758" s="18">
        <v>78.92</v>
      </c>
      <c r="E758" s="18">
        <v>108.36</v>
      </c>
      <c r="F758" s="18">
        <v>12.0</v>
      </c>
    </row>
    <row r="759">
      <c r="A759" s="15">
        <v>67.0</v>
      </c>
      <c r="B759" s="16" t="s">
        <v>6257</v>
      </c>
      <c r="C759" s="17" t="s">
        <v>5614</v>
      </c>
      <c r="D759" s="18">
        <v>87.14</v>
      </c>
      <c r="E759" s="18">
        <v>122.0</v>
      </c>
      <c r="F759" s="18">
        <v>12.0</v>
      </c>
    </row>
    <row r="760">
      <c r="A760" s="15">
        <v>68.0</v>
      </c>
      <c r="B760" s="16" t="s">
        <v>6258</v>
      </c>
      <c r="C760" s="17" t="s">
        <v>5833</v>
      </c>
      <c r="D760" s="18">
        <v>22.14</v>
      </c>
      <c r="E760" s="18">
        <v>31.0</v>
      </c>
      <c r="F760" s="18">
        <v>12.0</v>
      </c>
    </row>
    <row r="761">
      <c r="A761" s="15">
        <v>69.0</v>
      </c>
      <c r="B761" s="16" t="s">
        <v>6258</v>
      </c>
      <c r="C761" s="17" t="s">
        <v>5655</v>
      </c>
      <c r="D761" s="18">
        <v>32.86</v>
      </c>
      <c r="E761" s="18">
        <v>46.0</v>
      </c>
      <c r="F761" s="18">
        <v>12.0</v>
      </c>
    </row>
    <row r="762">
      <c r="A762" s="15">
        <v>70.0</v>
      </c>
      <c r="B762" s="16" t="s">
        <v>6258</v>
      </c>
      <c r="C762" s="17" t="s">
        <v>6259</v>
      </c>
      <c r="D762" s="18">
        <v>35.57</v>
      </c>
      <c r="E762" s="18">
        <v>49.8</v>
      </c>
      <c r="F762" s="18">
        <v>12.0</v>
      </c>
    </row>
    <row r="763">
      <c r="A763" s="15">
        <v>71.0</v>
      </c>
      <c r="B763" s="16" t="s">
        <v>6260</v>
      </c>
      <c r="C763" s="17" t="s">
        <v>5536</v>
      </c>
      <c r="D763" s="18">
        <v>27.86</v>
      </c>
      <c r="E763" s="18">
        <v>39.0</v>
      </c>
      <c r="F763" s="18">
        <v>12.0</v>
      </c>
    </row>
    <row r="764">
      <c r="A764" s="15">
        <v>72.0</v>
      </c>
      <c r="B764" s="16" t="s">
        <v>6261</v>
      </c>
      <c r="C764" s="17" t="s">
        <v>5636</v>
      </c>
      <c r="D764" s="18">
        <v>17.86</v>
      </c>
      <c r="E764" s="18">
        <v>25.0</v>
      </c>
      <c r="F764" s="18">
        <v>12.0</v>
      </c>
    </row>
    <row r="765">
      <c r="A765" s="15">
        <v>73.0</v>
      </c>
      <c r="B765" s="16" t="s">
        <v>6262</v>
      </c>
      <c r="C765" s="17" t="s">
        <v>6263</v>
      </c>
      <c r="D765" s="18">
        <v>28.57</v>
      </c>
      <c r="E765" s="18">
        <v>40.0</v>
      </c>
      <c r="F765" s="18">
        <v>12.0</v>
      </c>
    </row>
    <row r="766">
      <c r="A766" s="15">
        <v>74.0</v>
      </c>
      <c r="B766" s="16" t="s">
        <v>6262</v>
      </c>
      <c r="C766" s="17" t="s">
        <v>6264</v>
      </c>
      <c r="D766" s="18">
        <v>25.0</v>
      </c>
      <c r="E766" s="18">
        <v>35.0</v>
      </c>
      <c r="F766" s="18">
        <v>12.0</v>
      </c>
    </row>
    <row r="767">
      <c r="A767" s="15">
        <v>75.0</v>
      </c>
      <c r="B767" s="21"/>
      <c r="C767" s="17" t="s">
        <v>6265</v>
      </c>
      <c r="D767" s="18">
        <v>64.29</v>
      </c>
      <c r="E767" s="18">
        <v>90.0</v>
      </c>
      <c r="F767" s="18">
        <v>12.0</v>
      </c>
    </row>
    <row r="768">
      <c r="A768" s="15">
        <v>76.0</v>
      </c>
      <c r="B768" s="21"/>
      <c r="C768" s="17" t="s">
        <v>6266</v>
      </c>
      <c r="D768" s="18">
        <v>77.86</v>
      </c>
      <c r="E768" s="18">
        <v>109.0</v>
      </c>
      <c r="F768" s="18">
        <v>12.0</v>
      </c>
    </row>
    <row r="769">
      <c r="A769" s="15">
        <v>77.0</v>
      </c>
      <c r="B769" s="16" t="s">
        <v>6267</v>
      </c>
      <c r="C769" s="17" t="s">
        <v>5887</v>
      </c>
      <c r="D769" s="18">
        <v>75.0</v>
      </c>
      <c r="E769" s="18">
        <v>105.0</v>
      </c>
      <c r="F769" s="18">
        <v>12.0</v>
      </c>
    </row>
    <row r="770">
      <c r="A770" s="15">
        <v>78.0</v>
      </c>
      <c r="B770" s="16" t="s">
        <v>6267</v>
      </c>
      <c r="C770" s="17" t="s">
        <v>6118</v>
      </c>
      <c r="D770" s="18">
        <v>96.43</v>
      </c>
      <c r="E770" s="18">
        <v>135.0</v>
      </c>
      <c r="F770" s="18">
        <v>12.0</v>
      </c>
    </row>
    <row r="771">
      <c r="A771" s="15">
        <v>79.0</v>
      </c>
      <c r="B771" s="16" t="s">
        <v>6268</v>
      </c>
      <c r="C771" s="17" t="s">
        <v>5562</v>
      </c>
      <c r="D771" s="18">
        <v>62.01</v>
      </c>
      <c r="E771" s="18">
        <v>97.0</v>
      </c>
      <c r="F771" s="18">
        <v>18.0</v>
      </c>
    </row>
    <row r="772">
      <c r="A772" s="15">
        <v>80.0</v>
      </c>
      <c r="B772" s="16" t="s">
        <v>6269</v>
      </c>
      <c r="C772" s="17" t="s">
        <v>5536</v>
      </c>
      <c r="D772" s="18">
        <v>63.57</v>
      </c>
      <c r="E772" s="18">
        <v>89.0</v>
      </c>
      <c r="F772" s="18">
        <v>12.0</v>
      </c>
    </row>
    <row r="773">
      <c r="A773" s="15">
        <v>81.0</v>
      </c>
      <c r="B773" s="16" t="s">
        <v>6270</v>
      </c>
      <c r="C773" s="17" t="s">
        <v>5536</v>
      </c>
      <c r="D773" s="18">
        <v>120.71</v>
      </c>
      <c r="E773" s="18">
        <v>169.0</v>
      </c>
      <c r="F773" s="18">
        <v>12.0</v>
      </c>
    </row>
    <row r="774">
      <c r="A774" s="6"/>
      <c r="B774" s="7"/>
      <c r="C774" s="7"/>
      <c r="D774" s="7"/>
      <c r="E774" s="7"/>
      <c r="F774" s="8"/>
    </row>
    <row r="775">
      <c r="A775" s="9" t="s">
        <v>6271</v>
      </c>
      <c r="B775" s="10"/>
      <c r="C775" s="10"/>
      <c r="D775" s="10"/>
      <c r="E775" s="10"/>
      <c r="F775" s="10"/>
    </row>
    <row r="776">
      <c r="A776" s="11">
        <v>1.0</v>
      </c>
      <c r="B776" s="12" t="s">
        <v>6272</v>
      </c>
      <c r="C776" s="13" t="s">
        <v>6273</v>
      </c>
      <c r="D776" s="14">
        <v>76.43</v>
      </c>
      <c r="E776" s="14">
        <v>107.0</v>
      </c>
      <c r="F776" s="14">
        <v>12.0</v>
      </c>
    </row>
    <row r="777">
      <c r="A777" s="15">
        <v>2.0</v>
      </c>
      <c r="B777" s="16" t="s">
        <v>6274</v>
      </c>
      <c r="C777" s="17" t="s">
        <v>5802</v>
      </c>
      <c r="D777" s="18">
        <v>18.03</v>
      </c>
      <c r="E777" s="18">
        <v>25.25</v>
      </c>
      <c r="F777" s="18">
        <v>12.0</v>
      </c>
    </row>
    <row r="778">
      <c r="A778" s="15">
        <v>3.0</v>
      </c>
      <c r="B778" s="16" t="s">
        <v>6275</v>
      </c>
      <c r="C778" s="17" t="s">
        <v>6276</v>
      </c>
      <c r="D778" s="18">
        <v>67.57</v>
      </c>
      <c r="E778" s="18">
        <v>94.6</v>
      </c>
      <c r="F778" s="18">
        <v>12.0</v>
      </c>
    </row>
    <row r="779">
      <c r="A779" s="15">
        <v>4.0</v>
      </c>
      <c r="B779" s="16" t="s">
        <v>6277</v>
      </c>
      <c r="C779" s="17" t="s">
        <v>6278</v>
      </c>
      <c r="D779" s="18">
        <v>103.57</v>
      </c>
      <c r="E779" s="18">
        <v>145.0</v>
      </c>
      <c r="F779" s="18">
        <v>12.0</v>
      </c>
    </row>
    <row r="780">
      <c r="A780" s="15">
        <v>5.0</v>
      </c>
      <c r="B780" s="16" t="s">
        <v>6277</v>
      </c>
      <c r="C780" s="17" t="s">
        <v>6279</v>
      </c>
      <c r="D780" s="18">
        <v>94.29</v>
      </c>
      <c r="E780" s="18">
        <v>132.0</v>
      </c>
      <c r="F780" s="18">
        <v>12.0</v>
      </c>
    </row>
    <row r="781">
      <c r="A781" s="15">
        <v>6.0</v>
      </c>
      <c r="B781" s="16" t="s">
        <v>6277</v>
      </c>
      <c r="C781" s="17" t="s">
        <v>6280</v>
      </c>
      <c r="D781" s="18">
        <v>105.09</v>
      </c>
      <c r="E781" s="18">
        <v>155.0</v>
      </c>
      <c r="F781" s="18">
        <v>18.0</v>
      </c>
    </row>
    <row r="782">
      <c r="A782" s="15">
        <v>7.0</v>
      </c>
      <c r="B782" s="16" t="s">
        <v>6281</v>
      </c>
      <c r="C782" s="17" t="s">
        <v>6282</v>
      </c>
      <c r="D782" s="18">
        <v>74.29</v>
      </c>
      <c r="E782" s="18">
        <v>104.0</v>
      </c>
      <c r="F782" s="18">
        <v>12.0</v>
      </c>
    </row>
    <row r="783">
      <c r="A783" s="15">
        <v>8.0</v>
      </c>
      <c r="B783" s="16" t="s">
        <v>6283</v>
      </c>
      <c r="C783" s="17" t="s">
        <v>6284</v>
      </c>
      <c r="D783" s="18">
        <v>96.43</v>
      </c>
      <c r="E783" s="18">
        <v>135.0</v>
      </c>
      <c r="F783" s="18">
        <v>12.0</v>
      </c>
    </row>
    <row r="784">
      <c r="A784" s="15">
        <v>9.0</v>
      </c>
      <c r="B784" s="16" t="s">
        <v>6283</v>
      </c>
      <c r="C784" s="17" t="s">
        <v>5565</v>
      </c>
      <c r="D784" s="18">
        <v>54.68</v>
      </c>
      <c r="E784" s="18">
        <v>76.55</v>
      </c>
      <c r="F784" s="18">
        <v>12.0</v>
      </c>
    </row>
    <row r="785">
      <c r="A785" s="15">
        <v>10.0</v>
      </c>
      <c r="B785" s="16" t="s">
        <v>6285</v>
      </c>
      <c r="C785" s="17" t="s">
        <v>5562</v>
      </c>
      <c r="D785" s="18">
        <v>39.93</v>
      </c>
      <c r="E785" s="18">
        <v>71.0</v>
      </c>
      <c r="F785" s="18">
        <v>12.0</v>
      </c>
    </row>
    <row r="786">
      <c r="A786" s="15">
        <v>11.0</v>
      </c>
      <c r="B786" s="16" t="s">
        <v>6286</v>
      </c>
      <c r="C786" s="16" t="s">
        <v>6287</v>
      </c>
      <c r="D786" s="18">
        <v>170.05</v>
      </c>
      <c r="E786" s="18">
        <v>226.73</v>
      </c>
      <c r="F786" s="18">
        <v>12.0</v>
      </c>
    </row>
    <row r="787">
      <c r="A787" s="15">
        <v>12.0</v>
      </c>
      <c r="B787" s="16" t="s">
        <v>6288</v>
      </c>
      <c r="C787" s="17" t="s">
        <v>6289</v>
      </c>
      <c r="D787" s="18">
        <v>85.71</v>
      </c>
      <c r="E787" s="18">
        <v>120.0</v>
      </c>
      <c r="F787" s="18">
        <v>12.0</v>
      </c>
    </row>
    <row r="788">
      <c r="A788" s="15">
        <v>13.0</v>
      </c>
      <c r="B788" s="16" t="s">
        <v>630</v>
      </c>
      <c r="C788" s="16" t="s">
        <v>5558</v>
      </c>
      <c r="D788" s="18">
        <v>63.57</v>
      </c>
      <c r="E788" s="18">
        <v>89.0</v>
      </c>
      <c r="F788" s="18">
        <v>12.0</v>
      </c>
    </row>
    <row r="789">
      <c r="A789" s="15">
        <v>14.0</v>
      </c>
      <c r="B789" s="16" t="s">
        <v>6290</v>
      </c>
      <c r="C789" s="17" t="s">
        <v>6291</v>
      </c>
      <c r="D789" s="18">
        <v>92.0</v>
      </c>
      <c r="E789" s="18">
        <v>109.33</v>
      </c>
      <c r="F789" s="18">
        <v>0.0</v>
      </c>
    </row>
    <row r="790">
      <c r="A790" s="15">
        <v>15.0</v>
      </c>
      <c r="B790" s="16" t="s">
        <v>6290</v>
      </c>
      <c r="C790" s="17" t="s">
        <v>6292</v>
      </c>
      <c r="D790" s="18">
        <v>91.96</v>
      </c>
      <c r="E790" s="18">
        <v>105.0</v>
      </c>
      <c r="F790" s="18">
        <v>0.0</v>
      </c>
    </row>
    <row r="791">
      <c r="A791" s="15">
        <v>16.0</v>
      </c>
      <c r="B791" s="16" t="s">
        <v>6293</v>
      </c>
      <c r="C791" s="17" t="s">
        <v>5536</v>
      </c>
      <c r="D791" s="18">
        <v>111.75</v>
      </c>
      <c r="E791" s="18">
        <v>149.0</v>
      </c>
      <c r="F791" s="18">
        <v>12.0</v>
      </c>
    </row>
    <row r="792">
      <c r="A792" s="15">
        <v>17.0</v>
      </c>
      <c r="B792" s="16" t="s">
        <v>6294</v>
      </c>
      <c r="C792" s="17" t="s">
        <v>6295</v>
      </c>
      <c r="D792" s="18">
        <v>212.0</v>
      </c>
      <c r="E792" s="18">
        <v>265.0</v>
      </c>
      <c r="F792" s="18">
        <v>0.0</v>
      </c>
    </row>
    <row r="793">
      <c r="A793" s="15">
        <v>18.0</v>
      </c>
      <c r="B793" s="16" t="s">
        <v>6296</v>
      </c>
      <c r="C793" s="17" t="s">
        <v>6297</v>
      </c>
      <c r="D793" s="18">
        <v>60.0</v>
      </c>
      <c r="E793" s="18">
        <v>84.0</v>
      </c>
      <c r="F793" s="18">
        <v>12.0</v>
      </c>
    </row>
    <row r="794">
      <c r="A794" s="15">
        <v>19.0</v>
      </c>
      <c r="B794" s="16" t="s">
        <v>6298</v>
      </c>
      <c r="C794" s="17" t="s">
        <v>5536</v>
      </c>
      <c r="D794" s="18">
        <v>45.0</v>
      </c>
      <c r="E794" s="18">
        <v>63.0</v>
      </c>
      <c r="F794" s="18">
        <v>12.0</v>
      </c>
    </row>
    <row r="795">
      <c r="A795" s="15">
        <v>20.0</v>
      </c>
      <c r="B795" s="16" t="s">
        <v>6299</v>
      </c>
      <c r="C795" s="17" t="s">
        <v>5636</v>
      </c>
      <c r="D795" s="18">
        <v>61.16</v>
      </c>
      <c r="E795" s="18">
        <v>84.0</v>
      </c>
      <c r="F795" s="18">
        <v>12.0</v>
      </c>
    </row>
    <row r="796">
      <c r="A796" s="15">
        <v>21.0</v>
      </c>
      <c r="B796" s="16" t="s">
        <v>6254</v>
      </c>
      <c r="C796" s="17" t="s">
        <v>6300</v>
      </c>
      <c r="D796" s="18">
        <v>68.84</v>
      </c>
      <c r="E796" s="18">
        <v>96.38</v>
      </c>
      <c r="F796" s="18">
        <v>12.0</v>
      </c>
    </row>
    <row r="797">
      <c r="A797" s="15">
        <v>22.0</v>
      </c>
      <c r="B797" s="16" t="s">
        <v>6254</v>
      </c>
      <c r="C797" s="17" t="s">
        <v>6301</v>
      </c>
      <c r="D797" s="18">
        <v>140.52</v>
      </c>
      <c r="E797" s="18">
        <v>195.0</v>
      </c>
      <c r="F797" s="18">
        <v>12.0</v>
      </c>
    </row>
    <row r="798">
      <c r="A798" s="15">
        <v>23.0</v>
      </c>
      <c r="B798" s="16" t="s">
        <v>6302</v>
      </c>
      <c r="C798" s="17" t="s">
        <v>5657</v>
      </c>
      <c r="D798" s="18">
        <v>84.29</v>
      </c>
      <c r="E798" s="18">
        <v>118.0</v>
      </c>
      <c r="F798" s="18">
        <v>12.0</v>
      </c>
    </row>
    <row r="799">
      <c r="A799" s="15">
        <v>24.0</v>
      </c>
      <c r="B799" s="16" t="s">
        <v>6303</v>
      </c>
      <c r="C799" s="17" t="s">
        <v>6304</v>
      </c>
      <c r="D799" s="18">
        <v>48.22</v>
      </c>
      <c r="E799" s="18">
        <v>67.5</v>
      </c>
      <c r="F799" s="18">
        <v>12.0</v>
      </c>
    </row>
    <row r="800">
      <c r="A800" s="15">
        <v>25.0</v>
      </c>
      <c r="B800" s="16" t="s">
        <v>6303</v>
      </c>
      <c r="C800" s="17" t="s">
        <v>6305</v>
      </c>
      <c r="D800" s="18">
        <v>52.14</v>
      </c>
      <c r="E800" s="18">
        <v>73.0</v>
      </c>
      <c r="F800" s="18">
        <v>12.0</v>
      </c>
    </row>
    <row r="801">
      <c r="A801" s="15">
        <v>26.0</v>
      </c>
      <c r="B801" s="16" t="s">
        <v>6306</v>
      </c>
      <c r="C801" s="17" t="s">
        <v>5614</v>
      </c>
      <c r="D801" s="18">
        <v>151.27</v>
      </c>
      <c r="E801" s="18">
        <v>209.9</v>
      </c>
      <c r="F801" s="18">
        <v>12.0</v>
      </c>
    </row>
    <row r="802">
      <c r="A802" s="15">
        <v>27.0</v>
      </c>
      <c r="B802" s="16" t="s">
        <v>6307</v>
      </c>
      <c r="C802" s="17" t="s">
        <v>6308</v>
      </c>
      <c r="D802" s="18">
        <v>171.9</v>
      </c>
      <c r="E802" s="18">
        <v>275.0</v>
      </c>
      <c r="F802" s="18">
        <v>18.0</v>
      </c>
    </row>
    <row r="803">
      <c r="A803" s="15">
        <v>28.0</v>
      </c>
      <c r="B803" s="16" t="s">
        <v>6309</v>
      </c>
      <c r="C803" s="17" t="s">
        <v>6310</v>
      </c>
      <c r="D803" s="18">
        <v>174.24</v>
      </c>
      <c r="E803" s="18">
        <v>257.0</v>
      </c>
      <c r="F803" s="18">
        <v>18.0</v>
      </c>
    </row>
    <row r="804">
      <c r="A804" s="15">
        <v>29.0</v>
      </c>
      <c r="B804" s="16" t="s">
        <v>6311</v>
      </c>
      <c r="C804" s="17" t="s">
        <v>6312</v>
      </c>
      <c r="D804" s="18">
        <v>33.57</v>
      </c>
      <c r="E804" s="18">
        <v>47.0</v>
      </c>
      <c r="F804" s="18">
        <v>12.0</v>
      </c>
    </row>
    <row r="805">
      <c r="A805" s="15">
        <v>30.0</v>
      </c>
      <c r="B805" s="16" t="s">
        <v>6311</v>
      </c>
      <c r="C805" s="17" t="s">
        <v>6313</v>
      </c>
      <c r="D805" s="18">
        <v>77.38</v>
      </c>
      <c r="E805" s="18">
        <v>108.33</v>
      </c>
      <c r="F805" s="18">
        <v>12.0</v>
      </c>
    </row>
    <row r="806">
      <c r="A806" s="6"/>
      <c r="B806" s="7"/>
      <c r="C806" s="7"/>
      <c r="D806" s="7"/>
      <c r="E806" s="7"/>
      <c r="F806" s="8"/>
    </row>
    <row r="807">
      <c r="A807" s="9" t="s">
        <v>6314</v>
      </c>
      <c r="B807" s="10"/>
      <c r="C807" s="10"/>
      <c r="D807" s="10"/>
      <c r="E807" s="10"/>
      <c r="F807" s="10"/>
    </row>
    <row r="808">
      <c r="A808" s="11">
        <v>1.0</v>
      </c>
      <c r="B808" s="12" t="s">
        <v>6315</v>
      </c>
      <c r="C808" s="13" t="s">
        <v>6316</v>
      </c>
      <c r="D808" s="14">
        <v>432.43</v>
      </c>
      <c r="E808" s="14">
        <v>600.0</v>
      </c>
      <c r="F808" s="14">
        <v>12.0</v>
      </c>
    </row>
    <row r="809">
      <c r="A809" s="15">
        <v>2.0</v>
      </c>
      <c r="B809" s="16" t="s">
        <v>6317</v>
      </c>
      <c r="C809" s="17" t="s">
        <v>6318</v>
      </c>
      <c r="D809" s="18">
        <v>92.48</v>
      </c>
      <c r="E809" s="18">
        <v>148.0</v>
      </c>
      <c r="F809" s="18">
        <v>18.0</v>
      </c>
    </row>
    <row r="810">
      <c r="A810" s="15">
        <v>3.0</v>
      </c>
      <c r="B810" s="16" t="s">
        <v>6319</v>
      </c>
      <c r="C810" s="17" t="s">
        <v>6320</v>
      </c>
      <c r="D810" s="18">
        <v>147.76</v>
      </c>
      <c r="E810" s="18">
        <v>205.0</v>
      </c>
      <c r="F810" s="18">
        <v>12.0</v>
      </c>
    </row>
    <row r="811">
      <c r="A811" s="6"/>
      <c r="B811" s="7"/>
      <c r="C811" s="7"/>
      <c r="D811" s="7"/>
      <c r="E811" s="7"/>
      <c r="F811" s="8"/>
    </row>
    <row r="812">
      <c r="A812" s="9" t="s">
        <v>6321</v>
      </c>
      <c r="B812" s="10"/>
      <c r="C812" s="10"/>
      <c r="D812" s="10"/>
      <c r="E812" s="10"/>
      <c r="F812" s="10"/>
    </row>
    <row r="813">
      <c r="A813" s="11">
        <v>1.0</v>
      </c>
      <c r="B813" s="12" t="s">
        <v>6322</v>
      </c>
      <c r="C813" s="13" t="s">
        <v>5636</v>
      </c>
      <c r="D813" s="14">
        <v>202.71</v>
      </c>
      <c r="E813" s="14">
        <v>299.0</v>
      </c>
      <c r="F813" s="14">
        <v>18.0</v>
      </c>
    </row>
    <row r="814">
      <c r="A814" s="15">
        <v>2.0</v>
      </c>
      <c r="B814" s="16" t="s">
        <v>6323</v>
      </c>
      <c r="C814" s="17" t="s">
        <v>5636</v>
      </c>
      <c r="D814" s="18">
        <v>372.2</v>
      </c>
      <c r="E814" s="18">
        <v>549.0</v>
      </c>
      <c r="F814" s="18">
        <v>18.0</v>
      </c>
    </row>
    <row r="815">
      <c r="A815" s="15">
        <v>3.0</v>
      </c>
      <c r="B815" s="16" t="s">
        <v>6324</v>
      </c>
      <c r="C815" s="17" t="s">
        <v>5960</v>
      </c>
      <c r="D815" s="18">
        <v>128.14</v>
      </c>
      <c r="E815" s="18">
        <v>189.0</v>
      </c>
      <c r="F815" s="18">
        <v>18.0</v>
      </c>
    </row>
    <row r="816">
      <c r="A816" s="6"/>
      <c r="B816" s="7"/>
      <c r="C816" s="7"/>
      <c r="D816" s="7"/>
      <c r="E816" s="8"/>
      <c r="F816" s="16" t="s">
        <v>6325</v>
      </c>
    </row>
    <row r="817">
      <c r="A817" s="6"/>
      <c r="B817" s="7"/>
      <c r="C817" s="7"/>
      <c r="D817" s="7"/>
      <c r="E817" s="7"/>
      <c r="F817" s="8"/>
    </row>
    <row r="818">
      <c r="A818" s="6"/>
      <c r="B818" s="7"/>
      <c r="C818" s="7"/>
      <c r="D818" s="7"/>
      <c r="E818" s="7"/>
      <c r="F818" s="8"/>
    </row>
    <row r="819">
      <c r="A819" s="6"/>
      <c r="B819" s="7"/>
      <c r="C819" s="7"/>
      <c r="D819" s="7"/>
      <c r="E819" s="7"/>
      <c r="F819" s="8"/>
    </row>
    <row r="820">
      <c r="A820" s="6"/>
      <c r="B820" s="7"/>
      <c r="C820" s="7"/>
      <c r="D820" s="7"/>
      <c r="E820" s="7"/>
      <c r="F820" s="8"/>
    </row>
    <row r="821">
      <c r="A821" s="9" t="s">
        <v>5582</v>
      </c>
      <c r="B821" s="10"/>
      <c r="C821" s="10"/>
      <c r="D821" s="10"/>
      <c r="E821" s="10"/>
      <c r="F821" s="10"/>
    </row>
    <row r="822">
      <c r="A822" s="19" t="s">
        <v>5583</v>
      </c>
    </row>
    <row r="823">
      <c r="A823" s="6"/>
      <c r="B823" s="7"/>
      <c r="C823" s="7"/>
      <c r="D823" s="8"/>
      <c r="E823" s="12" t="s">
        <v>5584</v>
      </c>
      <c r="F823" s="12" t="s">
        <v>6326</v>
      </c>
    </row>
    <row r="824">
      <c r="A824" s="20" t="s">
        <v>5522</v>
      </c>
      <c r="B824" s="16" t="s">
        <v>5523</v>
      </c>
      <c r="C824" s="16" t="s">
        <v>5524</v>
      </c>
      <c r="D824" s="16" t="s">
        <v>5525</v>
      </c>
      <c r="E824" s="16" t="s">
        <v>5526</v>
      </c>
      <c r="F824" s="16" t="s">
        <v>5586</v>
      </c>
    </row>
    <row r="825">
      <c r="A825" s="15">
        <v>4.0</v>
      </c>
      <c r="B825" s="16" t="s">
        <v>656</v>
      </c>
      <c r="C825" s="16" t="s">
        <v>5558</v>
      </c>
      <c r="D825" s="18">
        <v>106.43</v>
      </c>
      <c r="E825" s="18">
        <v>149.0</v>
      </c>
      <c r="F825" s="18">
        <v>12.0</v>
      </c>
    </row>
    <row r="826">
      <c r="A826" s="15">
        <v>5.0</v>
      </c>
      <c r="B826" s="16" t="s">
        <v>6327</v>
      </c>
      <c r="C826" s="17" t="s">
        <v>6328</v>
      </c>
      <c r="D826" s="18">
        <v>33.22</v>
      </c>
      <c r="E826" s="18">
        <v>49.0</v>
      </c>
      <c r="F826" s="18">
        <v>18.0</v>
      </c>
    </row>
    <row r="827">
      <c r="A827" s="15">
        <v>6.0</v>
      </c>
      <c r="B827" s="16" t="s">
        <v>658</v>
      </c>
      <c r="C827" s="16" t="s">
        <v>5558</v>
      </c>
      <c r="D827" s="18">
        <v>89.29</v>
      </c>
      <c r="E827" s="18">
        <v>125.0</v>
      </c>
      <c r="F827" s="18">
        <v>12.0</v>
      </c>
    </row>
    <row r="828">
      <c r="A828" s="15">
        <v>7.0</v>
      </c>
      <c r="B828" s="16" t="s">
        <v>6329</v>
      </c>
      <c r="C828" s="17" t="s">
        <v>5636</v>
      </c>
      <c r="D828" s="18">
        <v>243.39</v>
      </c>
      <c r="E828" s="18">
        <v>359.0</v>
      </c>
      <c r="F828" s="18">
        <v>18.0</v>
      </c>
    </row>
    <row r="829">
      <c r="A829" s="15">
        <v>8.0</v>
      </c>
      <c r="B829" s="16" t="s">
        <v>660</v>
      </c>
      <c r="C829" s="16" t="s">
        <v>5558</v>
      </c>
      <c r="D829" s="18">
        <v>94.24</v>
      </c>
      <c r="E829" s="18">
        <v>139.0</v>
      </c>
      <c r="F829" s="18">
        <v>18.0</v>
      </c>
    </row>
    <row r="830">
      <c r="A830" s="15">
        <v>9.0</v>
      </c>
      <c r="B830" s="16" t="s">
        <v>661</v>
      </c>
      <c r="C830" s="16" t="s">
        <v>5558</v>
      </c>
      <c r="D830" s="18">
        <v>106.43</v>
      </c>
      <c r="E830" s="18">
        <v>149.0</v>
      </c>
      <c r="F830" s="18">
        <v>12.0</v>
      </c>
    </row>
    <row r="831">
      <c r="A831" s="15">
        <v>10.0</v>
      </c>
      <c r="B831" s="16" t="s">
        <v>662</v>
      </c>
      <c r="C831" s="16" t="s">
        <v>6330</v>
      </c>
      <c r="D831" s="18">
        <v>113.57</v>
      </c>
      <c r="E831" s="18">
        <v>159.0</v>
      </c>
      <c r="F831" s="18">
        <v>12.0</v>
      </c>
    </row>
    <row r="832">
      <c r="A832" s="6"/>
      <c r="B832" s="7"/>
      <c r="C832" s="7"/>
      <c r="D832" s="7"/>
      <c r="E832" s="7"/>
      <c r="F832" s="8"/>
    </row>
    <row r="833">
      <c r="A833" s="9" t="s">
        <v>6331</v>
      </c>
      <c r="B833" s="10"/>
      <c r="C833" s="10"/>
      <c r="D833" s="10"/>
      <c r="E833" s="10"/>
      <c r="F833" s="10"/>
    </row>
    <row r="834">
      <c r="A834" s="11">
        <v>1.0</v>
      </c>
      <c r="B834" s="12" t="s">
        <v>663</v>
      </c>
      <c r="C834" s="12" t="s">
        <v>5558</v>
      </c>
      <c r="D834" s="14">
        <v>220.68</v>
      </c>
      <c r="E834" s="14">
        <v>325.5</v>
      </c>
      <c r="F834" s="14">
        <v>18.0</v>
      </c>
    </row>
    <row r="835">
      <c r="A835" s="15">
        <v>2.0</v>
      </c>
      <c r="B835" s="16" t="s">
        <v>6332</v>
      </c>
      <c r="C835" s="17" t="s">
        <v>5674</v>
      </c>
      <c r="D835" s="18">
        <v>92.93</v>
      </c>
      <c r="E835" s="18">
        <v>150.0</v>
      </c>
      <c r="F835" s="18">
        <v>18.0</v>
      </c>
    </row>
    <row r="836">
      <c r="A836" s="15">
        <v>3.0</v>
      </c>
      <c r="B836" s="16" t="s">
        <v>666</v>
      </c>
      <c r="C836" s="16" t="s">
        <v>5558</v>
      </c>
      <c r="D836" s="18">
        <v>115.5</v>
      </c>
      <c r="E836" s="18">
        <v>161.7</v>
      </c>
      <c r="F836" s="18">
        <v>12.0</v>
      </c>
    </row>
    <row r="837">
      <c r="A837" s="15">
        <v>4.0</v>
      </c>
      <c r="B837" s="16" t="s">
        <v>6333</v>
      </c>
      <c r="C837" s="17" t="s">
        <v>6127</v>
      </c>
      <c r="D837" s="18">
        <v>130.51</v>
      </c>
      <c r="E837" s="18">
        <v>151.0</v>
      </c>
      <c r="F837" s="18">
        <v>12.0</v>
      </c>
    </row>
    <row r="838">
      <c r="A838" s="15">
        <v>5.0</v>
      </c>
      <c r="B838" s="16" t="s">
        <v>6334</v>
      </c>
      <c r="C838" s="17" t="s">
        <v>6335</v>
      </c>
      <c r="D838" s="18">
        <v>302.93</v>
      </c>
      <c r="E838" s="18">
        <v>424.1</v>
      </c>
      <c r="F838" s="18">
        <v>12.0</v>
      </c>
    </row>
    <row r="839">
      <c r="A839" s="15">
        <v>6.0</v>
      </c>
      <c r="B839" s="16" t="s">
        <v>6336</v>
      </c>
      <c r="C839" s="17" t="s">
        <v>6337</v>
      </c>
      <c r="D839" s="18">
        <v>492.15</v>
      </c>
      <c r="E839" s="18">
        <v>652.1</v>
      </c>
      <c r="F839" s="18">
        <v>5.0</v>
      </c>
    </row>
    <row r="840">
      <c r="A840" s="15">
        <v>7.0</v>
      </c>
      <c r="B840" s="16" t="s">
        <v>6338</v>
      </c>
      <c r="C840" s="17" t="s">
        <v>6339</v>
      </c>
      <c r="D840" s="18">
        <v>275.39</v>
      </c>
      <c r="E840" s="18">
        <v>385.55</v>
      </c>
      <c r="F840" s="18">
        <v>12.0</v>
      </c>
    </row>
    <row r="841">
      <c r="A841" s="15">
        <v>8.0</v>
      </c>
      <c r="B841" s="16" t="s">
        <v>6340</v>
      </c>
      <c r="C841" s="17" t="s">
        <v>5649</v>
      </c>
      <c r="D841" s="18">
        <v>129.21</v>
      </c>
      <c r="E841" s="18">
        <v>180.89</v>
      </c>
      <c r="F841" s="18">
        <v>12.0</v>
      </c>
    </row>
    <row r="842">
      <c r="A842" s="15">
        <v>9.0</v>
      </c>
      <c r="B842" s="16" t="s">
        <v>6340</v>
      </c>
      <c r="C842" s="17" t="s">
        <v>6341</v>
      </c>
      <c r="D842" s="18">
        <v>148.21</v>
      </c>
      <c r="E842" s="18">
        <v>203.5</v>
      </c>
      <c r="F842" s="18">
        <v>12.0</v>
      </c>
    </row>
    <row r="843">
      <c r="A843" s="15">
        <v>10.0</v>
      </c>
      <c r="B843" s="16" t="s">
        <v>6340</v>
      </c>
      <c r="C843" s="17" t="s">
        <v>5636</v>
      </c>
      <c r="D843" s="18">
        <v>55.0</v>
      </c>
      <c r="E843" s="18">
        <v>77.0</v>
      </c>
      <c r="F843" s="18">
        <v>12.0</v>
      </c>
    </row>
    <row r="844">
      <c r="A844" s="15">
        <v>11.0</v>
      </c>
      <c r="B844" s="16" t="s">
        <v>6342</v>
      </c>
      <c r="C844" s="17" t="s">
        <v>6343</v>
      </c>
      <c r="D844" s="18">
        <v>86.43</v>
      </c>
      <c r="E844" s="18">
        <v>121.0</v>
      </c>
      <c r="F844" s="18">
        <v>12.0</v>
      </c>
    </row>
    <row r="845">
      <c r="A845" s="15">
        <v>12.0</v>
      </c>
      <c r="B845" s="16" t="s">
        <v>6344</v>
      </c>
      <c r="C845" s="16" t="s">
        <v>6345</v>
      </c>
      <c r="D845" s="18">
        <v>105.61</v>
      </c>
      <c r="E845" s="18">
        <v>145.0</v>
      </c>
      <c r="F845" s="18">
        <v>12.0</v>
      </c>
    </row>
    <row r="846">
      <c r="A846" s="15">
        <v>13.0</v>
      </c>
      <c r="B846" s="16" t="s">
        <v>6346</v>
      </c>
      <c r="C846" s="17" t="s">
        <v>5536</v>
      </c>
      <c r="D846" s="18">
        <v>226.43</v>
      </c>
      <c r="E846" s="18">
        <v>317.0</v>
      </c>
      <c r="F846" s="18">
        <v>12.0</v>
      </c>
    </row>
    <row r="847">
      <c r="A847" s="15">
        <v>14.0</v>
      </c>
      <c r="B847" s="16" t="s">
        <v>6347</v>
      </c>
      <c r="C847" s="17" t="s">
        <v>5536</v>
      </c>
      <c r="D847" s="18">
        <v>404.29</v>
      </c>
      <c r="E847" s="18">
        <v>566.0</v>
      </c>
      <c r="F847" s="18">
        <v>12.0</v>
      </c>
    </row>
    <row r="848">
      <c r="A848" s="15">
        <v>15.0</v>
      </c>
      <c r="B848" s="16" t="s">
        <v>6348</v>
      </c>
      <c r="C848" s="17" t="s">
        <v>5546</v>
      </c>
      <c r="D848" s="18">
        <v>237.68</v>
      </c>
      <c r="E848" s="18">
        <v>332.75</v>
      </c>
      <c r="F848" s="18">
        <v>12.0</v>
      </c>
    </row>
    <row r="849">
      <c r="A849" s="15">
        <v>16.0</v>
      </c>
      <c r="B849" s="16" t="s">
        <v>6349</v>
      </c>
      <c r="C849" s="17" t="s">
        <v>5614</v>
      </c>
      <c r="D849" s="18">
        <v>114.95</v>
      </c>
      <c r="E849" s="18">
        <v>160.93</v>
      </c>
      <c r="F849" s="18">
        <v>12.0</v>
      </c>
    </row>
    <row r="850">
      <c r="A850" s="15">
        <v>17.0</v>
      </c>
      <c r="B850" s="16" t="s">
        <v>6350</v>
      </c>
      <c r="C850" s="17" t="s">
        <v>5614</v>
      </c>
      <c r="D850" s="18">
        <v>202.67</v>
      </c>
      <c r="E850" s="18">
        <v>283.74</v>
      </c>
      <c r="F850" s="18">
        <v>12.0</v>
      </c>
    </row>
    <row r="851">
      <c r="A851" s="15">
        <v>18.0</v>
      </c>
      <c r="B851" s="16" t="s">
        <v>6351</v>
      </c>
      <c r="C851" s="17" t="s">
        <v>6352</v>
      </c>
      <c r="D851" s="18">
        <v>607.14</v>
      </c>
      <c r="E851" s="18">
        <v>850.0</v>
      </c>
      <c r="F851" s="18">
        <v>12.0</v>
      </c>
    </row>
    <row r="852">
      <c r="A852" s="15">
        <v>19.0</v>
      </c>
      <c r="B852" s="16" t="s">
        <v>6353</v>
      </c>
      <c r="C852" s="17" t="s">
        <v>5614</v>
      </c>
      <c r="D852" s="18">
        <v>49.77</v>
      </c>
      <c r="E852" s="18">
        <v>70.45</v>
      </c>
      <c r="F852" s="18">
        <v>12.0</v>
      </c>
    </row>
    <row r="853">
      <c r="A853" s="15">
        <v>20.0</v>
      </c>
      <c r="B853" s="16" t="s">
        <v>6353</v>
      </c>
      <c r="C853" s="17" t="s">
        <v>6354</v>
      </c>
      <c r="D853" s="18">
        <v>92.27</v>
      </c>
      <c r="E853" s="18">
        <v>123.9</v>
      </c>
      <c r="F853" s="18">
        <v>12.0</v>
      </c>
    </row>
    <row r="854">
      <c r="A854" s="15">
        <v>21.0</v>
      </c>
      <c r="B854" s="16" t="s">
        <v>6355</v>
      </c>
      <c r="C854" s="17" t="s">
        <v>6356</v>
      </c>
      <c r="D854" s="18">
        <v>149.3</v>
      </c>
      <c r="E854" s="18">
        <v>205.05</v>
      </c>
      <c r="F854" s="18">
        <v>12.0</v>
      </c>
    </row>
    <row r="855">
      <c r="A855" s="15">
        <v>22.0</v>
      </c>
      <c r="B855" s="16" t="s">
        <v>6357</v>
      </c>
      <c r="C855" s="17" t="s">
        <v>5614</v>
      </c>
      <c r="D855" s="18">
        <v>60.89</v>
      </c>
      <c r="E855" s="18">
        <v>85.25</v>
      </c>
      <c r="F855" s="18">
        <v>12.0</v>
      </c>
    </row>
    <row r="856">
      <c r="A856" s="15">
        <v>23.0</v>
      </c>
      <c r="B856" s="16" t="s">
        <v>6357</v>
      </c>
      <c r="C856" s="17" t="s">
        <v>5546</v>
      </c>
      <c r="D856" s="18">
        <v>100.46</v>
      </c>
      <c r="E856" s="18">
        <v>140.65</v>
      </c>
      <c r="F856" s="18">
        <v>12.0</v>
      </c>
    </row>
    <row r="857">
      <c r="A857" s="15">
        <v>24.0</v>
      </c>
      <c r="B857" s="16" t="s">
        <v>6358</v>
      </c>
      <c r="C857" s="17" t="s">
        <v>6359</v>
      </c>
      <c r="D857" s="18">
        <v>190.71</v>
      </c>
      <c r="E857" s="18">
        <v>267.0</v>
      </c>
      <c r="F857" s="18">
        <v>12.0</v>
      </c>
    </row>
    <row r="858">
      <c r="A858" s="15">
        <v>25.0</v>
      </c>
      <c r="B858" s="16" t="s">
        <v>6358</v>
      </c>
      <c r="C858" s="17" t="s">
        <v>5598</v>
      </c>
      <c r="D858" s="18">
        <v>226.87</v>
      </c>
      <c r="E858" s="18">
        <v>317.62</v>
      </c>
      <c r="F858" s="18">
        <v>12.0</v>
      </c>
    </row>
    <row r="859">
      <c r="A859" s="15">
        <v>26.0</v>
      </c>
      <c r="B859" s="16" t="s">
        <v>6360</v>
      </c>
      <c r="C859" s="17" t="s">
        <v>5603</v>
      </c>
      <c r="D859" s="18">
        <v>341.39</v>
      </c>
      <c r="E859" s="18">
        <v>477.95</v>
      </c>
      <c r="F859" s="18">
        <v>12.0</v>
      </c>
    </row>
    <row r="860">
      <c r="A860" s="15">
        <v>27.0</v>
      </c>
      <c r="B860" s="16" t="s">
        <v>6361</v>
      </c>
      <c r="C860" s="17" t="s">
        <v>5565</v>
      </c>
      <c r="D860" s="18">
        <v>545.71</v>
      </c>
      <c r="E860" s="18">
        <v>764.0</v>
      </c>
      <c r="F860" s="18">
        <v>12.0</v>
      </c>
    </row>
    <row r="861">
      <c r="A861" s="15">
        <v>28.0</v>
      </c>
      <c r="B861" s="16" t="s">
        <v>6362</v>
      </c>
      <c r="C861" s="17" t="s">
        <v>6363</v>
      </c>
      <c r="D861" s="18">
        <v>264.39</v>
      </c>
      <c r="E861" s="18">
        <v>370.15</v>
      </c>
      <c r="F861" s="18">
        <v>12.0</v>
      </c>
    </row>
    <row r="862">
      <c r="A862" s="15">
        <v>29.0</v>
      </c>
      <c r="B862" s="16" t="s">
        <v>6364</v>
      </c>
      <c r="C862" s="17" t="s">
        <v>5536</v>
      </c>
      <c r="D862" s="18">
        <v>184.64</v>
      </c>
      <c r="E862" s="18">
        <v>258.5</v>
      </c>
      <c r="F862" s="18">
        <v>12.0</v>
      </c>
    </row>
    <row r="863">
      <c r="A863" s="15">
        <v>30.0</v>
      </c>
      <c r="B863" s="16" t="s">
        <v>6365</v>
      </c>
      <c r="C863" s="17" t="s">
        <v>5536</v>
      </c>
      <c r="D863" s="18">
        <v>271.07</v>
      </c>
      <c r="E863" s="18">
        <v>379.5</v>
      </c>
      <c r="F863" s="18">
        <v>12.0</v>
      </c>
    </row>
    <row r="864">
      <c r="A864" s="15">
        <v>31.0</v>
      </c>
      <c r="B864" s="16" t="s">
        <v>6366</v>
      </c>
      <c r="C864" s="17" t="s">
        <v>6367</v>
      </c>
      <c r="D864" s="18">
        <v>193.6</v>
      </c>
      <c r="E864" s="18">
        <v>271.04</v>
      </c>
      <c r="F864" s="18">
        <v>12.0</v>
      </c>
    </row>
    <row r="865">
      <c r="A865" s="6"/>
      <c r="B865" s="7"/>
      <c r="C865" s="7"/>
      <c r="D865" s="7"/>
      <c r="E865" s="7"/>
      <c r="F865" s="8"/>
    </row>
    <row r="866">
      <c r="A866" s="9" t="s">
        <v>6368</v>
      </c>
      <c r="B866" s="10"/>
      <c r="C866" s="10"/>
      <c r="D866" s="10"/>
      <c r="E866" s="10"/>
      <c r="F866" s="10"/>
    </row>
    <row r="867">
      <c r="A867" s="11">
        <v>1.0</v>
      </c>
      <c r="B867" s="12" t="s">
        <v>6369</v>
      </c>
      <c r="C867" s="13" t="s">
        <v>6370</v>
      </c>
      <c r="D867" s="14">
        <v>98.61</v>
      </c>
      <c r="E867" s="14">
        <v>138.05</v>
      </c>
      <c r="F867" s="14">
        <v>12.0</v>
      </c>
    </row>
    <row r="868">
      <c r="A868" s="15">
        <v>2.0</v>
      </c>
      <c r="B868" s="16" t="s">
        <v>6371</v>
      </c>
      <c r="C868" s="17" t="s">
        <v>6372</v>
      </c>
      <c r="D868" s="18">
        <v>65.59</v>
      </c>
      <c r="E868" s="18">
        <v>91.82</v>
      </c>
      <c r="F868" s="18">
        <v>12.0</v>
      </c>
    </row>
    <row r="869">
      <c r="A869" s="15">
        <v>3.0</v>
      </c>
      <c r="B869" s="16" t="s">
        <v>6373</v>
      </c>
      <c r="C869" s="17" t="s">
        <v>6374</v>
      </c>
      <c r="D869" s="18">
        <v>42.44</v>
      </c>
      <c r="E869" s="18">
        <v>59.42</v>
      </c>
      <c r="F869" s="18">
        <v>12.0</v>
      </c>
    </row>
    <row r="870">
      <c r="A870" s="15">
        <v>4.0</v>
      </c>
      <c r="B870" s="16" t="s">
        <v>6369</v>
      </c>
      <c r="C870" s="17" t="s">
        <v>6375</v>
      </c>
      <c r="D870" s="18">
        <v>141.43</v>
      </c>
      <c r="E870" s="18">
        <v>198.0</v>
      </c>
      <c r="F870" s="18">
        <v>12.0</v>
      </c>
    </row>
    <row r="871">
      <c r="A871" s="15">
        <v>5.0</v>
      </c>
      <c r="B871" s="16" t="s">
        <v>6369</v>
      </c>
      <c r="C871" s="17" t="s">
        <v>6376</v>
      </c>
      <c r="D871" s="18">
        <v>114.37</v>
      </c>
      <c r="E871" s="18">
        <v>160.12</v>
      </c>
      <c r="F871" s="18">
        <v>12.0</v>
      </c>
    </row>
    <row r="872">
      <c r="A872" s="15">
        <v>6.0</v>
      </c>
      <c r="B872" s="16" t="s">
        <v>6377</v>
      </c>
      <c r="C872" s="17" t="s">
        <v>6378</v>
      </c>
      <c r="D872" s="18">
        <v>27.09</v>
      </c>
      <c r="E872" s="18">
        <v>37.92</v>
      </c>
      <c r="F872" s="18">
        <v>12.0</v>
      </c>
    </row>
    <row r="873">
      <c r="A873" s="15">
        <v>7.0</v>
      </c>
      <c r="B873" s="16" t="s">
        <v>6377</v>
      </c>
      <c r="C873" s="17" t="s">
        <v>6379</v>
      </c>
      <c r="D873" s="18">
        <v>16.42</v>
      </c>
      <c r="E873" s="18">
        <v>22.99</v>
      </c>
      <c r="F873" s="18">
        <v>12.0</v>
      </c>
    </row>
    <row r="874">
      <c r="A874" s="15">
        <v>8.0</v>
      </c>
      <c r="B874" s="16" t="s">
        <v>6377</v>
      </c>
      <c r="C874" s="17" t="s">
        <v>6380</v>
      </c>
      <c r="D874" s="18">
        <v>49.69</v>
      </c>
      <c r="E874" s="18">
        <v>69.57</v>
      </c>
      <c r="F874" s="18">
        <v>12.0</v>
      </c>
    </row>
    <row r="875">
      <c r="A875" s="15">
        <v>9.0</v>
      </c>
      <c r="B875" s="16" t="s">
        <v>6381</v>
      </c>
      <c r="C875" s="17" t="s">
        <v>6378</v>
      </c>
      <c r="D875" s="18">
        <v>33.56</v>
      </c>
      <c r="E875" s="18">
        <v>46.98</v>
      </c>
      <c r="F875" s="18">
        <v>12.0</v>
      </c>
    </row>
    <row r="876">
      <c r="A876" s="15">
        <v>10.0</v>
      </c>
      <c r="B876" s="16" t="s">
        <v>6381</v>
      </c>
      <c r="C876" s="17" t="s">
        <v>6382</v>
      </c>
      <c r="D876" s="18">
        <v>72.12</v>
      </c>
      <c r="E876" s="18">
        <v>100.97</v>
      </c>
      <c r="F876" s="18">
        <v>12.0</v>
      </c>
    </row>
    <row r="877">
      <c r="A877" s="15">
        <v>11.0</v>
      </c>
      <c r="B877" s="16" t="s">
        <v>6383</v>
      </c>
      <c r="C877" s="17" t="s">
        <v>5654</v>
      </c>
      <c r="D877" s="18">
        <v>96.43</v>
      </c>
      <c r="E877" s="18">
        <v>135.0</v>
      </c>
      <c r="F877" s="18">
        <v>12.0</v>
      </c>
    </row>
    <row r="878">
      <c r="A878" s="15">
        <v>12.0</v>
      </c>
      <c r="B878" s="16" t="s">
        <v>6383</v>
      </c>
      <c r="C878" s="17" t="s">
        <v>6384</v>
      </c>
      <c r="D878" s="18">
        <v>78.57</v>
      </c>
      <c r="E878" s="18">
        <v>110.0</v>
      </c>
      <c r="F878" s="18">
        <v>12.0</v>
      </c>
    </row>
    <row r="879">
      <c r="A879" s="15">
        <v>13.0</v>
      </c>
      <c r="B879" s="16" t="s">
        <v>6385</v>
      </c>
      <c r="C879" s="17" t="s">
        <v>6386</v>
      </c>
      <c r="D879" s="18">
        <v>22.0</v>
      </c>
      <c r="E879" s="18">
        <v>30.8</v>
      </c>
      <c r="F879" s="18">
        <v>12.0</v>
      </c>
    </row>
    <row r="880">
      <c r="A880" s="15">
        <v>14.0</v>
      </c>
      <c r="B880" s="16" t="s">
        <v>6387</v>
      </c>
      <c r="C880" s="17" t="s">
        <v>6148</v>
      </c>
      <c r="D880" s="18">
        <v>86.43</v>
      </c>
      <c r="E880" s="18">
        <v>121.0</v>
      </c>
      <c r="F880" s="18">
        <v>12.0</v>
      </c>
    </row>
    <row r="881">
      <c r="A881" s="15">
        <v>15.0</v>
      </c>
      <c r="B881" s="16" t="s">
        <v>6387</v>
      </c>
      <c r="C881" s="17" t="s">
        <v>6388</v>
      </c>
      <c r="D881" s="18">
        <v>121.66</v>
      </c>
      <c r="E881" s="18">
        <v>170.33</v>
      </c>
      <c r="F881" s="18">
        <v>12.0</v>
      </c>
    </row>
    <row r="882">
      <c r="A882" s="15">
        <v>16.0</v>
      </c>
      <c r="B882" s="16" t="s">
        <v>6389</v>
      </c>
      <c r="C882" s="17" t="s">
        <v>6390</v>
      </c>
      <c r="D882" s="18">
        <v>54.97</v>
      </c>
      <c r="E882" s="18">
        <v>75.5</v>
      </c>
      <c r="F882" s="18">
        <v>12.0</v>
      </c>
    </row>
    <row r="883">
      <c r="A883" s="15">
        <v>17.0</v>
      </c>
      <c r="B883" s="16" t="s">
        <v>6389</v>
      </c>
      <c r="C883" s="17" t="s">
        <v>6391</v>
      </c>
      <c r="D883" s="18">
        <v>62.25</v>
      </c>
      <c r="E883" s="18">
        <v>87.15</v>
      </c>
      <c r="F883" s="18">
        <v>12.0</v>
      </c>
    </row>
    <row r="884">
      <c r="A884" s="15">
        <v>18.0</v>
      </c>
      <c r="B884" s="16" t="s">
        <v>6392</v>
      </c>
      <c r="C884" s="17" t="s">
        <v>6393</v>
      </c>
      <c r="D884" s="18">
        <v>26.31</v>
      </c>
      <c r="E884" s="18">
        <v>36.83</v>
      </c>
      <c r="F884" s="18">
        <v>12.0</v>
      </c>
    </row>
    <row r="885">
      <c r="A885" s="15">
        <v>19.0</v>
      </c>
      <c r="B885" s="16" t="s">
        <v>6394</v>
      </c>
      <c r="C885" s="17" t="s">
        <v>6395</v>
      </c>
      <c r="D885" s="18">
        <v>8.57</v>
      </c>
      <c r="E885" s="18">
        <v>12.0</v>
      </c>
      <c r="F885" s="18">
        <v>12.0</v>
      </c>
    </row>
    <row r="886">
      <c r="A886" s="6"/>
      <c r="B886" s="7"/>
      <c r="C886" s="7"/>
      <c r="D886" s="7"/>
      <c r="E886" s="8"/>
      <c r="F886" s="16" t="s">
        <v>6396</v>
      </c>
    </row>
    <row r="887">
      <c r="A887" s="6"/>
      <c r="B887" s="7"/>
      <c r="C887" s="7"/>
      <c r="D887" s="7"/>
      <c r="E887" s="7"/>
      <c r="F887" s="8"/>
    </row>
    <row r="888">
      <c r="A888" s="6"/>
      <c r="B888" s="7"/>
      <c r="C888" s="7"/>
      <c r="D888" s="7"/>
      <c r="E888" s="7"/>
      <c r="F888" s="8"/>
    </row>
    <row r="889">
      <c r="A889" s="6"/>
      <c r="B889" s="7"/>
      <c r="C889" s="7"/>
      <c r="D889" s="7"/>
      <c r="E889" s="7"/>
      <c r="F889" s="8"/>
    </row>
    <row r="890">
      <c r="A890" s="6"/>
      <c r="B890" s="7"/>
      <c r="C890" s="7"/>
      <c r="D890" s="7"/>
      <c r="E890" s="7"/>
      <c r="F890" s="8"/>
    </row>
    <row r="891">
      <c r="A891" s="9" t="s">
        <v>5582</v>
      </c>
      <c r="B891" s="10"/>
      <c r="C891" s="10"/>
      <c r="D891" s="10"/>
      <c r="E891" s="10"/>
      <c r="F891" s="10"/>
    </row>
    <row r="892">
      <c r="A892" s="19" t="s">
        <v>5583</v>
      </c>
    </row>
    <row r="893">
      <c r="A893" s="6"/>
      <c r="B893" s="7"/>
      <c r="C893" s="7"/>
      <c r="D893" s="8"/>
      <c r="E893" s="12" t="s">
        <v>5584</v>
      </c>
      <c r="F893" s="12" t="s">
        <v>6397</v>
      </c>
    </row>
    <row r="894">
      <c r="A894" s="20" t="s">
        <v>5522</v>
      </c>
      <c r="B894" s="16" t="s">
        <v>5523</v>
      </c>
      <c r="C894" s="16" t="s">
        <v>5524</v>
      </c>
      <c r="D894" s="16" t="s">
        <v>5525</v>
      </c>
      <c r="E894" s="16" t="s">
        <v>5526</v>
      </c>
      <c r="F894" s="16" t="s">
        <v>5586</v>
      </c>
    </row>
    <row r="895">
      <c r="A895" s="15">
        <v>20.0</v>
      </c>
      <c r="B895" s="16" t="s">
        <v>6398</v>
      </c>
      <c r="C895" s="16" t="s">
        <v>6399</v>
      </c>
      <c r="D895" s="18">
        <v>18.25</v>
      </c>
      <c r="E895" s="18">
        <v>25.55</v>
      </c>
      <c r="F895" s="18">
        <v>12.0</v>
      </c>
    </row>
    <row r="896">
      <c r="A896" s="15">
        <v>21.0</v>
      </c>
      <c r="B896" s="16" t="s">
        <v>6400</v>
      </c>
      <c r="C896" s="17" t="s">
        <v>6401</v>
      </c>
      <c r="D896" s="18">
        <v>25.42</v>
      </c>
      <c r="E896" s="18">
        <v>40.0</v>
      </c>
      <c r="F896" s="18">
        <v>12.0</v>
      </c>
    </row>
    <row r="897">
      <c r="A897" s="15">
        <v>22.0</v>
      </c>
      <c r="B897" s="16" t="s">
        <v>6402</v>
      </c>
      <c r="C897" s="17" t="s">
        <v>5747</v>
      </c>
      <c r="D897" s="18">
        <v>23.0</v>
      </c>
      <c r="E897" s="18">
        <v>32.2</v>
      </c>
      <c r="F897" s="18">
        <v>12.0</v>
      </c>
    </row>
    <row r="898">
      <c r="A898" s="15">
        <v>23.0</v>
      </c>
      <c r="B898" s="16" t="s">
        <v>6403</v>
      </c>
      <c r="C898" s="17" t="s">
        <v>6404</v>
      </c>
      <c r="D898" s="18">
        <v>157.14</v>
      </c>
      <c r="E898" s="18">
        <v>220.0</v>
      </c>
      <c r="F898" s="18">
        <v>12.0</v>
      </c>
    </row>
    <row r="899">
      <c r="A899" s="15">
        <v>24.0</v>
      </c>
      <c r="B899" s="16" t="s">
        <v>6403</v>
      </c>
      <c r="C899" s="17" t="s">
        <v>6405</v>
      </c>
      <c r="D899" s="18">
        <v>87.29</v>
      </c>
      <c r="E899" s="18">
        <v>122.21</v>
      </c>
      <c r="F899" s="18">
        <v>12.0</v>
      </c>
    </row>
    <row r="900">
      <c r="A900" s="15">
        <v>25.0</v>
      </c>
      <c r="B900" s="16" t="s">
        <v>6403</v>
      </c>
      <c r="C900" s="17" t="s">
        <v>6406</v>
      </c>
      <c r="D900" s="18">
        <v>102.85</v>
      </c>
      <c r="E900" s="18">
        <v>143.99</v>
      </c>
      <c r="F900" s="18">
        <v>12.0</v>
      </c>
    </row>
    <row r="901">
      <c r="A901" s="15">
        <v>26.0</v>
      </c>
      <c r="B901" s="16" t="s">
        <v>6407</v>
      </c>
      <c r="C901" s="17" t="s">
        <v>6408</v>
      </c>
      <c r="D901" s="18">
        <v>51.07</v>
      </c>
      <c r="E901" s="18">
        <v>71.5</v>
      </c>
      <c r="F901" s="18">
        <v>12.0</v>
      </c>
    </row>
    <row r="902">
      <c r="A902" s="15">
        <v>27.0</v>
      </c>
      <c r="B902" s="16" t="s">
        <v>6407</v>
      </c>
      <c r="C902" s="17" t="s">
        <v>6409</v>
      </c>
      <c r="D902" s="18">
        <v>51.07</v>
      </c>
      <c r="E902" s="18">
        <v>71.5</v>
      </c>
      <c r="F902" s="18">
        <v>12.0</v>
      </c>
    </row>
    <row r="903">
      <c r="A903" s="15">
        <v>28.0</v>
      </c>
      <c r="B903" s="16" t="s">
        <v>6410</v>
      </c>
      <c r="C903" s="16" t="s">
        <v>6411</v>
      </c>
      <c r="D903" s="18">
        <v>14.3</v>
      </c>
      <c r="E903" s="18">
        <v>20.02</v>
      </c>
      <c r="F903" s="18">
        <v>12.0</v>
      </c>
    </row>
    <row r="904">
      <c r="A904" s="15">
        <v>29.0</v>
      </c>
      <c r="B904" s="16" t="s">
        <v>6412</v>
      </c>
      <c r="C904" s="17" t="s">
        <v>5536</v>
      </c>
      <c r="D904" s="18">
        <v>55.32</v>
      </c>
      <c r="E904" s="18">
        <v>76.0</v>
      </c>
      <c r="F904" s="18">
        <v>12.0</v>
      </c>
    </row>
    <row r="905">
      <c r="A905" s="15">
        <v>30.0</v>
      </c>
      <c r="B905" s="16" t="s">
        <v>6412</v>
      </c>
      <c r="C905" s="17" t="s">
        <v>5546</v>
      </c>
      <c r="D905" s="18">
        <v>118.84</v>
      </c>
      <c r="E905" s="18">
        <v>166.37</v>
      </c>
      <c r="F905" s="18">
        <v>12.0</v>
      </c>
    </row>
    <row r="906">
      <c r="A906" s="15">
        <v>31.0</v>
      </c>
      <c r="B906" s="16" t="s">
        <v>6413</v>
      </c>
      <c r="C906" s="17" t="s">
        <v>5536</v>
      </c>
      <c r="D906" s="18">
        <v>71.36</v>
      </c>
      <c r="E906" s="18">
        <v>98.0</v>
      </c>
      <c r="F906" s="18">
        <v>12.0</v>
      </c>
    </row>
    <row r="907">
      <c r="A907" s="15">
        <v>32.0</v>
      </c>
      <c r="B907" s="16" t="s">
        <v>6413</v>
      </c>
      <c r="C907" s="17" t="s">
        <v>5546</v>
      </c>
      <c r="D907" s="18">
        <v>133.24</v>
      </c>
      <c r="E907" s="18">
        <v>186.53</v>
      </c>
      <c r="F907" s="18">
        <v>12.0</v>
      </c>
    </row>
    <row r="908">
      <c r="A908" s="15">
        <v>33.0</v>
      </c>
      <c r="B908" s="16" t="s">
        <v>6414</v>
      </c>
      <c r="C908" s="17" t="s">
        <v>5636</v>
      </c>
      <c r="D908" s="18">
        <v>106.43</v>
      </c>
      <c r="E908" s="18">
        <v>149.0</v>
      </c>
      <c r="F908" s="18">
        <v>12.0</v>
      </c>
    </row>
    <row r="909">
      <c r="A909" s="15">
        <v>34.0</v>
      </c>
      <c r="B909" s="16" t="s">
        <v>6415</v>
      </c>
      <c r="C909" s="17" t="s">
        <v>6416</v>
      </c>
      <c r="D909" s="18">
        <v>65.0</v>
      </c>
      <c r="E909" s="18">
        <v>91.0</v>
      </c>
      <c r="F909" s="18">
        <v>12.0</v>
      </c>
    </row>
    <row r="910">
      <c r="A910" s="15">
        <v>35.0</v>
      </c>
      <c r="B910" s="16" t="s">
        <v>6415</v>
      </c>
      <c r="C910" s="17" t="s">
        <v>6417</v>
      </c>
      <c r="D910" s="18">
        <v>69.54</v>
      </c>
      <c r="E910" s="18">
        <v>97.35</v>
      </c>
      <c r="F910" s="18">
        <v>12.0</v>
      </c>
    </row>
    <row r="911">
      <c r="A911" s="15">
        <v>36.0</v>
      </c>
      <c r="B911" s="16" t="s">
        <v>6418</v>
      </c>
      <c r="C911" s="17" t="s">
        <v>6419</v>
      </c>
      <c r="D911" s="18">
        <v>58.38</v>
      </c>
      <c r="E911" s="18">
        <v>81.0</v>
      </c>
      <c r="F911" s="18">
        <v>12.0</v>
      </c>
    </row>
    <row r="912">
      <c r="A912" s="15">
        <v>37.0</v>
      </c>
      <c r="B912" s="16" t="s">
        <v>6420</v>
      </c>
      <c r="C912" s="17" t="s">
        <v>6421</v>
      </c>
      <c r="D912" s="18">
        <v>89.96</v>
      </c>
      <c r="E912" s="18">
        <v>125.95</v>
      </c>
      <c r="F912" s="18">
        <v>12.0</v>
      </c>
    </row>
    <row r="913">
      <c r="A913" s="15">
        <v>38.0</v>
      </c>
      <c r="B913" s="16" t="s">
        <v>6420</v>
      </c>
      <c r="C913" s="17" t="s">
        <v>6422</v>
      </c>
      <c r="D913" s="18">
        <v>79.94</v>
      </c>
      <c r="E913" s="18">
        <v>111.92</v>
      </c>
      <c r="F913" s="18">
        <v>12.0</v>
      </c>
    </row>
    <row r="914">
      <c r="A914" s="15">
        <v>39.0</v>
      </c>
      <c r="B914" s="16" t="s">
        <v>5953</v>
      </c>
      <c r="C914" s="17" t="s">
        <v>6423</v>
      </c>
      <c r="D914" s="18">
        <v>21.43</v>
      </c>
      <c r="E914" s="18">
        <v>30.0</v>
      </c>
      <c r="F914" s="18">
        <v>12.0</v>
      </c>
    </row>
    <row r="915">
      <c r="A915" s="15">
        <v>40.0</v>
      </c>
      <c r="B915" s="16" t="s">
        <v>5953</v>
      </c>
      <c r="C915" s="17" t="s">
        <v>6424</v>
      </c>
      <c r="D915" s="18">
        <v>32.54</v>
      </c>
      <c r="E915" s="18">
        <v>48.0</v>
      </c>
      <c r="F915" s="18">
        <v>18.0</v>
      </c>
    </row>
    <row r="916">
      <c r="A916" s="15">
        <v>41.0</v>
      </c>
      <c r="B916" s="16" t="s">
        <v>6425</v>
      </c>
      <c r="C916" s="16" t="s">
        <v>5700</v>
      </c>
      <c r="D916" s="18">
        <v>13.3</v>
      </c>
      <c r="E916" s="18">
        <v>18.26</v>
      </c>
      <c r="F916" s="18">
        <v>12.0</v>
      </c>
    </row>
    <row r="917">
      <c r="A917" s="15">
        <v>42.0</v>
      </c>
      <c r="B917" s="16" t="s">
        <v>6426</v>
      </c>
      <c r="C917" s="17" t="s">
        <v>6374</v>
      </c>
      <c r="D917" s="18">
        <v>131.76</v>
      </c>
      <c r="E917" s="18">
        <v>184.46</v>
      </c>
      <c r="F917" s="18">
        <v>12.0</v>
      </c>
    </row>
    <row r="918">
      <c r="A918" s="15">
        <v>43.0</v>
      </c>
      <c r="B918" s="16" t="s">
        <v>6427</v>
      </c>
      <c r="C918" s="17" t="s">
        <v>6305</v>
      </c>
      <c r="D918" s="18">
        <v>158.37</v>
      </c>
      <c r="E918" s="18">
        <v>217.5</v>
      </c>
      <c r="F918" s="18">
        <v>12.0</v>
      </c>
    </row>
    <row r="919">
      <c r="A919" s="15">
        <v>44.0</v>
      </c>
      <c r="B919" s="16" t="s">
        <v>6428</v>
      </c>
      <c r="C919" s="16" t="s">
        <v>5700</v>
      </c>
      <c r="D919" s="18">
        <v>27.39</v>
      </c>
      <c r="E919" s="18">
        <v>38.0</v>
      </c>
      <c r="F919" s="18">
        <v>12.0</v>
      </c>
    </row>
    <row r="920">
      <c r="A920" s="15">
        <v>45.0</v>
      </c>
      <c r="B920" s="16" t="s">
        <v>6429</v>
      </c>
      <c r="C920" s="17" t="s">
        <v>6430</v>
      </c>
      <c r="D920" s="18">
        <v>48.31</v>
      </c>
      <c r="E920" s="18">
        <v>67.64</v>
      </c>
      <c r="F920" s="18">
        <v>12.0</v>
      </c>
    </row>
    <row r="921">
      <c r="A921" s="15">
        <v>46.0</v>
      </c>
      <c r="B921" s="16" t="s">
        <v>6431</v>
      </c>
      <c r="C921" s="17" t="s">
        <v>6430</v>
      </c>
      <c r="D921" s="18">
        <v>33.91</v>
      </c>
      <c r="E921" s="18">
        <v>47.47</v>
      </c>
      <c r="F921" s="18">
        <v>12.0</v>
      </c>
    </row>
    <row r="922">
      <c r="A922" s="15">
        <v>47.0</v>
      </c>
      <c r="B922" s="16" t="s">
        <v>6431</v>
      </c>
      <c r="C922" s="17" t="s">
        <v>6432</v>
      </c>
      <c r="D922" s="18">
        <v>28.04</v>
      </c>
      <c r="E922" s="18">
        <v>38.5</v>
      </c>
      <c r="F922" s="18">
        <v>12.0</v>
      </c>
    </row>
    <row r="923">
      <c r="A923" s="15">
        <v>48.0</v>
      </c>
      <c r="B923" s="16" t="s">
        <v>6433</v>
      </c>
      <c r="C923" s="17" t="s">
        <v>5827</v>
      </c>
      <c r="D923" s="18">
        <v>77.91</v>
      </c>
      <c r="E923" s="18">
        <v>107.0</v>
      </c>
      <c r="F923" s="18">
        <v>12.0</v>
      </c>
    </row>
    <row r="924">
      <c r="A924" s="6"/>
      <c r="B924" s="7"/>
      <c r="C924" s="7"/>
      <c r="D924" s="7"/>
      <c r="E924" s="7"/>
      <c r="F924" s="8"/>
    </row>
    <row r="925">
      <c r="A925" s="9" t="s">
        <v>6434</v>
      </c>
      <c r="B925" s="10"/>
      <c r="C925" s="10"/>
      <c r="D925" s="10"/>
      <c r="E925" s="10"/>
      <c r="F925" s="10"/>
    </row>
    <row r="926">
      <c r="A926" s="11">
        <v>1.0</v>
      </c>
      <c r="B926" s="12" t="s">
        <v>6435</v>
      </c>
      <c r="C926" s="13" t="s">
        <v>6436</v>
      </c>
      <c r="D926" s="14">
        <v>272.89</v>
      </c>
      <c r="E926" s="14">
        <v>402.5</v>
      </c>
      <c r="F926" s="14">
        <v>18.0</v>
      </c>
    </row>
    <row r="927">
      <c r="A927" s="15">
        <v>2.0</v>
      </c>
      <c r="B927" s="16" t="s">
        <v>6437</v>
      </c>
      <c r="C927" s="17" t="s">
        <v>5731</v>
      </c>
      <c r="D927" s="18">
        <v>221.43</v>
      </c>
      <c r="E927" s="18">
        <v>310.0</v>
      </c>
      <c r="F927" s="18">
        <v>12.0</v>
      </c>
    </row>
    <row r="928">
      <c r="A928" s="15">
        <v>3.0</v>
      </c>
      <c r="B928" s="16" t="s">
        <v>6438</v>
      </c>
      <c r="C928" s="17" t="s">
        <v>5536</v>
      </c>
      <c r="D928" s="18">
        <v>172.42</v>
      </c>
      <c r="E928" s="18">
        <v>241.39</v>
      </c>
      <c r="F928" s="18">
        <v>12.0</v>
      </c>
    </row>
    <row r="929">
      <c r="A929" s="15">
        <v>4.0</v>
      </c>
      <c r="B929" s="16" t="s">
        <v>6439</v>
      </c>
      <c r="C929" s="17" t="s">
        <v>6440</v>
      </c>
      <c r="D929" s="18">
        <v>298.31</v>
      </c>
      <c r="E929" s="18">
        <v>440.0</v>
      </c>
      <c r="F929" s="18">
        <v>18.0</v>
      </c>
    </row>
    <row r="930">
      <c r="A930" s="15">
        <v>5.0</v>
      </c>
      <c r="B930" s="16" t="s">
        <v>6439</v>
      </c>
      <c r="C930" s="17" t="s">
        <v>6441</v>
      </c>
      <c r="D930" s="18">
        <v>623.73</v>
      </c>
      <c r="E930" s="18">
        <v>920.0</v>
      </c>
      <c r="F930" s="18">
        <v>18.0</v>
      </c>
    </row>
    <row r="931">
      <c r="A931" s="15">
        <v>6.0</v>
      </c>
      <c r="B931" s="16" t="s">
        <v>6442</v>
      </c>
      <c r="C931" s="17" t="s">
        <v>6443</v>
      </c>
      <c r="D931" s="18">
        <v>318.75</v>
      </c>
      <c r="E931" s="18">
        <v>446.25</v>
      </c>
      <c r="F931" s="18">
        <v>12.0</v>
      </c>
    </row>
    <row r="932">
      <c r="A932" s="15">
        <v>7.0</v>
      </c>
      <c r="B932" s="16" t="s">
        <v>6444</v>
      </c>
      <c r="C932" s="17" t="s">
        <v>5536</v>
      </c>
      <c r="D932" s="18">
        <v>138.16</v>
      </c>
      <c r="E932" s="18">
        <v>181.33</v>
      </c>
      <c r="F932" s="18">
        <v>5.0</v>
      </c>
    </row>
    <row r="933">
      <c r="A933" s="15">
        <v>8.0</v>
      </c>
      <c r="B933" s="16" t="s">
        <v>6445</v>
      </c>
      <c r="C933" s="17" t="s">
        <v>5614</v>
      </c>
      <c r="D933" s="18">
        <v>208.56</v>
      </c>
      <c r="E933" s="18">
        <v>273.73</v>
      </c>
      <c r="F933" s="18">
        <v>5.0</v>
      </c>
    </row>
    <row r="934">
      <c r="A934" s="15">
        <v>9.0</v>
      </c>
      <c r="B934" s="16" t="s">
        <v>6446</v>
      </c>
      <c r="C934" s="17" t="s">
        <v>5536</v>
      </c>
      <c r="D934" s="18">
        <v>230.12</v>
      </c>
      <c r="E934" s="18">
        <v>302.03</v>
      </c>
      <c r="F934" s="18">
        <v>5.0</v>
      </c>
    </row>
    <row r="935">
      <c r="A935" s="15">
        <v>10.0</v>
      </c>
      <c r="B935" s="16" t="s">
        <v>6447</v>
      </c>
      <c r="C935" s="17" t="s">
        <v>5536</v>
      </c>
      <c r="D935" s="18">
        <v>83.39</v>
      </c>
      <c r="E935" s="18">
        <v>109.45</v>
      </c>
      <c r="F935" s="18">
        <v>5.0</v>
      </c>
    </row>
    <row r="936">
      <c r="A936" s="15">
        <v>11.0</v>
      </c>
      <c r="B936" s="16" t="s">
        <v>6448</v>
      </c>
      <c r="C936" s="17" t="s">
        <v>6282</v>
      </c>
      <c r="D936" s="18">
        <v>202.5</v>
      </c>
      <c r="E936" s="18">
        <v>283.5</v>
      </c>
      <c r="F936" s="18">
        <v>12.0</v>
      </c>
    </row>
    <row r="937">
      <c r="A937" s="15">
        <v>12.0</v>
      </c>
      <c r="B937" s="16" t="s">
        <v>6448</v>
      </c>
      <c r="C937" s="17" t="s">
        <v>6449</v>
      </c>
      <c r="D937" s="18">
        <v>151.25</v>
      </c>
      <c r="E937" s="18">
        <v>211.75</v>
      </c>
      <c r="F937" s="18">
        <v>12.0</v>
      </c>
    </row>
    <row r="938">
      <c r="A938" s="15">
        <v>13.0</v>
      </c>
      <c r="B938" s="16" t="s">
        <v>6450</v>
      </c>
      <c r="C938" s="17" t="s">
        <v>5899</v>
      </c>
      <c r="D938" s="18">
        <v>72.5</v>
      </c>
      <c r="E938" s="18">
        <v>101.5</v>
      </c>
      <c r="F938" s="18">
        <v>12.0</v>
      </c>
    </row>
    <row r="939">
      <c r="A939" s="15">
        <v>14.0</v>
      </c>
      <c r="B939" s="16" t="s">
        <v>6451</v>
      </c>
      <c r="C939" s="17" t="s">
        <v>5827</v>
      </c>
      <c r="D939" s="18">
        <v>75.0</v>
      </c>
      <c r="E939" s="18">
        <v>105.0</v>
      </c>
      <c r="F939" s="18">
        <v>12.0</v>
      </c>
    </row>
    <row r="940">
      <c r="A940" s="15">
        <v>15.0</v>
      </c>
      <c r="B940" s="16" t="s">
        <v>6451</v>
      </c>
      <c r="C940" s="17" t="s">
        <v>5742</v>
      </c>
      <c r="D940" s="18">
        <v>157.14</v>
      </c>
      <c r="E940" s="18">
        <v>220.0</v>
      </c>
      <c r="F940" s="18">
        <v>12.0</v>
      </c>
    </row>
    <row r="941">
      <c r="A941" s="15">
        <v>16.0</v>
      </c>
      <c r="B941" s="16" t="s">
        <v>6451</v>
      </c>
      <c r="C941" s="17" t="s">
        <v>5674</v>
      </c>
      <c r="D941" s="18">
        <v>392.86</v>
      </c>
      <c r="E941" s="18">
        <v>550.0</v>
      </c>
      <c r="F941" s="18">
        <v>12.0</v>
      </c>
    </row>
    <row r="942">
      <c r="A942" s="15">
        <v>17.0</v>
      </c>
      <c r="B942" s="16" t="s">
        <v>6451</v>
      </c>
      <c r="C942" s="17" t="s">
        <v>6452</v>
      </c>
      <c r="D942" s="18">
        <v>214.29</v>
      </c>
      <c r="E942" s="18">
        <v>300.0</v>
      </c>
      <c r="F942" s="18">
        <v>12.0</v>
      </c>
    </row>
    <row r="943">
      <c r="A943" s="15">
        <v>18.0</v>
      </c>
      <c r="B943" s="16" t="s">
        <v>6453</v>
      </c>
      <c r="C943" s="17" t="s">
        <v>5731</v>
      </c>
      <c r="D943" s="18">
        <v>88.84</v>
      </c>
      <c r="E943" s="18">
        <v>122.0</v>
      </c>
      <c r="F943" s="18">
        <v>12.0</v>
      </c>
    </row>
    <row r="944">
      <c r="A944" s="15">
        <v>19.0</v>
      </c>
      <c r="B944" s="16" t="s">
        <v>6453</v>
      </c>
      <c r="C944" s="17" t="s">
        <v>6454</v>
      </c>
      <c r="D944" s="18">
        <v>192.86</v>
      </c>
      <c r="E944" s="18">
        <v>270.0</v>
      </c>
      <c r="F944" s="18">
        <v>12.0</v>
      </c>
    </row>
    <row r="945">
      <c r="A945" s="15">
        <v>20.0</v>
      </c>
      <c r="B945" s="16" t="s">
        <v>6455</v>
      </c>
      <c r="C945" s="17" t="s">
        <v>6456</v>
      </c>
      <c r="D945" s="18">
        <v>243.57</v>
      </c>
      <c r="E945" s="18">
        <v>341.0</v>
      </c>
      <c r="F945" s="18">
        <v>12.0</v>
      </c>
    </row>
    <row r="946">
      <c r="A946" s="15">
        <v>21.0</v>
      </c>
      <c r="B946" s="16" t="s">
        <v>6457</v>
      </c>
      <c r="C946" s="17" t="s">
        <v>5828</v>
      </c>
      <c r="D946" s="18">
        <v>214.29</v>
      </c>
      <c r="E946" s="18">
        <v>300.0</v>
      </c>
      <c r="F946" s="18">
        <v>12.0</v>
      </c>
    </row>
    <row r="947">
      <c r="A947" s="15">
        <v>22.0</v>
      </c>
      <c r="B947" s="16" t="s">
        <v>6458</v>
      </c>
      <c r="C947" s="17" t="s">
        <v>5674</v>
      </c>
      <c r="D947" s="18">
        <v>353.57</v>
      </c>
      <c r="E947" s="18">
        <v>495.0</v>
      </c>
      <c r="F947" s="18">
        <v>12.0</v>
      </c>
    </row>
    <row r="948">
      <c r="A948" s="15">
        <v>23.0</v>
      </c>
      <c r="B948" s="16" t="s">
        <v>6459</v>
      </c>
      <c r="C948" s="16" t="s">
        <v>6460</v>
      </c>
      <c r="D948" s="18">
        <v>644.07</v>
      </c>
      <c r="E948" s="18">
        <v>950.0</v>
      </c>
      <c r="F948" s="18">
        <v>18.0</v>
      </c>
    </row>
    <row r="949">
      <c r="A949" s="15">
        <v>24.0</v>
      </c>
      <c r="B949" s="16" t="s">
        <v>6461</v>
      </c>
      <c r="C949" s="17" t="s">
        <v>6462</v>
      </c>
      <c r="D949" s="18">
        <v>657.63</v>
      </c>
      <c r="E949" s="18">
        <v>970.0</v>
      </c>
      <c r="F949" s="18">
        <v>18.0</v>
      </c>
    </row>
    <row r="950">
      <c r="A950" s="15">
        <v>25.0</v>
      </c>
      <c r="B950" s="16" t="s">
        <v>6463</v>
      </c>
      <c r="C950" s="17" t="s">
        <v>6464</v>
      </c>
      <c r="D950" s="18">
        <v>352.03</v>
      </c>
      <c r="E950" s="18">
        <v>519.24</v>
      </c>
      <c r="F950" s="18">
        <v>18.0</v>
      </c>
    </row>
    <row r="951">
      <c r="A951" s="15">
        <v>26.0</v>
      </c>
      <c r="B951" s="16" t="s">
        <v>6465</v>
      </c>
      <c r="C951" s="17" t="s">
        <v>6464</v>
      </c>
      <c r="D951" s="18">
        <v>381.89</v>
      </c>
      <c r="E951" s="18">
        <v>563.29</v>
      </c>
      <c r="F951" s="18">
        <v>18.0</v>
      </c>
    </row>
    <row r="952">
      <c r="A952" s="15">
        <v>27.0</v>
      </c>
      <c r="B952" s="16" t="s">
        <v>6466</v>
      </c>
      <c r="C952" s="17" t="s">
        <v>6467</v>
      </c>
      <c r="D952" s="18">
        <v>166.37</v>
      </c>
      <c r="E952" s="18">
        <v>232.92</v>
      </c>
      <c r="F952" s="18">
        <v>12.0</v>
      </c>
    </row>
    <row r="953">
      <c r="A953" s="15">
        <v>28.0</v>
      </c>
      <c r="B953" s="16" t="s">
        <v>6468</v>
      </c>
      <c r="C953" s="17" t="s">
        <v>5827</v>
      </c>
      <c r="D953" s="18">
        <v>64.04</v>
      </c>
      <c r="E953" s="18">
        <v>81.5</v>
      </c>
      <c r="F953" s="18">
        <v>12.0</v>
      </c>
    </row>
    <row r="954">
      <c r="A954" s="15">
        <v>29.0</v>
      </c>
      <c r="B954" s="16" t="s">
        <v>6468</v>
      </c>
      <c r="C954" s="17" t="s">
        <v>6469</v>
      </c>
      <c r="D954" s="18">
        <v>172.86</v>
      </c>
      <c r="E954" s="18">
        <v>242.0</v>
      </c>
      <c r="F954" s="18">
        <v>12.0</v>
      </c>
    </row>
    <row r="955">
      <c r="A955" s="15">
        <v>30.0</v>
      </c>
      <c r="B955" s="16" t="s">
        <v>6468</v>
      </c>
      <c r="C955" s="17" t="s">
        <v>6186</v>
      </c>
      <c r="D955" s="18">
        <v>92.86</v>
      </c>
      <c r="E955" s="18">
        <v>130.0</v>
      </c>
      <c r="F955" s="18">
        <v>12.0</v>
      </c>
    </row>
    <row r="956">
      <c r="A956" s="6"/>
      <c r="B956" s="7"/>
      <c r="C956" s="7"/>
      <c r="D956" s="7"/>
      <c r="E956" s="8"/>
      <c r="F956" s="16" t="s">
        <v>6470</v>
      </c>
    </row>
    <row r="957">
      <c r="A957" s="6"/>
      <c r="B957" s="7"/>
      <c r="C957" s="7"/>
      <c r="D957" s="7"/>
      <c r="E957" s="7"/>
      <c r="F957" s="8"/>
    </row>
    <row r="958">
      <c r="A958" s="6"/>
      <c r="B958" s="7"/>
      <c r="C958" s="7"/>
      <c r="D958" s="7"/>
      <c r="E958" s="7"/>
      <c r="F958" s="8"/>
    </row>
    <row r="959">
      <c r="A959" s="6"/>
      <c r="B959" s="7"/>
      <c r="C959" s="7"/>
      <c r="D959" s="7"/>
      <c r="E959" s="7"/>
      <c r="F959" s="8"/>
    </row>
    <row r="960">
      <c r="A960" s="6"/>
      <c r="B960" s="7"/>
      <c r="C960" s="7"/>
      <c r="D960" s="7"/>
      <c r="E960" s="7"/>
      <c r="F960" s="8"/>
    </row>
    <row r="961">
      <c r="A961" s="9" t="s">
        <v>5582</v>
      </c>
      <c r="B961" s="10"/>
      <c r="C961" s="10"/>
      <c r="D961" s="10"/>
      <c r="E961" s="10"/>
      <c r="F961" s="10"/>
    </row>
    <row r="962">
      <c r="A962" s="19" t="s">
        <v>5583</v>
      </c>
    </row>
    <row r="963">
      <c r="A963" s="6"/>
      <c r="B963" s="7"/>
      <c r="C963" s="7"/>
      <c r="D963" s="8"/>
      <c r="E963" s="12" t="s">
        <v>5584</v>
      </c>
      <c r="F963" s="12" t="s">
        <v>6471</v>
      </c>
    </row>
    <row r="964">
      <c r="A964" s="20" t="s">
        <v>5522</v>
      </c>
      <c r="B964" s="16" t="s">
        <v>5523</v>
      </c>
      <c r="C964" s="16" t="s">
        <v>5524</v>
      </c>
      <c r="D964" s="16" t="s">
        <v>5525</v>
      </c>
      <c r="E964" s="16" t="s">
        <v>5526</v>
      </c>
      <c r="F964" s="16" t="s">
        <v>5586</v>
      </c>
    </row>
    <row r="965">
      <c r="A965" s="15">
        <v>31.0</v>
      </c>
      <c r="B965" s="16" t="s">
        <v>6472</v>
      </c>
      <c r="C965" s="17" t="s">
        <v>5536</v>
      </c>
      <c r="D965" s="18">
        <v>121.91</v>
      </c>
      <c r="E965" s="18">
        <v>160.0</v>
      </c>
      <c r="F965" s="18">
        <v>5.0</v>
      </c>
    </row>
    <row r="966">
      <c r="A966" s="15">
        <v>32.0</v>
      </c>
      <c r="B966" s="16" t="s">
        <v>6473</v>
      </c>
      <c r="C966" s="17" t="s">
        <v>5536</v>
      </c>
      <c r="D966" s="18">
        <v>130.29</v>
      </c>
      <c r="E966" s="18">
        <v>171.0</v>
      </c>
      <c r="F966" s="18">
        <v>5.0</v>
      </c>
    </row>
    <row r="967">
      <c r="A967" s="15">
        <v>33.0</v>
      </c>
      <c r="B967" s="16" t="s">
        <v>6474</v>
      </c>
      <c r="C967" s="17" t="s">
        <v>6475</v>
      </c>
      <c r="D967" s="18">
        <v>185.37</v>
      </c>
      <c r="E967" s="18">
        <v>259.52</v>
      </c>
      <c r="F967" s="18">
        <v>12.0</v>
      </c>
    </row>
    <row r="968">
      <c r="A968" s="15">
        <v>34.0</v>
      </c>
      <c r="B968" s="16" t="s">
        <v>6474</v>
      </c>
      <c r="C968" s="17" t="s">
        <v>6476</v>
      </c>
      <c r="D968" s="18">
        <v>97.14</v>
      </c>
      <c r="E968" s="18">
        <v>136.0</v>
      </c>
      <c r="F968" s="18">
        <v>12.0</v>
      </c>
    </row>
    <row r="969">
      <c r="A969" s="15">
        <v>35.0</v>
      </c>
      <c r="B969" s="16" t="s">
        <v>777</v>
      </c>
      <c r="C969" s="21"/>
      <c r="D969" s="18">
        <v>0.0</v>
      </c>
      <c r="E969" s="18">
        <v>0.0</v>
      </c>
      <c r="F969" s="18">
        <v>0.0</v>
      </c>
    </row>
    <row r="970">
      <c r="A970" s="6"/>
      <c r="B970" s="7"/>
      <c r="C970" s="7"/>
      <c r="D970" s="7"/>
      <c r="E970" s="7"/>
      <c r="F970" s="8"/>
    </row>
    <row r="971">
      <c r="A971" s="9" t="s">
        <v>779</v>
      </c>
      <c r="B971" s="10"/>
      <c r="C971" s="10"/>
      <c r="D971" s="10"/>
      <c r="E971" s="10"/>
      <c r="F971" s="10"/>
    </row>
    <row r="972">
      <c r="A972" s="11">
        <v>1.0</v>
      </c>
      <c r="B972" s="12" t="s">
        <v>6477</v>
      </c>
      <c r="C972" s="13" t="s">
        <v>6478</v>
      </c>
      <c r="D972" s="14">
        <v>103.57</v>
      </c>
      <c r="E972" s="14">
        <v>145.0</v>
      </c>
      <c r="F972" s="14">
        <v>12.0</v>
      </c>
    </row>
    <row r="973">
      <c r="A973" s="6"/>
      <c r="B973" s="7"/>
      <c r="C973" s="7"/>
      <c r="D973" s="7"/>
      <c r="E973" s="7"/>
      <c r="F973" s="8"/>
    </row>
    <row r="974">
      <c r="A974" s="9" t="s">
        <v>6479</v>
      </c>
      <c r="B974" s="10"/>
      <c r="C974" s="10"/>
      <c r="D974" s="10"/>
      <c r="E974" s="10"/>
      <c r="F974" s="10"/>
    </row>
    <row r="975">
      <c r="A975" s="11">
        <v>1.0</v>
      </c>
      <c r="B975" s="12" t="s">
        <v>6480</v>
      </c>
      <c r="C975" s="13" t="s">
        <v>6481</v>
      </c>
      <c r="D975" s="14">
        <v>321.43</v>
      </c>
      <c r="E975" s="14">
        <v>450.0</v>
      </c>
      <c r="F975" s="14">
        <v>12.0</v>
      </c>
    </row>
    <row r="976">
      <c r="A976" s="15">
        <v>2.0</v>
      </c>
      <c r="B976" s="16" t="s">
        <v>6482</v>
      </c>
      <c r="C976" s="17" t="s">
        <v>5565</v>
      </c>
      <c r="D976" s="18">
        <v>453.81</v>
      </c>
      <c r="E976" s="18">
        <v>635.33</v>
      </c>
      <c r="F976" s="18">
        <v>12.0</v>
      </c>
    </row>
    <row r="977">
      <c r="A977" s="15">
        <v>3.0</v>
      </c>
      <c r="B977" s="16" t="s">
        <v>783</v>
      </c>
      <c r="C977" s="16" t="s">
        <v>5558</v>
      </c>
      <c r="D977" s="18">
        <v>153.99</v>
      </c>
      <c r="E977" s="18">
        <v>215.58</v>
      </c>
      <c r="F977" s="18">
        <v>12.0</v>
      </c>
    </row>
    <row r="978">
      <c r="A978" s="15">
        <v>4.0</v>
      </c>
      <c r="B978" s="16" t="s">
        <v>783</v>
      </c>
      <c r="C978" s="16" t="s">
        <v>6483</v>
      </c>
      <c r="D978" s="18">
        <v>954.64</v>
      </c>
      <c r="E978" s="18">
        <v>1324.55</v>
      </c>
      <c r="F978" s="18">
        <v>12.0</v>
      </c>
    </row>
    <row r="979">
      <c r="A979" s="15">
        <v>5.0</v>
      </c>
      <c r="B979" s="16" t="s">
        <v>6484</v>
      </c>
      <c r="C979" s="17" t="s">
        <v>5536</v>
      </c>
      <c r="D979" s="18">
        <v>79.24</v>
      </c>
      <c r="E979" s="18">
        <v>104.0</v>
      </c>
      <c r="F979" s="18">
        <v>5.0</v>
      </c>
    </row>
    <row r="980">
      <c r="A980" s="15">
        <v>6.0</v>
      </c>
      <c r="B980" s="16" t="s">
        <v>6485</v>
      </c>
      <c r="C980" s="17" t="s">
        <v>5536</v>
      </c>
      <c r="D980" s="18">
        <v>87.21</v>
      </c>
      <c r="E980" s="18">
        <v>122.1</v>
      </c>
      <c r="F980" s="18">
        <v>12.0</v>
      </c>
    </row>
    <row r="981">
      <c r="A981" s="15">
        <v>7.0</v>
      </c>
      <c r="B981" s="16" t="s">
        <v>6486</v>
      </c>
      <c r="C981" s="17" t="s">
        <v>6487</v>
      </c>
      <c r="D981" s="18">
        <v>2111.52</v>
      </c>
      <c r="E981" s="18">
        <v>2900.0</v>
      </c>
      <c r="F981" s="18">
        <v>12.0</v>
      </c>
    </row>
    <row r="982">
      <c r="A982" s="15">
        <v>8.0</v>
      </c>
      <c r="B982" s="16" t="s">
        <v>6488</v>
      </c>
      <c r="C982" s="17" t="s">
        <v>5636</v>
      </c>
      <c r="D982" s="18">
        <v>99.6</v>
      </c>
      <c r="E982" s="18">
        <v>139.44</v>
      </c>
      <c r="F982" s="18">
        <v>12.0</v>
      </c>
    </row>
    <row r="983">
      <c r="A983" s="15">
        <v>9.0</v>
      </c>
      <c r="B983" s="16" t="s">
        <v>6488</v>
      </c>
      <c r="C983" s="17" t="s">
        <v>6489</v>
      </c>
      <c r="D983" s="18">
        <v>644.96</v>
      </c>
      <c r="E983" s="18">
        <v>902.94</v>
      </c>
      <c r="F983" s="18">
        <v>12.0</v>
      </c>
    </row>
    <row r="984">
      <c r="A984" s="15">
        <v>10.0</v>
      </c>
      <c r="B984" s="16" t="s">
        <v>6490</v>
      </c>
      <c r="C984" s="17" t="s">
        <v>6491</v>
      </c>
      <c r="D984" s="18">
        <v>2162.17</v>
      </c>
      <c r="E984" s="18">
        <v>3000.0</v>
      </c>
      <c r="F984" s="18">
        <v>12.0</v>
      </c>
    </row>
    <row r="985">
      <c r="A985" s="15">
        <v>11.0</v>
      </c>
      <c r="B985" s="16" t="s">
        <v>6492</v>
      </c>
      <c r="C985" s="17" t="s">
        <v>6491</v>
      </c>
      <c r="D985" s="18">
        <v>1117.13</v>
      </c>
      <c r="E985" s="18">
        <v>1550.0</v>
      </c>
      <c r="F985" s="18">
        <v>12.0</v>
      </c>
    </row>
    <row r="986">
      <c r="A986" s="15">
        <v>12.0</v>
      </c>
      <c r="B986" s="16" t="s">
        <v>6493</v>
      </c>
      <c r="C986" s="17" t="s">
        <v>5598</v>
      </c>
      <c r="D986" s="18">
        <v>351.3</v>
      </c>
      <c r="E986" s="18">
        <v>491.82</v>
      </c>
      <c r="F986" s="18">
        <v>12.0</v>
      </c>
    </row>
    <row r="987">
      <c r="A987" s="15">
        <v>13.0</v>
      </c>
      <c r="B987" s="16" t="s">
        <v>6494</v>
      </c>
      <c r="C987" s="17" t="s">
        <v>5765</v>
      </c>
      <c r="D987" s="18">
        <v>1512.39</v>
      </c>
      <c r="E987" s="18">
        <v>3658.6</v>
      </c>
      <c r="F987" s="18">
        <v>12.0</v>
      </c>
    </row>
    <row r="988">
      <c r="A988" s="6"/>
      <c r="B988" s="7"/>
      <c r="C988" s="7"/>
      <c r="D988" s="7"/>
      <c r="E988" s="7"/>
      <c r="F988" s="8"/>
    </row>
    <row r="989">
      <c r="A989" s="9" t="s">
        <v>6495</v>
      </c>
      <c r="B989" s="10"/>
      <c r="C989" s="10"/>
      <c r="D989" s="10"/>
      <c r="E989" s="10"/>
      <c r="F989" s="10"/>
    </row>
    <row r="990">
      <c r="A990" s="11">
        <v>1.0</v>
      </c>
      <c r="B990" s="12" t="s">
        <v>793</v>
      </c>
      <c r="C990" s="12" t="s">
        <v>6496</v>
      </c>
      <c r="D990" s="14">
        <v>657.78</v>
      </c>
      <c r="E990" s="14">
        <v>863.33</v>
      </c>
      <c r="F990" s="14">
        <v>5.0</v>
      </c>
    </row>
    <row r="991">
      <c r="A991" s="15">
        <v>2.0</v>
      </c>
      <c r="B991" s="16" t="s">
        <v>6497</v>
      </c>
      <c r="C991" s="17" t="s">
        <v>5546</v>
      </c>
      <c r="D991" s="18">
        <v>55.74</v>
      </c>
      <c r="E991" s="18">
        <v>78.04</v>
      </c>
      <c r="F991" s="18">
        <v>12.0</v>
      </c>
    </row>
    <row r="992">
      <c r="A992" s="15">
        <v>3.0</v>
      </c>
      <c r="B992" s="16" t="s">
        <v>6498</v>
      </c>
      <c r="C992" s="17" t="s">
        <v>5546</v>
      </c>
      <c r="D992" s="18">
        <v>98.58</v>
      </c>
      <c r="E992" s="18">
        <v>138.01</v>
      </c>
      <c r="F992" s="18">
        <v>12.0</v>
      </c>
    </row>
    <row r="993">
      <c r="A993" s="15">
        <v>4.0</v>
      </c>
      <c r="B993" s="16" t="s">
        <v>6499</v>
      </c>
      <c r="C993" s="17" t="s">
        <v>5614</v>
      </c>
      <c r="D993" s="18">
        <v>57.36</v>
      </c>
      <c r="E993" s="18">
        <v>80.3</v>
      </c>
      <c r="F993" s="18">
        <v>12.0</v>
      </c>
    </row>
    <row r="994">
      <c r="A994" s="15">
        <v>5.0</v>
      </c>
      <c r="B994" s="16" t="s">
        <v>6500</v>
      </c>
      <c r="C994" s="17" t="s">
        <v>5614</v>
      </c>
      <c r="D994" s="18">
        <v>104.58</v>
      </c>
      <c r="E994" s="18">
        <v>146.41</v>
      </c>
      <c r="F994" s="18">
        <v>12.0</v>
      </c>
    </row>
    <row r="995">
      <c r="A995" s="15">
        <v>6.0</v>
      </c>
      <c r="B995" s="16" t="s">
        <v>6501</v>
      </c>
      <c r="C995" s="16" t="s">
        <v>6502</v>
      </c>
      <c r="D995" s="18">
        <v>73.91</v>
      </c>
      <c r="E995" s="18">
        <v>101.5</v>
      </c>
      <c r="F995" s="18">
        <v>12.0</v>
      </c>
    </row>
    <row r="996">
      <c r="A996" s="15">
        <v>7.0</v>
      </c>
      <c r="B996" s="16" t="s">
        <v>6503</v>
      </c>
      <c r="C996" s="17" t="s">
        <v>5562</v>
      </c>
      <c r="D996" s="18">
        <v>161.46</v>
      </c>
      <c r="E996" s="18">
        <v>226.05</v>
      </c>
      <c r="F996" s="18">
        <v>12.0</v>
      </c>
    </row>
    <row r="997">
      <c r="A997" s="15">
        <v>8.0</v>
      </c>
      <c r="B997" s="16" t="s">
        <v>6504</v>
      </c>
      <c r="C997" s="17" t="s">
        <v>6505</v>
      </c>
      <c r="D997" s="18">
        <v>164.8</v>
      </c>
      <c r="E997" s="18">
        <v>216.3</v>
      </c>
      <c r="F997" s="18">
        <v>5.0</v>
      </c>
    </row>
    <row r="998">
      <c r="A998" s="15">
        <v>9.0</v>
      </c>
      <c r="B998" s="16" t="s">
        <v>6504</v>
      </c>
      <c r="C998" s="17" t="s">
        <v>6506</v>
      </c>
      <c r="D998" s="18">
        <v>82.4</v>
      </c>
      <c r="E998" s="18">
        <v>108.15</v>
      </c>
      <c r="F998" s="18">
        <v>5.0</v>
      </c>
    </row>
    <row r="999">
      <c r="A999" s="15">
        <v>10.0</v>
      </c>
      <c r="B999" s="16" t="s">
        <v>803</v>
      </c>
      <c r="C999" s="16" t="s">
        <v>5679</v>
      </c>
      <c r="D999" s="18">
        <v>102.69</v>
      </c>
      <c r="E999" s="18">
        <v>141.0</v>
      </c>
      <c r="F999" s="18">
        <v>12.0</v>
      </c>
    </row>
    <row r="1000">
      <c r="A1000" s="15">
        <v>11.0</v>
      </c>
      <c r="B1000" s="16" t="s">
        <v>6507</v>
      </c>
      <c r="C1000" s="17" t="s">
        <v>5536</v>
      </c>
      <c r="D1000" s="18">
        <v>106.43</v>
      </c>
      <c r="E1000" s="18">
        <v>149.0</v>
      </c>
      <c r="F1000" s="18">
        <v>12.0</v>
      </c>
    </row>
    <row r="1001">
      <c r="A1001" s="15">
        <v>12.0</v>
      </c>
      <c r="B1001" s="16" t="s">
        <v>6508</v>
      </c>
      <c r="C1001" s="16" t="s">
        <v>6509</v>
      </c>
      <c r="D1001" s="18">
        <v>993.15</v>
      </c>
      <c r="E1001" s="18">
        <v>1390.4</v>
      </c>
      <c r="F1001" s="18">
        <v>12.0</v>
      </c>
    </row>
    <row r="1002">
      <c r="A1002" s="15">
        <v>13.0</v>
      </c>
      <c r="B1002" s="16" t="s">
        <v>6510</v>
      </c>
      <c r="C1002" s="17" t="s">
        <v>5636</v>
      </c>
      <c r="D1002" s="18">
        <v>190.14</v>
      </c>
      <c r="E1002" s="18">
        <v>266.2</v>
      </c>
      <c r="F1002" s="18">
        <v>12.0</v>
      </c>
    </row>
    <row r="1003">
      <c r="A1003" s="15">
        <v>14.0</v>
      </c>
      <c r="B1003" s="16" t="s">
        <v>6511</v>
      </c>
      <c r="C1003" s="17" t="s">
        <v>6512</v>
      </c>
      <c r="D1003" s="18">
        <v>45.65</v>
      </c>
      <c r="E1003" s="18">
        <v>66.5</v>
      </c>
      <c r="F1003" s="18">
        <v>18.0</v>
      </c>
    </row>
    <row r="1004">
      <c r="A1004" s="15">
        <v>15.0</v>
      </c>
      <c r="B1004" s="16" t="s">
        <v>808</v>
      </c>
      <c r="C1004" s="16" t="s">
        <v>5679</v>
      </c>
      <c r="D1004" s="18">
        <v>128.57</v>
      </c>
      <c r="E1004" s="18">
        <v>180.0</v>
      </c>
      <c r="F1004" s="18">
        <v>12.0</v>
      </c>
    </row>
    <row r="1005">
      <c r="A1005" s="15">
        <v>16.0</v>
      </c>
      <c r="B1005" s="16" t="s">
        <v>6513</v>
      </c>
      <c r="C1005" s="17" t="s">
        <v>5677</v>
      </c>
      <c r="D1005" s="18">
        <v>128.57</v>
      </c>
      <c r="E1005" s="18">
        <v>180.0</v>
      </c>
      <c r="F1005" s="18">
        <v>12.0</v>
      </c>
    </row>
    <row r="1006">
      <c r="A1006" s="15">
        <v>17.0</v>
      </c>
      <c r="B1006" s="16" t="s">
        <v>6514</v>
      </c>
      <c r="C1006" s="16" t="s">
        <v>6106</v>
      </c>
      <c r="D1006" s="18">
        <v>79.51</v>
      </c>
      <c r="E1006" s="18">
        <v>111.32</v>
      </c>
      <c r="F1006" s="18">
        <v>12.0</v>
      </c>
    </row>
    <row r="1007">
      <c r="A1007" s="15">
        <v>18.0</v>
      </c>
      <c r="B1007" s="16" t="s">
        <v>6515</v>
      </c>
      <c r="C1007" s="17" t="s">
        <v>6516</v>
      </c>
      <c r="D1007" s="18">
        <v>107.14</v>
      </c>
      <c r="E1007" s="18">
        <v>150.0</v>
      </c>
      <c r="F1007" s="18">
        <v>12.0</v>
      </c>
    </row>
    <row r="1008">
      <c r="A1008" s="15">
        <v>19.0</v>
      </c>
      <c r="B1008" s="16" t="s">
        <v>6517</v>
      </c>
      <c r="C1008" s="17" t="s">
        <v>5536</v>
      </c>
      <c r="D1008" s="18">
        <v>94.67</v>
      </c>
      <c r="E1008" s="18">
        <v>130.0</v>
      </c>
      <c r="F1008" s="18">
        <v>12.0</v>
      </c>
    </row>
    <row r="1009">
      <c r="A1009" s="15">
        <v>20.0</v>
      </c>
      <c r="B1009" s="16" t="s">
        <v>6518</v>
      </c>
      <c r="C1009" s="17" t="s">
        <v>5536</v>
      </c>
      <c r="D1009" s="18">
        <v>205.07</v>
      </c>
      <c r="E1009" s="18">
        <v>287.1</v>
      </c>
      <c r="F1009" s="18">
        <v>12.0</v>
      </c>
    </row>
    <row r="1010">
      <c r="A1010" s="15">
        <v>21.0</v>
      </c>
      <c r="B1010" s="16" t="s">
        <v>6519</v>
      </c>
      <c r="C1010" s="17" t="s">
        <v>5536</v>
      </c>
      <c r="D1010" s="18">
        <v>303.6</v>
      </c>
      <c r="E1010" s="18">
        <v>425.04</v>
      </c>
      <c r="F1010" s="18">
        <v>12.0</v>
      </c>
    </row>
    <row r="1011">
      <c r="A1011" s="6"/>
      <c r="B1011" s="7"/>
      <c r="C1011" s="7"/>
      <c r="D1011" s="7"/>
      <c r="E1011" s="7"/>
      <c r="F1011" s="8"/>
    </row>
    <row r="1012">
      <c r="A1012" s="9" t="s">
        <v>6520</v>
      </c>
      <c r="B1012" s="10"/>
      <c r="C1012" s="10"/>
      <c r="D1012" s="10"/>
      <c r="E1012" s="10"/>
      <c r="F1012" s="10"/>
    </row>
    <row r="1013">
      <c r="A1013" s="11">
        <v>1.0</v>
      </c>
      <c r="B1013" s="12" t="s">
        <v>6521</v>
      </c>
      <c r="C1013" s="13" t="s">
        <v>5603</v>
      </c>
      <c r="D1013" s="14">
        <v>352.63</v>
      </c>
      <c r="E1013" s="14">
        <v>493.68</v>
      </c>
      <c r="F1013" s="14">
        <v>12.0</v>
      </c>
    </row>
    <row r="1014">
      <c r="A1014" s="15">
        <v>2.0</v>
      </c>
      <c r="B1014" s="16" t="s">
        <v>817</v>
      </c>
      <c r="C1014" s="16" t="s">
        <v>5544</v>
      </c>
      <c r="D1014" s="18">
        <v>176.31</v>
      </c>
      <c r="E1014" s="18">
        <v>246.84</v>
      </c>
      <c r="F1014" s="18">
        <v>12.0</v>
      </c>
    </row>
    <row r="1015">
      <c r="A1015" s="15">
        <v>3.0</v>
      </c>
      <c r="B1015" s="16" t="s">
        <v>6522</v>
      </c>
      <c r="C1015" s="17" t="s">
        <v>5536</v>
      </c>
      <c r="D1015" s="18">
        <v>364.43</v>
      </c>
      <c r="E1015" s="18">
        <v>510.2</v>
      </c>
      <c r="F1015" s="18">
        <v>12.0</v>
      </c>
    </row>
    <row r="1016">
      <c r="A1016" s="15">
        <v>4.0</v>
      </c>
      <c r="B1016" s="16" t="s">
        <v>6523</v>
      </c>
      <c r="C1016" s="17" t="s">
        <v>6524</v>
      </c>
      <c r="D1016" s="18">
        <v>821.43</v>
      </c>
      <c r="E1016" s="18">
        <v>1150.0</v>
      </c>
      <c r="F1016" s="18">
        <v>12.0</v>
      </c>
    </row>
    <row r="1017">
      <c r="A1017" s="15">
        <v>5.0</v>
      </c>
      <c r="B1017" s="16" t="s">
        <v>6525</v>
      </c>
      <c r="C1017" s="17" t="s">
        <v>5536</v>
      </c>
      <c r="D1017" s="18">
        <v>101.24</v>
      </c>
      <c r="E1017" s="18">
        <v>141.74</v>
      </c>
      <c r="F1017" s="18">
        <v>12.0</v>
      </c>
    </row>
    <row r="1018">
      <c r="A1018" s="15">
        <v>6.0</v>
      </c>
      <c r="B1018" s="16" t="s">
        <v>821</v>
      </c>
      <c r="C1018" s="16" t="s">
        <v>5679</v>
      </c>
      <c r="D1018" s="18">
        <v>304.23</v>
      </c>
      <c r="E1018" s="18">
        <v>425.92</v>
      </c>
      <c r="F1018" s="18">
        <v>12.0</v>
      </c>
    </row>
    <row r="1019">
      <c r="A1019" s="15">
        <v>7.0</v>
      </c>
      <c r="B1019" s="16" t="s">
        <v>6526</v>
      </c>
      <c r="C1019" s="17" t="s">
        <v>6527</v>
      </c>
      <c r="D1019" s="18">
        <v>174.59</v>
      </c>
      <c r="E1019" s="18">
        <v>244.42</v>
      </c>
      <c r="F1019" s="18">
        <v>12.0</v>
      </c>
    </row>
    <row r="1020">
      <c r="A1020" s="15">
        <v>8.0</v>
      </c>
      <c r="B1020" s="16" t="s">
        <v>823</v>
      </c>
      <c r="C1020" s="16" t="s">
        <v>5558</v>
      </c>
      <c r="D1020" s="18">
        <v>527.21</v>
      </c>
      <c r="E1020" s="18">
        <v>738.1</v>
      </c>
      <c r="F1020" s="18">
        <v>12.0</v>
      </c>
    </row>
    <row r="1021">
      <c r="A1021" s="15">
        <v>9.0</v>
      </c>
      <c r="B1021" s="16" t="s">
        <v>6528</v>
      </c>
      <c r="C1021" s="17" t="s">
        <v>5536</v>
      </c>
      <c r="D1021" s="18">
        <v>63.52</v>
      </c>
      <c r="E1021" s="18">
        <v>88.93</v>
      </c>
      <c r="F1021" s="18">
        <v>12.0</v>
      </c>
    </row>
    <row r="1022">
      <c r="A1022" s="15">
        <v>10.0</v>
      </c>
      <c r="B1022" s="16" t="s">
        <v>6529</v>
      </c>
      <c r="C1022" s="17" t="s">
        <v>5536</v>
      </c>
      <c r="D1022" s="18">
        <v>117.54</v>
      </c>
      <c r="E1022" s="18">
        <v>164.56</v>
      </c>
      <c r="F1022" s="18">
        <v>12.0</v>
      </c>
    </row>
    <row r="1023">
      <c r="A1023" s="15">
        <v>11.0</v>
      </c>
      <c r="B1023" s="16" t="s">
        <v>6530</v>
      </c>
      <c r="C1023" s="17" t="s">
        <v>5614</v>
      </c>
      <c r="D1023" s="18">
        <v>95.37</v>
      </c>
      <c r="E1023" s="18">
        <v>131.0</v>
      </c>
      <c r="F1023" s="18">
        <v>12.0</v>
      </c>
    </row>
    <row r="1024">
      <c r="A1024" s="15">
        <v>12.0</v>
      </c>
      <c r="B1024" s="16" t="s">
        <v>6530</v>
      </c>
      <c r="C1024" s="17" t="s">
        <v>6354</v>
      </c>
      <c r="D1024" s="18">
        <v>205.35</v>
      </c>
      <c r="E1024" s="18">
        <v>287.49</v>
      </c>
      <c r="F1024" s="18">
        <v>12.0</v>
      </c>
    </row>
    <row r="1025">
      <c r="A1025" s="15">
        <v>13.0</v>
      </c>
      <c r="B1025" s="16" t="s">
        <v>6531</v>
      </c>
      <c r="C1025" s="17" t="s">
        <v>5614</v>
      </c>
      <c r="D1025" s="18">
        <v>156.56</v>
      </c>
      <c r="E1025" s="18">
        <v>215.0</v>
      </c>
      <c r="F1025" s="18">
        <v>12.0</v>
      </c>
    </row>
    <row r="1026">
      <c r="A1026" s="6"/>
      <c r="B1026" s="7"/>
      <c r="C1026" s="7"/>
      <c r="D1026" s="7"/>
      <c r="E1026" s="8"/>
      <c r="F1026" s="16" t="s">
        <v>6532</v>
      </c>
    </row>
    <row r="1027">
      <c r="A1027" s="6"/>
      <c r="B1027" s="7"/>
      <c r="C1027" s="7"/>
      <c r="D1027" s="7"/>
      <c r="E1027" s="7"/>
      <c r="F1027" s="8"/>
    </row>
    <row r="1028">
      <c r="A1028" s="6"/>
      <c r="B1028" s="7"/>
      <c r="C1028" s="7"/>
      <c r="D1028" s="7"/>
      <c r="E1028" s="7"/>
      <c r="F1028" s="8"/>
    </row>
    <row r="1029">
      <c r="A1029" s="6"/>
      <c r="B1029" s="7"/>
      <c r="C1029" s="7"/>
      <c r="D1029" s="7"/>
      <c r="E1029" s="7"/>
      <c r="F1029" s="8"/>
    </row>
    <row r="1030">
      <c r="A1030" s="6"/>
      <c r="B1030" s="7"/>
      <c r="C1030" s="7"/>
      <c r="D1030" s="7"/>
      <c r="E1030" s="7"/>
      <c r="F1030" s="8"/>
    </row>
    <row r="1031">
      <c r="A1031" s="9" t="s">
        <v>5582</v>
      </c>
      <c r="B1031" s="10"/>
      <c r="C1031" s="10"/>
      <c r="D1031" s="10"/>
      <c r="E1031" s="10"/>
      <c r="F1031" s="10"/>
    </row>
    <row r="1032">
      <c r="A1032" s="19" t="s">
        <v>5583</v>
      </c>
    </row>
    <row r="1033">
      <c r="A1033" s="6"/>
      <c r="B1033" s="7"/>
      <c r="C1033" s="7"/>
      <c r="D1033" s="8"/>
      <c r="E1033" s="12" t="s">
        <v>5584</v>
      </c>
      <c r="F1033" s="12" t="s">
        <v>6533</v>
      </c>
    </row>
    <row r="1034">
      <c r="A1034" s="20" t="s">
        <v>5522</v>
      </c>
      <c r="B1034" s="16" t="s">
        <v>5523</v>
      </c>
      <c r="C1034" s="16" t="s">
        <v>5524</v>
      </c>
      <c r="D1034" s="16" t="s">
        <v>5525</v>
      </c>
      <c r="E1034" s="16" t="s">
        <v>5526</v>
      </c>
      <c r="F1034" s="16" t="s">
        <v>5586</v>
      </c>
    </row>
    <row r="1035">
      <c r="A1035" s="15">
        <v>14.0</v>
      </c>
      <c r="B1035" s="16" t="s">
        <v>6531</v>
      </c>
      <c r="C1035" s="17" t="s">
        <v>5546</v>
      </c>
      <c r="D1035" s="18">
        <v>337.07</v>
      </c>
      <c r="E1035" s="18">
        <v>471.9</v>
      </c>
      <c r="F1035" s="18">
        <v>12.0</v>
      </c>
    </row>
    <row r="1036">
      <c r="A1036" s="15">
        <v>15.0</v>
      </c>
      <c r="B1036" s="16" t="s">
        <v>6534</v>
      </c>
      <c r="C1036" s="17" t="s">
        <v>5562</v>
      </c>
      <c r="D1036" s="18">
        <v>243.81</v>
      </c>
      <c r="E1036" s="18">
        <v>341.33</v>
      </c>
      <c r="F1036" s="18">
        <v>12.0</v>
      </c>
    </row>
    <row r="1037">
      <c r="A1037" s="15">
        <v>16.0</v>
      </c>
      <c r="B1037" s="16" t="s">
        <v>6535</v>
      </c>
      <c r="C1037" s="17" t="s">
        <v>5562</v>
      </c>
      <c r="D1037" s="18">
        <v>299.71</v>
      </c>
      <c r="E1037" s="18">
        <v>419.59</v>
      </c>
      <c r="F1037" s="18">
        <v>12.0</v>
      </c>
    </row>
    <row r="1038">
      <c r="A1038" s="15">
        <v>17.0</v>
      </c>
      <c r="B1038" s="16" t="s">
        <v>6536</v>
      </c>
      <c r="C1038" s="17" t="s">
        <v>5536</v>
      </c>
      <c r="D1038" s="18">
        <v>251.18</v>
      </c>
      <c r="E1038" s="18">
        <v>345.0</v>
      </c>
      <c r="F1038" s="18">
        <v>12.0</v>
      </c>
    </row>
    <row r="1039">
      <c r="A1039" s="15">
        <v>18.0</v>
      </c>
      <c r="B1039" s="16" t="s">
        <v>6536</v>
      </c>
      <c r="C1039" s="17" t="s">
        <v>5546</v>
      </c>
      <c r="D1039" s="18">
        <v>446.79</v>
      </c>
      <c r="E1039" s="18">
        <v>625.5</v>
      </c>
      <c r="F1039" s="18">
        <v>12.0</v>
      </c>
    </row>
    <row r="1040">
      <c r="A1040" s="15">
        <v>19.0</v>
      </c>
      <c r="B1040" s="16" t="s">
        <v>6537</v>
      </c>
      <c r="C1040" s="17" t="s">
        <v>5536</v>
      </c>
      <c r="D1040" s="18">
        <v>294.15</v>
      </c>
      <c r="E1040" s="18">
        <v>404.0</v>
      </c>
      <c r="F1040" s="18">
        <v>12.0</v>
      </c>
    </row>
    <row r="1041">
      <c r="A1041" s="15">
        <v>20.0</v>
      </c>
      <c r="B1041" s="16" t="s">
        <v>6537</v>
      </c>
      <c r="C1041" s="17" t="s">
        <v>5546</v>
      </c>
      <c r="D1041" s="18">
        <v>383.74</v>
      </c>
      <c r="E1041" s="18">
        <v>537.24</v>
      </c>
      <c r="F1041" s="18">
        <v>12.0</v>
      </c>
    </row>
    <row r="1042">
      <c r="A1042" s="15">
        <v>21.0</v>
      </c>
      <c r="B1042" s="16" t="s">
        <v>833</v>
      </c>
      <c r="C1042" s="16" t="s">
        <v>5558</v>
      </c>
      <c r="D1042" s="18">
        <v>103.02</v>
      </c>
      <c r="E1042" s="18">
        <v>141.5</v>
      </c>
      <c r="F1042" s="18">
        <v>12.0</v>
      </c>
    </row>
    <row r="1043">
      <c r="A1043" s="6"/>
      <c r="B1043" s="7"/>
      <c r="C1043" s="7"/>
      <c r="D1043" s="7"/>
      <c r="E1043" s="7"/>
      <c r="F1043" s="8"/>
    </row>
    <row r="1044">
      <c r="A1044" s="9" t="s">
        <v>6538</v>
      </c>
      <c r="B1044" s="10"/>
      <c r="C1044" s="10"/>
      <c r="D1044" s="10"/>
      <c r="E1044" s="10"/>
      <c r="F1044" s="10"/>
    </row>
    <row r="1045">
      <c r="A1045" s="11">
        <v>1.0</v>
      </c>
      <c r="B1045" s="12" t="s">
        <v>6539</v>
      </c>
      <c r="C1045" s="13" t="s">
        <v>6540</v>
      </c>
      <c r="D1045" s="14">
        <v>98.3</v>
      </c>
      <c r="E1045" s="14">
        <v>131.99</v>
      </c>
      <c r="F1045" s="14">
        <v>12.0</v>
      </c>
    </row>
    <row r="1046">
      <c r="A1046" s="15">
        <v>2.0</v>
      </c>
      <c r="B1046" s="16" t="s">
        <v>6541</v>
      </c>
      <c r="C1046" s="17" t="s">
        <v>6542</v>
      </c>
      <c r="D1046" s="18">
        <v>172.65</v>
      </c>
      <c r="E1046" s="18">
        <v>226.6</v>
      </c>
      <c r="F1046" s="18">
        <v>5.0</v>
      </c>
    </row>
    <row r="1047">
      <c r="A1047" s="15">
        <v>3.0</v>
      </c>
      <c r="B1047" s="16" t="s">
        <v>6543</v>
      </c>
      <c r="C1047" s="16" t="s">
        <v>6411</v>
      </c>
      <c r="D1047" s="18">
        <v>84.86</v>
      </c>
      <c r="E1047" s="18">
        <v>118.81</v>
      </c>
      <c r="F1047" s="18">
        <v>12.0</v>
      </c>
    </row>
    <row r="1048">
      <c r="A1048" s="15">
        <v>4.0</v>
      </c>
      <c r="B1048" s="16" t="s">
        <v>6544</v>
      </c>
      <c r="C1048" s="17" t="s">
        <v>6545</v>
      </c>
      <c r="D1048" s="18">
        <v>166.63</v>
      </c>
      <c r="E1048" s="18">
        <v>233.28</v>
      </c>
      <c r="F1048" s="18">
        <v>12.0</v>
      </c>
    </row>
    <row r="1049">
      <c r="A1049" s="15">
        <v>5.0</v>
      </c>
      <c r="B1049" s="16" t="s">
        <v>6546</v>
      </c>
      <c r="C1049" s="17" t="s">
        <v>5618</v>
      </c>
      <c r="D1049" s="18">
        <v>272.43</v>
      </c>
      <c r="E1049" s="18">
        <v>540.0</v>
      </c>
      <c r="F1049" s="18">
        <v>12.0</v>
      </c>
    </row>
    <row r="1050">
      <c r="A1050" s="15">
        <v>6.0</v>
      </c>
      <c r="B1050" s="16" t="s">
        <v>6547</v>
      </c>
      <c r="C1050" s="16" t="s">
        <v>6411</v>
      </c>
      <c r="D1050" s="18">
        <v>239.84</v>
      </c>
      <c r="E1050" s="18">
        <v>335.77</v>
      </c>
      <c r="F1050" s="18">
        <v>12.0</v>
      </c>
    </row>
    <row r="1051">
      <c r="A1051" s="15">
        <v>7.0</v>
      </c>
      <c r="B1051" s="16" t="s">
        <v>6548</v>
      </c>
      <c r="C1051" s="16" t="s">
        <v>6411</v>
      </c>
      <c r="D1051" s="18">
        <v>198.19</v>
      </c>
      <c r="E1051" s="18">
        <v>275.0</v>
      </c>
      <c r="F1051" s="18">
        <v>12.0</v>
      </c>
    </row>
    <row r="1052">
      <c r="A1052" s="15">
        <v>8.0</v>
      </c>
      <c r="B1052" s="16" t="s">
        <v>6549</v>
      </c>
      <c r="C1052" s="17" t="s">
        <v>6550</v>
      </c>
      <c r="D1052" s="18">
        <v>343.86</v>
      </c>
      <c r="E1052" s="18">
        <v>481.41</v>
      </c>
      <c r="F1052" s="18">
        <v>12.0</v>
      </c>
    </row>
    <row r="1053">
      <c r="A1053" s="15">
        <v>9.0</v>
      </c>
      <c r="B1053" s="16" t="s">
        <v>843</v>
      </c>
      <c r="C1053" s="16" t="s">
        <v>6551</v>
      </c>
      <c r="D1053" s="18">
        <v>310.32</v>
      </c>
      <c r="E1053" s="18">
        <v>382.98</v>
      </c>
      <c r="F1053" s="18">
        <v>5.0</v>
      </c>
    </row>
    <row r="1054">
      <c r="A1054" s="6"/>
      <c r="B1054" s="7"/>
      <c r="C1054" s="7"/>
      <c r="D1054" s="7"/>
      <c r="E1054" s="7"/>
      <c r="F1054" s="8"/>
    </row>
    <row r="1055">
      <c r="A1055" s="9" t="s">
        <v>6552</v>
      </c>
      <c r="B1055" s="10"/>
      <c r="C1055" s="10"/>
      <c r="D1055" s="10"/>
      <c r="E1055" s="10"/>
      <c r="F1055" s="10"/>
    </row>
    <row r="1056">
      <c r="A1056" s="11">
        <v>1.0</v>
      </c>
      <c r="B1056" s="12" t="s">
        <v>6553</v>
      </c>
      <c r="C1056" s="13" t="s">
        <v>6554</v>
      </c>
      <c r="D1056" s="14">
        <v>9.64</v>
      </c>
      <c r="E1056" s="14">
        <v>13.5</v>
      </c>
      <c r="F1056" s="14">
        <v>12.0</v>
      </c>
    </row>
    <row r="1057">
      <c r="A1057" s="15">
        <v>2.0</v>
      </c>
      <c r="B1057" s="16" t="s">
        <v>6555</v>
      </c>
      <c r="C1057" s="17" t="s">
        <v>6556</v>
      </c>
      <c r="D1057" s="18">
        <v>1129.16</v>
      </c>
      <c r="E1057" s="18">
        <v>1393.5</v>
      </c>
      <c r="F1057" s="18">
        <v>5.0</v>
      </c>
    </row>
    <row r="1058">
      <c r="A1058" s="15">
        <v>3.0</v>
      </c>
      <c r="B1058" s="16" t="s">
        <v>6557</v>
      </c>
      <c r="C1058" s="17" t="s">
        <v>6337</v>
      </c>
      <c r="D1058" s="18">
        <v>284.69</v>
      </c>
      <c r="E1058" s="18">
        <v>395.0</v>
      </c>
      <c r="F1058" s="18">
        <v>12.0</v>
      </c>
    </row>
    <row r="1059">
      <c r="A1059" s="15">
        <v>4.0</v>
      </c>
      <c r="B1059" s="16" t="s">
        <v>6558</v>
      </c>
      <c r="C1059" s="17" t="s">
        <v>6559</v>
      </c>
      <c r="D1059" s="18">
        <v>606.71</v>
      </c>
      <c r="E1059" s="18">
        <v>833.0</v>
      </c>
      <c r="F1059" s="18">
        <v>12.0</v>
      </c>
    </row>
    <row r="1060">
      <c r="A1060" s="6"/>
      <c r="B1060" s="7"/>
      <c r="C1060" s="7"/>
      <c r="D1060" s="7"/>
      <c r="E1060" s="7"/>
      <c r="F1060" s="8"/>
    </row>
    <row r="1061">
      <c r="A1061" s="9" t="s">
        <v>6560</v>
      </c>
      <c r="B1061" s="10"/>
      <c r="C1061" s="10"/>
      <c r="D1061" s="10"/>
      <c r="E1061" s="10"/>
      <c r="F1061" s="10"/>
    </row>
    <row r="1062">
      <c r="A1062" s="11">
        <v>1.0</v>
      </c>
      <c r="B1062" s="12" t="s">
        <v>6561</v>
      </c>
      <c r="C1062" s="13" t="s">
        <v>6562</v>
      </c>
      <c r="D1062" s="14">
        <v>212.85</v>
      </c>
      <c r="E1062" s="14">
        <v>299.0</v>
      </c>
      <c r="F1062" s="14">
        <v>18.0</v>
      </c>
    </row>
    <row r="1063">
      <c r="A1063" s="15">
        <v>2.0</v>
      </c>
      <c r="B1063" s="16" t="s">
        <v>6561</v>
      </c>
      <c r="C1063" s="17" t="s">
        <v>6563</v>
      </c>
      <c r="D1063" s="18">
        <v>63.36</v>
      </c>
      <c r="E1063" s="18">
        <v>89.0</v>
      </c>
      <c r="F1063" s="18">
        <v>18.0</v>
      </c>
    </row>
    <row r="1064">
      <c r="A1064" s="15">
        <v>3.0</v>
      </c>
      <c r="B1064" s="16" t="s">
        <v>6561</v>
      </c>
      <c r="C1064" s="16" t="s">
        <v>6564</v>
      </c>
      <c r="D1064" s="18">
        <v>33.22</v>
      </c>
      <c r="E1064" s="18">
        <v>49.0</v>
      </c>
      <c r="F1064" s="18">
        <v>18.0</v>
      </c>
    </row>
    <row r="1065">
      <c r="A1065" s="15">
        <v>4.0</v>
      </c>
      <c r="B1065" s="16" t="s">
        <v>6565</v>
      </c>
      <c r="C1065" s="17" t="s">
        <v>6566</v>
      </c>
      <c r="D1065" s="18">
        <v>30.51</v>
      </c>
      <c r="E1065" s="18">
        <v>45.0</v>
      </c>
      <c r="F1065" s="18">
        <v>18.0</v>
      </c>
    </row>
    <row r="1066">
      <c r="A1066" s="15">
        <v>5.0</v>
      </c>
      <c r="B1066" s="16" t="s">
        <v>6567</v>
      </c>
      <c r="C1066" s="17" t="s">
        <v>6289</v>
      </c>
      <c r="D1066" s="18">
        <v>825.76</v>
      </c>
      <c r="E1066" s="18">
        <v>1160.0</v>
      </c>
      <c r="F1066" s="18">
        <v>18.0</v>
      </c>
    </row>
    <row r="1067">
      <c r="A1067" s="15">
        <v>6.0</v>
      </c>
      <c r="B1067" s="16" t="s">
        <v>6568</v>
      </c>
      <c r="C1067" s="16" t="s">
        <v>6411</v>
      </c>
      <c r="D1067" s="18">
        <v>38.14</v>
      </c>
      <c r="E1067" s="18">
        <v>50.0</v>
      </c>
      <c r="F1067" s="18">
        <v>18.0</v>
      </c>
    </row>
    <row r="1068">
      <c r="A1068" s="15">
        <v>7.0</v>
      </c>
      <c r="B1068" s="16" t="s">
        <v>6568</v>
      </c>
      <c r="C1068" s="17" t="s">
        <v>6569</v>
      </c>
      <c r="D1068" s="18">
        <v>189.92</v>
      </c>
      <c r="E1068" s="18">
        <v>249.0</v>
      </c>
      <c r="F1068" s="18">
        <v>18.0</v>
      </c>
    </row>
    <row r="1069">
      <c r="A1069" s="15">
        <v>8.0</v>
      </c>
      <c r="B1069" s="16" t="s">
        <v>6568</v>
      </c>
      <c r="C1069" s="17" t="s">
        <v>6570</v>
      </c>
      <c r="D1069" s="18">
        <v>200.2</v>
      </c>
      <c r="E1069" s="18">
        <v>249.0</v>
      </c>
      <c r="F1069" s="18">
        <v>12.0</v>
      </c>
    </row>
    <row r="1070">
      <c r="A1070" s="15">
        <v>9.0</v>
      </c>
      <c r="B1070" s="16" t="s">
        <v>6571</v>
      </c>
      <c r="C1070" s="17" t="s">
        <v>6572</v>
      </c>
      <c r="D1070" s="18">
        <v>150.0</v>
      </c>
      <c r="E1070" s="18">
        <v>210.0</v>
      </c>
      <c r="F1070" s="18">
        <v>12.0</v>
      </c>
    </row>
    <row r="1071">
      <c r="A1071" s="15">
        <v>10.0</v>
      </c>
      <c r="B1071" s="16" t="s">
        <v>6571</v>
      </c>
      <c r="C1071" s="16" t="s">
        <v>6573</v>
      </c>
      <c r="D1071" s="18">
        <v>58.57</v>
      </c>
      <c r="E1071" s="18">
        <v>82.0</v>
      </c>
      <c r="F1071" s="18">
        <v>12.0</v>
      </c>
    </row>
    <row r="1072">
      <c r="A1072" s="15">
        <v>11.0</v>
      </c>
      <c r="B1072" s="16" t="s">
        <v>6574</v>
      </c>
      <c r="C1072" s="17" t="s">
        <v>6575</v>
      </c>
      <c r="D1072" s="18">
        <v>212.85</v>
      </c>
      <c r="E1072" s="18">
        <v>299.0</v>
      </c>
      <c r="F1072" s="18">
        <v>18.0</v>
      </c>
    </row>
    <row r="1073">
      <c r="A1073" s="15">
        <v>12.0</v>
      </c>
      <c r="B1073" s="16" t="s">
        <v>6574</v>
      </c>
      <c r="C1073" s="17" t="s">
        <v>6576</v>
      </c>
      <c r="D1073" s="18">
        <v>60.18</v>
      </c>
      <c r="E1073" s="18">
        <v>89.0</v>
      </c>
      <c r="F1073" s="18">
        <v>18.0</v>
      </c>
    </row>
    <row r="1074">
      <c r="A1074" s="15">
        <v>13.0</v>
      </c>
      <c r="B1074" s="16" t="s">
        <v>6574</v>
      </c>
      <c r="C1074" s="17" t="s">
        <v>6577</v>
      </c>
      <c r="D1074" s="18">
        <v>202.21</v>
      </c>
      <c r="E1074" s="18">
        <v>299.0</v>
      </c>
      <c r="F1074" s="18">
        <v>18.0</v>
      </c>
    </row>
    <row r="1075">
      <c r="A1075" s="15">
        <v>14.0</v>
      </c>
      <c r="B1075" s="16" t="s">
        <v>6574</v>
      </c>
      <c r="C1075" s="17" t="s">
        <v>6578</v>
      </c>
      <c r="D1075" s="18">
        <v>63.36</v>
      </c>
      <c r="E1075" s="18">
        <v>89.0</v>
      </c>
      <c r="F1075" s="18">
        <v>18.0</v>
      </c>
    </row>
    <row r="1076">
      <c r="A1076" s="15">
        <v>15.0</v>
      </c>
      <c r="B1076" s="16" t="s">
        <v>6579</v>
      </c>
      <c r="C1076" s="17" t="s">
        <v>6580</v>
      </c>
      <c r="D1076" s="18">
        <v>50.85</v>
      </c>
      <c r="E1076" s="18">
        <v>75.0</v>
      </c>
      <c r="F1076" s="18">
        <v>18.0</v>
      </c>
    </row>
    <row r="1077">
      <c r="A1077" s="15">
        <v>16.0</v>
      </c>
      <c r="B1077" s="16" t="s">
        <v>6581</v>
      </c>
      <c r="C1077" s="17" t="s">
        <v>6580</v>
      </c>
      <c r="D1077" s="18">
        <v>65.08</v>
      </c>
      <c r="E1077" s="18">
        <v>96.0</v>
      </c>
      <c r="F1077" s="18">
        <v>18.0</v>
      </c>
    </row>
    <row r="1078">
      <c r="A1078" s="15">
        <v>17.0</v>
      </c>
      <c r="B1078" s="16" t="s">
        <v>6582</v>
      </c>
      <c r="C1078" s="16" t="s">
        <v>6583</v>
      </c>
      <c r="D1078" s="18">
        <v>40.0</v>
      </c>
      <c r="E1078" s="18">
        <v>59.0</v>
      </c>
      <c r="F1078" s="18">
        <v>18.0</v>
      </c>
    </row>
    <row r="1079">
      <c r="A1079" s="15">
        <v>18.0</v>
      </c>
      <c r="B1079" s="16" t="s">
        <v>6582</v>
      </c>
      <c r="C1079" s="17" t="s">
        <v>6584</v>
      </c>
      <c r="D1079" s="18">
        <v>52.2</v>
      </c>
      <c r="E1079" s="18">
        <v>77.0</v>
      </c>
      <c r="F1079" s="18">
        <v>18.0</v>
      </c>
    </row>
    <row r="1080">
      <c r="A1080" s="15">
        <v>19.0</v>
      </c>
      <c r="B1080" s="16" t="s">
        <v>6582</v>
      </c>
      <c r="C1080" s="17" t="s">
        <v>6585</v>
      </c>
      <c r="D1080" s="18">
        <v>47.46</v>
      </c>
      <c r="E1080" s="18">
        <v>70.0</v>
      </c>
      <c r="F1080" s="18">
        <v>18.0</v>
      </c>
    </row>
    <row r="1081">
      <c r="A1081" s="15">
        <v>20.0</v>
      </c>
      <c r="B1081" s="16" t="s">
        <v>6582</v>
      </c>
      <c r="C1081" s="17" t="s">
        <v>5536</v>
      </c>
      <c r="D1081" s="18">
        <v>51.4</v>
      </c>
      <c r="E1081" s="18">
        <v>59.0</v>
      </c>
      <c r="F1081" s="18">
        <v>18.0</v>
      </c>
    </row>
    <row r="1082">
      <c r="A1082" s="15">
        <v>21.0</v>
      </c>
      <c r="B1082" s="16" t="s">
        <v>6582</v>
      </c>
      <c r="C1082" s="17" t="s">
        <v>6586</v>
      </c>
      <c r="D1082" s="18">
        <v>56.95</v>
      </c>
      <c r="E1082" s="18">
        <v>84.0</v>
      </c>
      <c r="F1082" s="18">
        <v>18.0</v>
      </c>
    </row>
    <row r="1083">
      <c r="A1083" s="15">
        <v>22.0</v>
      </c>
      <c r="B1083" s="16" t="s">
        <v>6582</v>
      </c>
      <c r="C1083" s="17" t="s">
        <v>6587</v>
      </c>
      <c r="D1083" s="18">
        <v>125.42</v>
      </c>
      <c r="E1083" s="18">
        <v>185.0</v>
      </c>
      <c r="F1083" s="18">
        <v>18.0</v>
      </c>
    </row>
    <row r="1084">
      <c r="A1084" s="15">
        <v>23.0</v>
      </c>
      <c r="B1084" s="16" t="s">
        <v>6588</v>
      </c>
      <c r="C1084" s="16" t="s">
        <v>6589</v>
      </c>
      <c r="D1084" s="18">
        <v>65.09</v>
      </c>
      <c r="E1084" s="18">
        <v>96.0</v>
      </c>
      <c r="F1084" s="18">
        <v>18.0</v>
      </c>
    </row>
    <row r="1085">
      <c r="A1085" s="15">
        <v>24.0</v>
      </c>
      <c r="B1085" s="16" t="s">
        <v>6588</v>
      </c>
      <c r="C1085" s="17" t="s">
        <v>6584</v>
      </c>
      <c r="D1085" s="18">
        <v>59.66</v>
      </c>
      <c r="E1085" s="18">
        <v>88.0</v>
      </c>
      <c r="F1085" s="18">
        <v>18.0</v>
      </c>
    </row>
    <row r="1086">
      <c r="A1086" s="15">
        <v>25.0</v>
      </c>
      <c r="B1086" s="16" t="s">
        <v>6588</v>
      </c>
      <c r="C1086" s="17" t="s">
        <v>6585</v>
      </c>
      <c r="D1086" s="18">
        <v>54.24</v>
      </c>
      <c r="E1086" s="18">
        <v>80.0</v>
      </c>
      <c r="F1086" s="18">
        <v>18.0</v>
      </c>
    </row>
    <row r="1087">
      <c r="A1087" s="15">
        <v>26.0</v>
      </c>
      <c r="B1087" s="16" t="s">
        <v>6588</v>
      </c>
      <c r="C1087" s="17" t="s">
        <v>5536</v>
      </c>
      <c r="D1087" s="18">
        <v>58.37</v>
      </c>
      <c r="E1087" s="18">
        <v>67.0</v>
      </c>
      <c r="F1087" s="18">
        <v>18.0</v>
      </c>
    </row>
    <row r="1088">
      <c r="A1088" s="15">
        <v>27.0</v>
      </c>
      <c r="B1088" s="16" t="s">
        <v>6588</v>
      </c>
      <c r="C1088" s="17" t="s">
        <v>6586</v>
      </c>
      <c r="D1088" s="18">
        <v>65.08</v>
      </c>
      <c r="E1088" s="18">
        <v>96.0</v>
      </c>
      <c r="F1088" s="18">
        <v>18.0</v>
      </c>
    </row>
    <row r="1089">
      <c r="A1089" s="15">
        <v>28.0</v>
      </c>
      <c r="B1089" s="16" t="s">
        <v>6588</v>
      </c>
      <c r="C1089" s="17" t="s">
        <v>6587</v>
      </c>
      <c r="D1089" s="18">
        <v>160.0</v>
      </c>
      <c r="E1089" s="18">
        <v>236.0</v>
      </c>
      <c r="F1089" s="18">
        <v>18.0</v>
      </c>
    </row>
    <row r="1090">
      <c r="A1090" s="15">
        <v>29.0</v>
      </c>
      <c r="B1090" s="16" t="s">
        <v>6590</v>
      </c>
      <c r="C1090" s="17" t="s">
        <v>6591</v>
      </c>
      <c r="D1090" s="18">
        <v>37.29</v>
      </c>
      <c r="E1090" s="18">
        <v>55.0</v>
      </c>
      <c r="F1090" s="18">
        <v>18.0</v>
      </c>
    </row>
    <row r="1091">
      <c r="A1091" s="6"/>
      <c r="B1091" s="7"/>
      <c r="C1091" s="7"/>
      <c r="D1091" s="7"/>
      <c r="E1091" s="7"/>
      <c r="F1091" s="8"/>
    </row>
    <row r="1092">
      <c r="A1092" s="9" t="s">
        <v>6592</v>
      </c>
      <c r="B1092" s="10"/>
      <c r="C1092" s="10"/>
      <c r="D1092" s="10"/>
      <c r="E1092" s="10"/>
      <c r="F1092" s="10"/>
    </row>
    <row r="1093">
      <c r="A1093" s="11">
        <v>1.0</v>
      </c>
      <c r="B1093" s="12" t="s">
        <v>6593</v>
      </c>
      <c r="C1093" s="13" t="s">
        <v>6594</v>
      </c>
      <c r="D1093" s="14">
        <v>415.15</v>
      </c>
      <c r="E1093" s="14">
        <v>544.89</v>
      </c>
      <c r="F1093" s="14">
        <v>5.0</v>
      </c>
    </row>
    <row r="1094">
      <c r="A1094" s="15">
        <v>2.0</v>
      </c>
      <c r="B1094" s="16" t="s">
        <v>6595</v>
      </c>
      <c r="C1094" s="17" t="s">
        <v>6596</v>
      </c>
      <c r="D1094" s="18">
        <v>42.43</v>
      </c>
      <c r="E1094" s="18">
        <v>59.4</v>
      </c>
      <c r="F1094" s="18">
        <v>12.0</v>
      </c>
    </row>
    <row r="1095">
      <c r="A1095" s="15">
        <v>3.0</v>
      </c>
      <c r="B1095" s="16" t="s">
        <v>6597</v>
      </c>
      <c r="C1095" s="17" t="s">
        <v>5704</v>
      </c>
      <c r="D1095" s="18">
        <v>228.6</v>
      </c>
      <c r="E1095" s="18">
        <v>290.95</v>
      </c>
      <c r="F1095" s="18">
        <v>12.0</v>
      </c>
    </row>
    <row r="1096">
      <c r="A1096" s="6"/>
      <c r="B1096" s="7"/>
      <c r="C1096" s="7"/>
      <c r="D1096" s="7"/>
      <c r="E1096" s="8"/>
      <c r="F1096" s="16" t="s">
        <v>6598</v>
      </c>
    </row>
    <row r="1097">
      <c r="A1097" s="6"/>
      <c r="B1097" s="7"/>
      <c r="C1097" s="7"/>
      <c r="D1097" s="7"/>
      <c r="E1097" s="7"/>
      <c r="F1097" s="8"/>
    </row>
    <row r="1098">
      <c r="A1098" s="6"/>
      <c r="B1098" s="7"/>
      <c r="C1098" s="7"/>
      <c r="D1098" s="7"/>
      <c r="E1098" s="7"/>
      <c r="F1098" s="8"/>
    </row>
    <row r="1099">
      <c r="A1099" s="6"/>
      <c r="B1099" s="7"/>
      <c r="C1099" s="7"/>
      <c r="D1099" s="7"/>
      <c r="E1099" s="7"/>
      <c r="F1099" s="8"/>
    </row>
    <row r="1100">
      <c r="A1100" s="6"/>
      <c r="B1100" s="7"/>
      <c r="C1100" s="7"/>
      <c r="D1100" s="7"/>
      <c r="E1100" s="7"/>
      <c r="F1100" s="8"/>
    </row>
    <row r="1101">
      <c r="A1101" s="9" t="s">
        <v>5582</v>
      </c>
      <c r="B1101" s="10"/>
      <c r="C1101" s="10"/>
      <c r="D1101" s="10"/>
      <c r="E1101" s="10"/>
      <c r="F1101" s="10"/>
    </row>
    <row r="1102">
      <c r="A1102" s="19" t="s">
        <v>5583</v>
      </c>
    </row>
    <row r="1103">
      <c r="A1103" s="6"/>
      <c r="B1103" s="7"/>
      <c r="C1103" s="7"/>
      <c r="D1103" s="8"/>
      <c r="E1103" s="12" t="s">
        <v>5584</v>
      </c>
      <c r="F1103" s="12" t="s">
        <v>6599</v>
      </c>
    </row>
    <row r="1104">
      <c r="A1104" s="20" t="s">
        <v>5522</v>
      </c>
      <c r="B1104" s="16" t="s">
        <v>5523</v>
      </c>
      <c r="C1104" s="16" t="s">
        <v>5524</v>
      </c>
      <c r="D1104" s="16" t="s">
        <v>5525</v>
      </c>
      <c r="E1104" s="16" t="s">
        <v>5526</v>
      </c>
      <c r="F1104" s="16" t="s">
        <v>5586</v>
      </c>
    </row>
    <row r="1105">
      <c r="A1105" s="15">
        <v>4.0</v>
      </c>
      <c r="B1105" s="16" t="s">
        <v>6600</v>
      </c>
      <c r="C1105" s="17" t="s">
        <v>5704</v>
      </c>
      <c r="D1105" s="18">
        <v>148.11</v>
      </c>
      <c r="E1105" s="18">
        <v>207.35</v>
      </c>
      <c r="F1105" s="18">
        <v>12.0</v>
      </c>
    </row>
    <row r="1106">
      <c r="A1106" s="15">
        <v>5.0</v>
      </c>
      <c r="B1106" s="16" t="s">
        <v>6601</v>
      </c>
      <c r="C1106" s="17" t="s">
        <v>6602</v>
      </c>
      <c r="D1106" s="18">
        <v>129.49</v>
      </c>
      <c r="E1106" s="18">
        <v>191.0</v>
      </c>
      <c r="F1106" s="18">
        <v>18.0</v>
      </c>
    </row>
    <row r="1107">
      <c r="A1107" s="15">
        <v>6.0</v>
      </c>
      <c r="B1107" s="16" t="s">
        <v>6603</v>
      </c>
      <c r="C1107" s="17" t="s">
        <v>6604</v>
      </c>
      <c r="D1107" s="18">
        <v>109.92</v>
      </c>
      <c r="E1107" s="18">
        <v>153.89</v>
      </c>
      <c r="F1107" s="18">
        <v>12.0</v>
      </c>
    </row>
    <row r="1108">
      <c r="A1108" s="15">
        <v>7.0</v>
      </c>
      <c r="B1108" s="16" t="s">
        <v>6605</v>
      </c>
      <c r="C1108" s="17" t="s">
        <v>5704</v>
      </c>
      <c r="D1108" s="18">
        <v>49.26</v>
      </c>
      <c r="E1108" s="18">
        <v>68.97</v>
      </c>
      <c r="F1108" s="18">
        <v>12.0</v>
      </c>
    </row>
    <row r="1109">
      <c r="A1109" s="15">
        <v>8.0</v>
      </c>
      <c r="B1109" s="16" t="s">
        <v>6606</v>
      </c>
      <c r="C1109" s="17" t="s">
        <v>6607</v>
      </c>
      <c r="D1109" s="18">
        <v>133.1</v>
      </c>
      <c r="E1109" s="18">
        <v>186.34</v>
      </c>
      <c r="F1109" s="18">
        <v>12.0</v>
      </c>
    </row>
    <row r="1110">
      <c r="A1110" s="15">
        <v>9.0</v>
      </c>
      <c r="B1110" s="16" t="s">
        <v>6608</v>
      </c>
      <c r="C1110" s="17" t="s">
        <v>6596</v>
      </c>
      <c r="D1110" s="18">
        <v>89.02</v>
      </c>
      <c r="E1110" s="18">
        <v>124.63</v>
      </c>
      <c r="F1110" s="18">
        <v>12.0</v>
      </c>
    </row>
    <row r="1111">
      <c r="A1111" s="15">
        <v>10.0</v>
      </c>
      <c r="B1111" s="16" t="s">
        <v>6609</v>
      </c>
      <c r="C1111" s="17" t="s">
        <v>6610</v>
      </c>
      <c r="D1111" s="18">
        <v>87.72</v>
      </c>
      <c r="E1111" s="18">
        <v>122.81</v>
      </c>
      <c r="F1111" s="18">
        <v>12.0</v>
      </c>
    </row>
    <row r="1112">
      <c r="A1112" s="15">
        <v>11.0</v>
      </c>
      <c r="B1112" s="16" t="s">
        <v>6611</v>
      </c>
      <c r="C1112" s="17" t="s">
        <v>6612</v>
      </c>
      <c r="D1112" s="18">
        <v>145.63</v>
      </c>
      <c r="E1112" s="18">
        <v>200.0</v>
      </c>
      <c r="F1112" s="18">
        <v>12.0</v>
      </c>
    </row>
    <row r="1113">
      <c r="A1113" s="15">
        <v>12.0</v>
      </c>
      <c r="B1113" s="16" t="s">
        <v>6613</v>
      </c>
      <c r="C1113" s="17" t="s">
        <v>6614</v>
      </c>
      <c r="D1113" s="18">
        <v>93.77</v>
      </c>
      <c r="E1113" s="18">
        <v>131.28</v>
      </c>
      <c r="F1113" s="18">
        <v>12.0</v>
      </c>
    </row>
    <row r="1114">
      <c r="A1114" s="15">
        <v>13.0</v>
      </c>
      <c r="B1114" s="16" t="s">
        <v>6615</v>
      </c>
      <c r="C1114" s="17" t="s">
        <v>6616</v>
      </c>
      <c r="D1114" s="18">
        <v>63.75</v>
      </c>
      <c r="E1114" s="18">
        <v>89.25</v>
      </c>
      <c r="F1114" s="18">
        <v>12.0</v>
      </c>
    </row>
    <row r="1115">
      <c r="A1115" s="15">
        <v>14.0</v>
      </c>
      <c r="B1115" s="16" t="s">
        <v>6617</v>
      </c>
      <c r="C1115" s="17" t="s">
        <v>5636</v>
      </c>
      <c r="D1115" s="18">
        <v>0.0</v>
      </c>
      <c r="E1115" s="18">
        <v>0.0</v>
      </c>
      <c r="F1115" s="18">
        <v>28.0</v>
      </c>
    </row>
    <row r="1116">
      <c r="A1116" s="15">
        <v>15.0</v>
      </c>
      <c r="B1116" s="16" t="s">
        <v>6618</v>
      </c>
      <c r="C1116" s="17" t="s">
        <v>6619</v>
      </c>
      <c r="D1116" s="18">
        <v>121.43</v>
      </c>
      <c r="E1116" s="18">
        <v>170.0</v>
      </c>
      <c r="F1116" s="18">
        <v>12.0</v>
      </c>
    </row>
    <row r="1117">
      <c r="A1117" s="15">
        <v>16.0</v>
      </c>
      <c r="B1117" s="16" t="s">
        <v>6620</v>
      </c>
      <c r="C1117" s="17" t="s">
        <v>6614</v>
      </c>
      <c r="D1117" s="18">
        <v>150.0</v>
      </c>
      <c r="E1117" s="18">
        <v>210.0</v>
      </c>
      <c r="F1117" s="18">
        <v>12.0</v>
      </c>
    </row>
    <row r="1118">
      <c r="A1118" s="15">
        <v>17.0</v>
      </c>
      <c r="B1118" s="16" t="s">
        <v>6621</v>
      </c>
      <c r="C1118" s="17" t="s">
        <v>6596</v>
      </c>
      <c r="D1118" s="18">
        <v>162.09</v>
      </c>
      <c r="E1118" s="18">
        <v>226.93</v>
      </c>
      <c r="F1118" s="18">
        <v>12.0</v>
      </c>
    </row>
    <row r="1119">
      <c r="A1119" s="6"/>
      <c r="B1119" s="7"/>
      <c r="C1119" s="7"/>
      <c r="D1119" s="7"/>
      <c r="E1119" s="7"/>
      <c r="F1119" s="8"/>
    </row>
    <row r="1120">
      <c r="A1120" s="9" t="s">
        <v>6622</v>
      </c>
      <c r="B1120" s="10"/>
      <c r="C1120" s="10"/>
      <c r="D1120" s="10"/>
      <c r="E1120" s="10"/>
      <c r="F1120" s="10"/>
    </row>
    <row r="1121">
      <c r="A1121" s="11">
        <v>1.0</v>
      </c>
      <c r="B1121" s="12" t="s">
        <v>6623</v>
      </c>
      <c r="C1121" s="13" t="s">
        <v>6422</v>
      </c>
      <c r="D1121" s="14">
        <v>40.74</v>
      </c>
      <c r="E1121" s="14">
        <v>57.04</v>
      </c>
      <c r="F1121" s="14">
        <v>12.0</v>
      </c>
    </row>
    <row r="1122">
      <c r="A1122" s="15">
        <v>2.0</v>
      </c>
      <c r="B1122" s="16" t="s">
        <v>6624</v>
      </c>
      <c r="C1122" s="17" t="s">
        <v>6596</v>
      </c>
      <c r="D1122" s="18">
        <v>85.16</v>
      </c>
      <c r="E1122" s="18">
        <v>119.22</v>
      </c>
      <c r="F1122" s="18">
        <v>12.0</v>
      </c>
    </row>
    <row r="1123">
      <c r="A1123" s="15">
        <v>3.0</v>
      </c>
      <c r="B1123" s="16" t="s">
        <v>6625</v>
      </c>
      <c r="C1123" s="17" t="s">
        <v>6626</v>
      </c>
      <c r="D1123" s="18">
        <v>283.89</v>
      </c>
      <c r="E1123" s="18">
        <v>397.44</v>
      </c>
      <c r="F1123" s="18">
        <v>12.0</v>
      </c>
    </row>
    <row r="1124">
      <c r="A1124" s="15">
        <v>4.0</v>
      </c>
      <c r="B1124" s="16" t="s">
        <v>6627</v>
      </c>
      <c r="C1124" s="17" t="s">
        <v>5704</v>
      </c>
      <c r="D1124" s="18">
        <v>316.57</v>
      </c>
      <c r="E1124" s="18">
        <v>443.2</v>
      </c>
      <c r="F1124" s="18">
        <v>12.0</v>
      </c>
    </row>
    <row r="1125">
      <c r="A1125" s="15">
        <v>5.0</v>
      </c>
      <c r="B1125" s="16" t="s">
        <v>6628</v>
      </c>
      <c r="C1125" s="17" t="s">
        <v>5677</v>
      </c>
      <c r="D1125" s="18">
        <v>178.98</v>
      </c>
      <c r="E1125" s="18">
        <v>264.0</v>
      </c>
      <c r="F1125" s="18">
        <v>18.0</v>
      </c>
    </row>
    <row r="1126">
      <c r="A1126" s="15">
        <v>6.0</v>
      </c>
      <c r="B1126" s="16" t="s">
        <v>6629</v>
      </c>
      <c r="C1126" s="17" t="s">
        <v>6630</v>
      </c>
      <c r="D1126" s="18">
        <v>235.71</v>
      </c>
      <c r="E1126" s="18">
        <v>330.0</v>
      </c>
      <c r="F1126" s="18">
        <v>12.0</v>
      </c>
    </row>
    <row r="1127">
      <c r="A1127" s="15">
        <v>7.0</v>
      </c>
      <c r="B1127" s="16" t="s">
        <v>6631</v>
      </c>
      <c r="C1127" s="17" t="s">
        <v>6632</v>
      </c>
      <c r="D1127" s="18">
        <v>37.33</v>
      </c>
      <c r="E1127" s="18">
        <v>49.0</v>
      </c>
      <c r="F1127" s="18">
        <v>5.0</v>
      </c>
    </row>
    <row r="1128">
      <c r="A1128" s="15">
        <v>8.0</v>
      </c>
      <c r="B1128" s="16" t="s">
        <v>6633</v>
      </c>
      <c r="C1128" s="17" t="s">
        <v>6634</v>
      </c>
      <c r="D1128" s="18">
        <v>37.33</v>
      </c>
      <c r="E1128" s="18">
        <v>49.0</v>
      </c>
      <c r="F1128" s="18">
        <v>5.0</v>
      </c>
    </row>
    <row r="1129">
      <c r="A1129" s="15">
        <v>9.0</v>
      </c>
      <c r="B1129" s="16" t="s">
        <v>6635</v>
      </c>
      <c r="C1129" s="17" t="s">
        <v>5704</v>
      </c>
      <c r="D1129" s="18">
        <v>87.37</v>
      </c>
      <c r="E1129" s="18">
        <v>120.0</v>
      </c>
      <c r="F1129" s="18">
        <v>12.0</v>
      </c>
    </row>
    <row r="1130">
      <c r="A1130" s="15">
        <v>10.0</v>
      </c>
      <c r="B1130" s="16" t="s">
        <v>6636</v>
      </c>
      <c r="C1130" s="17" t="s">
        <v>6626</v>
      </c>
      <c r="D1130" s="18">
        <v>121.0</v>
      </c>
      <c r="E1130" s="18">
        <v>169.4</v>
      </c>
      <c r="F1130" s="18">
        <v>12.0</v>
      </c>
    </row>
    <row r="1131">
      <c r="A1131" s="15">
        <v>11.0</v>
      </c>
      <c r="B1131" s="16" t="s">
        <v>6637</v>
      </c>
      <c r="C1131" s="17" t="s">
        <v>6626</v>
      </c>
      <c r="D1131" s="18">
        <v>112.36</v>
      </c>
      <c r="E1131" s="18">
        <v>157.3</v>
      </c>
      <c r="F1131" s="18">
        <v>12.0</v>
      </c>
    </row>
    <row r="1132">
      <c r="A1132" s="15">
        <v>12.0</v>
      </c>
      <c r="B1132" s="16" t="s">
        <v>6637</v>
      </c>
      <c r="C1132" s="17" t="s">
        <v>6638</v>
      </c>
      <c r="D1132" s="18">
        <v>55.31</v>
      </c>
      <c r="E1132" s="18">
        <v>70.4</v>
      </c>
      <c r="F1132" s="18">
        <v>12.0</v>
      </c>
    </row>
    <row r="1133">
      <c r="A1133" s="15">
        <v>13.0</v>
      </c>
      <c r="B1133" s="16" t="s">
        <v>6639</v>
      </c>
      <c r="C1133" s="17" t="s">
        <v>6614</v>
      </c>
      <c r="D1133" s="18">
        <v>114.29</v>
      </c>
      <c r="E1133" s="18">
        <v>160.0</v>
      </c>
      <c r="F1133" s="18">
        <v>12.0</v>
      </c>
    </row>
    <row r="1134">
      <c r="A1134" s="15">
        <v>14.0</v>
      </c>
      <c r="B1134" s="16" t="s">
        <v>6640</v>
      </c>
      <c r="C1134" s="17" t="s">
        <v>5704</v>
      </c>
      <c r="D1134" s="18">
        <v>97.93</v>
      </c>
      <c r="E1134" s="18">
        <v>134.5</v>
      </c>
      <c r="F1134" s="18">
        <v>12.0</v>
      </c>
    </row>
    <row r="1135">
      <c r="A1135" s="15">
        <v>15.0</v>
      </c>
      <c r="B1135" s="16" t="s">
        <v>6641</v>
      </c>
      <c r="C1135" s="17" t="s">
        <v>6594</v>
      </c>
      <c r="D1135" s="18">
        <v>360.42</v>
      </c>
      <c r="E1135" s="18">
        <v>495.0</v>
      </c>
      <c r="F1135" s="18">
        <v>12.0</v>
      </c>
    </row>
    <row r="1136">
      <c r="A1136" s="6"/>
      <c r="B1136" s="7"/>
      <c r="C1136" s="7"/>
      <c r="D1136" s="7"/>
      <c r="E1136" s="7"/>
      <c r="F1136" s="8"/>
    </row>
    <row r="1137">
      <c r="A1137" s="9" t="s">
        <v>6642</v>
      </c>
      <c r="B1137" s="10"/>
      <c r="C1137" s="10"/>
      <c r="D1137" s="10"/>
      <c r="E1137" s="10"/>
      <c r="F1137" s="10"/>
    </row>
    <row r="1138">
      <c r="A1138" s="11">
        <v>1.0</v>
      </c>
      <c r="B1138" s="12" t="s">
        <v>6643</v>
      </c>
      <c r="C1138" s="13" t="s">
        <v>5653</v>
      </c>
      <c r="D1138" s="14">
        <v>57.6</v>
      </c>
      <c r="E1138" s="14">
        <v>80.64</v>
      </c>
      <c r="F1138" s="14">
        <v>12.0</v>
      </c>
    </row>
    <row r="1139">
      <c r="A1139" s="15">
        <v>2.0</v>
      </c>
      <c r="B1139" s="16" t="s">
        <v>6643</v>
      </c>
      <c r="C1139" s="17" t="s">
        <v>5655</v>
      </c>
      <c r="D1139" s="18">
        <v>43.11</v>
      </c>
      <c r="E1139" s="18">
        <v>60.36</v>
      </c>
      <c r="F1139" s="18">
        <v>12.0</v>
      </c>
    </row>
    <row r="1140">
      <c r="A1140" s="15">
        <v>3.0</v>
      </c>
      <c r="B1140" s="16" t="s">
        <v>6644</v>
      </c>
      <c r="C1140" s="17" t="s">
        <v>5550</v>
      </c>
      <c r="D1140" s="18">
        <v>145.75</v>
      </c>
      <c r="E1140" s="18">
        <v>204.05</v>
      </c>
      <c r="F1140" s="18">
        <v>12.0</v>
      </c>
    </row>
    <row r="1141">
      <c r="A1141" s="15">
        <v>4.0</v>
      </c>
      <c r="B1141" s="16" t="s">
        <v>6645</v>
      </c>
      <c r="C1141" s="17" t="s">
        <v>5536</v>
      </c>
      <c r="D1141" s="18">
        <v>58.48</v>
      </c>
      <c r="E1141" s="18">
        <v>81.87</v>
      </c>
      <c r="F1141" s="18">
        <v>12.0</v>
      </c>
    </row>
    <row r="1142">
      <c r="A1142" s="15">
        <v>5.0</v>
      </c>
      <c r="B1142" s="16" t="s">
        <v>6646</v>
      </c>
      <c r="C1142" s="17" t="s">
        <v>5546</v>
      </c>
      <c r="D1142" s="18">
        <v>108.13</v>
      </c>
      <c r="E1142" s="18">
        <v>151.38</v>
      </c>
      <c r="F1142" s="18">
        <v>12.0</v>
      </c>
    </row>
    <row r="1143">
      <c r="A1143" s="15">
        <v>6.0</v>
      </c>
      <c r="B1143" s="16" t="s">
        <v>6647</v>
      </c>
      <c r="C1143" s="17" t="s">
        <v>6648</v>
      </c>
      <c r="D1143" s="18">
        <v>377.14</v>
      </c>
      <c r="E1143" s="18">
        <v>528.0</v>
      </c>
      <c r="F1143" s="18">
        <v>12.0</v>
      </c>
    </row>
    <row r="1144">
      <c r="A1144" s="15">
        <v>7.0</v>
      </c>
      <c r="B1144" s="16" t="s">
        <v>6649</v>
      </c>
      <c r="C1144" s="17" t="s">
        <v>5536</v>
      </c>
      <c r="D1144" s="18">
        <v>22.33</v>
      </c>
      <c r="E1144" s="18">
        <v>30.65</v>
      </c>
      <c r="F1144" s="18">
        <v>12.0</v>
      </c>
    </row>
    <row r="1145">
      <c r="A1145" s="15">
        <v>8.0</v>
      </c>
      <c r="B1145" s="16" t="s">
        <v>6650</v>
      </c>
      <c r="C1145" s="17" t="s">
        <v>5536</v>
      </c>
      <c r="D1145" s="18">
        <v>12.39</v>
      </c>
      <c r="E1145" s="18">
        <v>17.0</v>
      </c>
      <c r="F1145" s="18">
        <v>12.0</v>
      </c>
    </row>
    <row r="1146">
      <c r="A1146" s="15">
        <v>9.0</v>
      </c>
      <c r="B1146" s="16" t="s">
        <v>6651</v>
      </c>
      <c r="C1146" s="17" t="s">
        <v>5788</v>
      </c>
      <c r="D1146" s="18">
        <v>48.32</v>
      </c>
      <c r="E1146" s="18">
        <v>67.65</v>
      </c>
      <c r="F1146" s="18">
        <v>12.0</v>
      </c>
    </row>
    <row r="1147">
      <c r="A1147" s="15">
        <v>10.0</v>
      </c>
      <c r="B1147" s="16" t="s">
        <v>6652</v>
      </c>
      <c r="C1147" s="17" t="s">
        <v>5536</v>
      </c>
      <c r="D1147" s="18">
        <v>11.24</v>
      </c>
      <c r="E1147" s="18">
        <v>15.74</v>
      </c>
      <c r="F1147" s="18">
        <v>12.0</v>
      </c>
    </row>
    <row r="1148">
      <c r="A1148" s="15">
        <v>11.0</v>
      </c>
      <c r="B1148" s="16" t="s">
        <v>6653</v>
      </c>
      <c r="C1148" s="17" t="s">
        <v>5536</v>
      </c>
      <c r="D1148" s="18">
        <v>19.64</v>
      </c>
      <c r="E1148" s="18">
        <v>27.5</v>
      </c>
      <c r="F1148" s="18">
        <v>12.0</v>
      </c>
    </row>
    <row r="1149">
      <c r="A1149" s="15">
        <v>12.0</v>
      </c>
      <c r="B1149" s="16" t="s">
        <v>6654</v>
      </c>
      <c r="C1149" s="17" t="s">
        <v>5536</v>
      </c>
      <c r="D1149" s="18">
        <v>31.79</v>
      </c>
      <c r="E1149" s="18">
        <v>44.5</v>
      </c>
      <c r="F1149" s="18">
        <v>12.0</v>
      </c>
    </row>
    <row r="1150">
      <c r="A1150" s="15">
        <v>13.0</v>
      </c>
      <c r="B1150" s="16" t="s">
        <v>6655</v>
      </c>
      <c r="C1150" s="17" t="s">
        <v>5536</v>
      </c>
      <c r="D1150" s="18">
        <v>38.56</v>
      </c>
      <c r="E1150" s="18">
        <v>53.99</v>
      </c>
      <c r="F1150" s="18">
        <v>12.0</v>
      </c>
    </row>
    <row r="1151">
      <c r="A1151" s="15">
        <v>14.0</v>
      </c>
      <c r="B1151" s="16" t="s">
        <v>6656</v>
      </c>
      <c r="C1151" s="17" t="s">
        <v>5636</v>
      </c>
      <c r="D1151" s="18">
        <v>41.91</v>
      </c>
      <c r="E1151" s="18">
        <v>58.68</v>
      </c>
      <c r="F1151" s="18">
        <v>12.0</v>
      </c>
    </row>
    <row r="1152">
      <c r="A1152" s="15">
        <v>15.0</v>
      </c>
      <c r="B1152" s="16" t="s">
        <v>6651</v>
      </c>
      <c r="C1152" s="17" t="s">
        <v>5804</v>
      </c>
      <c r="D1152" s="18">
        <v>88.37</v>
      </c>
      <c r="E1152" s="18">
        <v>123.72</v>
      </c>
      <c r="F1152" s="18">
        <v>12.0</v>
      </c>
    </row>
    <row r="1153">
      <c r="A1153" s="15">
        <v>16.0</v>
      </c>
      <c r="B1153" s="16" t="s">
        <v>6657</v>
      </c>
      <c r="C1153" s="17" t="s">
        <v>5765</v>
      </c>
      <c r="D1153" s="18">
        <v>198.81</v>
      </c>
      <c r="E1153" s="18">
        <v>278.34</v>
      </c>
      <c r="F1153" s="18">
        <v>12.0</v>
      </c>
    </row>
    <row r="1154">
      <c r="A1154" s="15">
        <v>17.0</v>
      </c>
      <c r="B1154" s="16" t="s">
        <v>6658</v>
      </c>
      <c r="C1154" s="17" t="s">
        <v>6659</v>
      </c>
      <c r="D1154" s="18">
        <v>139.58</v>
      </c>
      <c r="E1154" s="18">
        <v>195.41</v>
      </c>
      <c r="F1154" s="18">
        <v>12.0</v>
      </c>
    </row>
    <row r="1155">
      <c r="A1155" s="15">
        <v>18.0</v>
      </c>
      <c r="B1155" s="16" t="s">
        <v>6660</v>
      </c>
      <c r="C1155" s="17" t="s">
        <v>6661</v>
      </c>
      <c r="D1155" s="18">
        <v>102.69</v>
      </c>
      <c r="E1155" s="18">
        <v>141.0</v>
      </c>
      <c r="F1155" s="18">
        <v>12.0</v>
      </c>
    </row>
    <row r="1156">
      <c r="A1156" s="15">
        <v>19.0</v>
      </c>
      <c r="B1156" s="16" t="s">
        <v>6662</v>
      </c>
      <c r="C1156" s="17" t="s">
        <v>5653</v>
      </c>
      <c r="D1156" s="18">
        <v>61.87</v>
      </c>
      <c r="E1156" s="18">
        <v>86.62</v>
      </c>
      <c r="F1156" s="18">
        <v>12.0</v>
      </c>
    </row>
    <row r="1157">
      <c r="A1157" s="15">
        <v>20.0</v>
      </c>
      <c r="B1157" s="16" t="s">
        <v>6662</v>
      </c>
      <c r="C1157" s="17" t="s">
        <v>5654</v>
      </c>
      <c r="D1157" s="18">
        <v>100.16</v>
      </c>
      <c r="E1157" s="18">
        <v>140.22</v>
      </c>
      <c r="F1157" s="18">
        <v>12.0</v>
      </c>
    </row>
    <row r="1158">
      <c r="A1158" s="15">
        <v>21.0</v>
      </c>
      <c r="B1158" s="16" t="s">
        <v>6663</v>
      </c>
      <c r="C1158" s="17" t="s">
        <v>5536</v>
      </c>
      <c r="D1158" s="18">
        <v>31.34</v>
      </c>
      <c r="E1158" s="18">
        <v>43.87</v>
      </c>
      <c r="F1158" s="18">
        <v>12.0</v>
      </c>
    </row>
    <row r="1159">
      <c r="A1159" s="15">
        <v>22.0</v>
      </c>
      <c r="B1159" s="16" t="s">
        <v>6662</v>
      </c>
      <c r="C1159" s="17" t="s">
        <v>5788</v>
      </c>
      <c r="D1159" s="18">
        <v>77.79</v>
      </c>
      <c r="E1159" s="18">
        <v>108.9</v>
      </c>
      <c r="F1159" s="18">
        <v>12.0</v>
      </c>
    </row>
    <row r="1160">
      <c r="A1160" s="15">
        <v>23.0</v>
      </c>
      <c r="B1160" s="16" t="s">
        <v>6662</v>
      </c>
      <c r="C1160" s="17" t="s">
        <v>6664</v>
      </c>
      <c r="D1160" s="18">
        <v>63.44</v>
      </c>
      <c r="E1160" s="18">
        <v>88.0</v>
      </c>
      <c r="F1160" s="18">
        <v>12.0</v>
      </c>
    </row>
    <row r="1161">
      <c r="A1161" s="15">
        <v>24.0</v>
      </c>
      <c r="B1161" s="16" t="s">
        <v>6662</v>
      </c>
      <c r="C1161" s="17" t="s">
        <v>5657</v>
      </c>
      <c r="D1161" s="18">
        <v>43.21</v>
      </c>
      <c r="E1161" s="18">
        <v>60.5</v>
      </c>
      <c r="F1161" s="18">
        <v>12.0</v>
      </c>
    </row>
    <row r="1162">
      <c r="A1162" s="15">
        <v>25.0</v>
      </c>
      <c r="B1162" s="16" t="s">
        <v>6665</v>
      </c>
      <c r="C1162" s="17" t="s">
        <v>6666</v>
      </c>
      <c r="D1162" s="18">
        <v>280.0</v>
      </c>
      <c r="E1162" s="18">
        <v>392.0</v>
      </c>
      <c r="F1162" s="18">
        <v>12.0</v>
      </c>
    </row>
    <row r="1163">
      <c r="A1163" s="15">
        <v>26.0</v>
      </c>
      <c r="B1163" s="16" t="s">
        <v>6665</v>
      </c>
      <c r="C1163" s="17" t="s">
        <v>6667</v>
      </c>
      <c r="D1163" s="18">
        <v>1160.72</v>
      </c>
      <c r="E1163" s="18">
        <v>1625.0</v>
      </c>
      <c r="F1163" s="18">
        <v>12.0</v>
      </c>
    </row>
    <row r="1164">
      <c r="A1164" s="15">
        <v>27.0</v>
      </c>
      <c r="B1164" s="16" t="s">
        <v>6668</v>
      </c>
      <c r="C1164" s="17" t="s">
        <v>5632</v>
      </c>
      <c r="D1164" s="18">
        <v>126.27</v>
      </c>
      <c r="E1164" s="18">
        <v>176.78</v>
      </c>
      <c r="F1164" s="18">
        <v>12.0</v>
      </c>
    </row>
    <row r="1165">
      <c r="A1165" s="15">
        <v>28.0</v>
      </c>
      <c r="B1165" s="16" t="s">
        <v>6668</v>
      </c>
      <c r="C1165" s="17" t="s">
        <v>6669</v>
      </c>
      <c r="D1165" s="18">
        <v>35.44</v>
      </c>
      <c r="E1165" s="18">
        <v>49.61</v>
      </c>
      <c r="F1165" s="18">
        <v>12.0</v>
      </c>
    </row>
    <row r="1166">
      <c r="A1166" s="6"/>
      <c r="B1166" s="7"/>
      <c r="C1166" s="7"/>
      <c r="D1166" s="7"/>
      <c r="E1166" s="8"/>
      <c r="F1166" s="16" t="s">
        <v>6670</v>
      </c>
    </row>
    <row r="1167">
      <c r="A1167" s="6"/>
      <c r="B1167" s="7"/>
      <c r="C1167" s="7"/>
      <c r="D1167" s="7"/>
      <c r="E1167" s="7"/>
      <c r="F1167" s="8"/>
    </row>
    <row r="1168">
      <c r="A1168" s="6"/>
      <c r="B1168" s="7"/>
      <c r="C1168" s="7"/>
      <c r="D1168" s="7"/>
      <c r="E1168" s="7"/>
      <c r="F1168" s="8"/>
    </row>
    <row r="1169">
      <c r="A1169" s="6"/>
      <c r="B1169" s="7"/>
      <c r="C1169" s="7"/>
      <c r="D1169" s="7"/>
      <c r="E1169" s="7"/>
      <c r="F1169" s="8"/>
    </row>
    <row r="1170">
      <c r="A1170" s="6"/>
      <c r="B1170" s="7"/>
      <c r="C1170" s="7"/>
      <c r="D1170" s="7"/>
      <c r="E1170" s="7"/>
      <c r="F1170" s="8"/>
    </row>
    <row r="1171">
      <c r="A1171" s="9" t="s">
        <v>5582</v>
      </c>
      <c r="B1171" s="10"/>
      <c r="C1171" s="10"/>
      <c r="D1171" s="10"/>
      <c r="E1171" s="10"/>
      <c r="F1171" s="10"/>
    </row>
    <row r="1172">
      <c r="A1172" s="19" t="s">
        <v>5583</v>
      </c>
    </row>
    <row r="1173">
      <c r="A1173" s="6"/>
      <c r="B1173" s="7"/>
      <c r="C1173" s="7"/>
      <c r="D1173" s="8"/>
      <c r="E1173" s="12" t="s">
        <v>5584</v>
      </c>
      <c r="F1173" s="12" t="s">
        <v>6671</v>
      </c>
    </row>
    <row r="1174">
      <c r="A1174" s="20" t="s">
        <v>5522</v>
      </c>
      <c r="B1174" s="16" t="s">
        <v>5523</v>
      </c>
      <c r="C1174" s="16" t="s">
        <v>5524</v>
      </c>
      <c r="D1174" s="16" t="s">
        <v>5525</v>
      </c>
      <c r="E1174" s="16" t="s">
        <v>5526</v>
      </c>
      <c r="F1174" s="16" t="s">
        <v>5586</v>
      </c>
    </row>
    <row r="1175">
      <c r="A1175" s="15">
        <v>29.0</v>
      </c>
      <c r="B1175" s="16" t="s">
        <v>6668</v>
      </c>
      <c r="C1175" s="17" t="s">
        <v>5633</v>
      </c>
      <c r="D1175" s="18">
        <v>72.16</v>
      </c>
      <c r="E1175" s="18">
        <v>101.03</v>
      </c>
      <c r="F1175" s="18">
        <v>12.0</v>
      </c>
    </row>
    <row r="1176">
      <c r="A1176" s="15">
        <v>30.0</v>
      </c>
      <c r="B1176" s="16" t="s">
        <v>6672</v>
      </c>
      <c r="C1176" s="17" t="s">
        <v>5740</v>
      </c>
      <c r="D1176" s="18">
        <v>28.76</v>
      </c>
      <c r="E1176" s="18">
        <v>39.5</v>
      </c>
      <c r="F1176" s="18">
        <v>12.0</v>
      </c>
    </row>
    <row r="1177">
      <c r="A1177" s="15">
        <v>31.0</v>
      </c>
      <c r="B1177" s="16" t="s">
        <v>6673</v>
      </c>
      <c r="C1177" s="17" t="s">
        <v>5536</v>
      </c>
      <c r="D1177" s="18">
        <v>144.91</v>
      </c>
      <c r="E1177" s="18">
        <v>199.0</v>
      </c>
      <c r="F1177" s="18">
        <v>12.0</v>
      </c>
    </row>
    <row r="1178">
      <c r="A1178" s="15">
        <v>32.0</v>
      </c>
      <c r="B1178" s="16" t="s">
        <v>6674</v>
      </c>
      <c r="C1178" s="17" t="s">
        <v>5536</v>
      </c>
      <c r="D1178" s="18">
        <v>240.27</v>
      </c>
      <c r="E1178" s="18">
        <v>330.0</v>
      </c>
      <c r="F1178" s="18">
        <v>12.0</v>
      </c>
    </row>
    <row r="1179">
      <c r="A1179" s="15">
        <v>33.0</v>
      </c>
      <c r="B1179" s="16" t="s">
        <v>6675</v>
      </c>
      <c r="C1179" s="17" t="s">
        <v>5636</v>
      </c>
      <c r="D1179" s="18">
        <v>70.71</v>
      </c>
      <c r="E1179" s="18">
        <v>99.0</v>
      </c>
      <c r="F1179" s="18">
        <v>12.0</v>
      </c>
    </row>
    <row r="1180">
      <c r="A1180" s="15">
        <v>34.0</v>
      </c>
      <c r="B1180" s="16" t="s">
        <v>6676</v>
      </c>
      <c r="C1180" s="17" t="s">
        <v>5636</v>
      </c>
      <c r="D1180" s="18">
        <v>40.2</v>
      </c>
      <c r="E1180" s="18">
        <v>56.28</v>
      </c>
      <c r="F1180" s="18">
        <v>12.0</v>
      </c>
    </row>
    <row r="1181">
      <c r="A1181" s="15">
        <v>35.0</v>
      </c>
      <c r="B1181" s="16" t="s">
        <v>6677</v>
      </c>
      <c r="C1181" s="17" t="s">
        <v>6678</v>
      </c>
      <c r="D1181" s="18">
        <v>383.74</v>
      </c>
      <c r="E1181" s="18">
        <v>537.24</v>
      </c>
      <c r="F1181" s="18">
        <v>12.0</v>
      </c>
    </row>
    <row r="1182">
      <c r="A1182" s="6"/>
      <c r="B1182" s="7"/>
      <c r="C1182" s="7"/>
      <c r="D1182" s="7"/>
      <c r="E1182" s="7"/>
      <c r="F1182" s="8"/>
    </row>
    <row r="1183">
      <c r="A1183" s="9" t="s">
        <v>6679</v>
      </c>
      <c r="B1183" s="10"/>
      <c r="C1183" s="10"/>
      <c r="D1183" s="10"/>
      <c r="E1183" s="10"/>
      <c r="F1183" s="10"/>
    </row>
    <row r="1184">
      <c r="A1184" s="11">
        <v>1.0</v>
      </c>
      <c r="B1184" s="12" t="s">
        <v>6680</v>
      </c>
      <c r="C1184" s="13" t="s">
        <v>5603</v>
      </c>
      <c r="D1184" s="14">
        <v>131.21</v>
      </c>
      <c r="E1184" s="14">
        <v>183.7</v>
      </c>
      <c r="F1184" s="14">
        <v>12.0</v>
      </c>
    </row>
    <row r="1185">
      <c r="A1185" s="15">
        <v>2.0</v>
      </c>
      <c r="B1185" s="16" t="s">
        <v>6681</v>
      </c>
      <c r="C1185" s="17" t="s">
        <v>6363</v>
      </c>
      <c r="D1185" s="18">
        <v>119.29</v>
      </c>
      <c r="E1185" s="18">
        <v>167.0</v>
      </c>
      <c r="F1185" s="18">
        <v>12.0</v>
      </c>
    </row>
    <row r="1186">
      <c r="A1186" s="15">
        <v>3.0</v>
      </c>
      <c r="B1186" s="16" t="s">
        <v>6682</v>
      </c>
      <c r="C1186" s="17" t="s">
        <v>5818</v>
      </c>
      <c r="D1186" s="18">
        <v>61.27</v>
      </c>
      <c r="E1186" s="18">
        <v>85.0</v>
      </c>
      <c r="F1186" s="18">
        <v>12.0</v>
      </c>
    </row>
    <row r="1187">
      <c r="A1187" s="15">
        <v>4.0</v>
      </c>
      <c r="B1187" s="16" t="s">
        <v>6682</v>
      </c>
      <c r="C1187" s="17" t="s">
        <v>6127</v>
      </c>
      <c r="D1187" s="18">
        <v>125.32</v>
      </c>
      <c r="E1187" s="18">
        <v>175.45</v>
      </c>
      <c r="F1187" s="18">
        <v>12.0</v>
      </c>
    </row>
    <row r="1188">
      <c r="A1188" s="15">
        <v>5.0</v>
      </c>
      <c r="B1188" s="16" t="s">
        <v>6683</v>
      </c>
      <c r="C1188" s="17" t="s">
        <v>5536</v>
      </c>
      <c r="D1188" s="18">
        <v>39.63</v>
      </c>
      <c r="E1188" s="18">
        <v>55.0</v>
      </c>
      <c r="F1188" s="18">
        <v>12.0</v>
      </c>
    </row>
    <row r="1189">
      <c r="A1189" s="15">
        <v>6.0</v>
      </c>
      <c r="B1189" s="16" t="s">
        <v>6684</v>
      </c>
      <c r="C1189" s="17" t="s">
        <v>5818</v>
      </c>
      <c r="D1189" s="18">
        <v>76.43</v>
      </c>
      <c r="E1189" s="18">
        <v>107.0</v>
      </c>
      <c r="F1189" s="18">
        <v>12.0</v>
      </c>
    </row>
    <row r="1190">
      <c r="A1190" s="15">
        <v>7.0</v>
      </c>
      <c r="B1190" s="16" t="s">
        <v>6684</v>
      </c>
      <c r="C1190" s="17" t="s">
        <v>6127</v>
      </c>
      <c r="D1190" s="18">
        <v>149.29</v>
      </c>
      <c r="E1190" s="18">
        <v>209.0</v>
      </c>
      <c r="F1190" s="18">
        <v>12.0</v>
      </c>
    </row>
    <row r="1191">
      <c r="A1191" s="15">
        <v>8.0</v>
      </c>
      <c r="B1191" s="16" t="s">
        <v>6684</v>
      </c>
      <c r="C1191" s="17" t="s">
        <v>5922</v>
      </c>
      <c r="D1191" s="18">
        <v>227.86</v>
      </c>
      <c r="E1191" s="18">
        <v>319.0</v>
      </c>
      <c r="F1191" s="18">
        <v>12.0</v>
      </c>
    </row>
    <row r="1192">
      <c r="A1192" s="15">
        <v>9.0</v>
      </c>
      <c r="B1192" s="16" t="s">
        <v>6685</v>
      </c>
      <c r="C1192" s="17" t="s">
        <v>5536</v>
      </c>
      <c r="D1192" s="18">
        <v>104.03</v>
      </c>
      <c r="E1192" s="18">
        <v>145.64</v>
      </c>
      <c r="F1192" s="18">
        <v>12.0</v>
      </c>
    </row>
    <row r="1193">
      <c r="A1193" s="15">
        <v>10.0</v>
      </c>
      <c r="B1193" s="16" t="s">
        <v>6686</v>
      </c>
      <c r="C1193" s="17" t="s">
        <v>5536</v>
      </c>
      <c r="D1193" s="18">
        <v>80.91</v>
      </c>
      <c r="E1193" s="18">
        <v>113.28</v>
      </c>
      <c r="F1193" s="18">
        <v>12.0</v>
      </c>
    </row>
    <row r="1194">
      <c r="A1194" s="15">
        <v>11.0</v>
      </c>
      <c r="B1194" s="16" t="s">
        <v>6687</v>
      </c>
      <c r="C1194" s="17" t="s">
        <v>5788</v>
      </c>
      <c r="D1194" s="18">
        <v>116.5</v>
      </c>
      <c r="E1194" s="18">
        <v>160.0</v>
      </c>
      <c r="F1194" s="18">
        <v>12.0</v>
      </c>
    </row>
    <row r="1195">
      <c r="A1195" s="15">
        <v>12.0</v>
      </c>
      <c r="B1195" s="16" t="s">
        <v>6687</v>
      </c>
      <c r="C1195" s="17" t="s">
        <v>5636</v>
      </c>
      <c r="D1195" s="18">
        <v>114.67</v>
      </c>
      <c r="E1195" s="18">
        <v>160.54</v>
      </c>
      <c r="F1195" s="18">
        <v>12.0</v>
      </c>
    </row>
    <row r="1196">
      <c r="A1196" s="15">
        <v>13.0</v>
      </c>
      <c r="B1196" s="16" t="s">
        <v>6688</v>
      </c>
      <c r="C1196" s="17" t="s">
        <v>5818</v>
      </c>
      <c r="D1196" s="18">
        <v>140.01</v>
      </c>
      <c r="E1196" s="18">
        <v>196.02</v>
      </c>
      <c r="F1196" s="18">
        <v>12.0</v>
      </c>
    </row>
    <row r="1197">
      <c r="A1197" s="15">
        <v>14.0</v>
      </c>
      <c r="B1197" s="16" t="s">
        <v>6689</v>
      </c>
      <c r="C1197" s="17" t="s">
        <v>5536</v>
      </c>
      <c r="D1197" s="18">
        <v>72.6</v>
      </c>
      <c r="E1197" s="18">
        <v>101.64</v>
      </c>
      <c r="F1197" s="18">
        <v>12.0</v>
      </c>
    </row>
    <row r="1198">
      <c r="A1198" s="15">
        <v>15.0</v>
      </c>
      <c r="B1198" s="16" t="s">
        <v>6690</v>
      </c>
      <c r="C1198" s="17" t="s">
        <v>5536</v>
      </c>
      <c r="D1198" s="18">
        <v>74.18</v>
      </c>
      <c r="E1198" s="18">
        <v>103.85</v>
      </c>
      <c r="F1198" s="18">
        <v>12.0</v>
      </c>
    </row>
    <row r="1199">
      <c r="A1199" s="15">
        <v>16.0</v>
      </c>
      <c r="B1199" s="16" t="s">
        <v>6691</v>
      </c>
      <c r="C1199" s="17" t="s">
        <v>5536</v>
      </c>
      <c r="D1199" s="18">
        <v>45.0</v>
      </c>
      <c r="E1199" s="18">
        <v>63.0</v>
      </c>
      <c r="F1199" s="18">
        <v>12.0</v>
      </c>
    </row>
    <row r="1200">
      <c r="A1200" s="15">
        <v>17.0</v>
      </c>
      <c r="B1200" s="16" t="s">
        <v>6692</v>
      </c>
      <c r="C1200" s="17" t="s">
        <v>5536</v>
      </c>
      <c r="D1200" s="18">
        <v>184.52</v>
      </c>
      <c r="E1200" s="18">
        <v>258.33</v>
      </c>
      <c r="F1200" s="18">
        <v>12.0</v>
      </c>
    </row>
    <row r="1201">
      <c r="A1201" s="15">
        <v>18.0</v>
      </c>
      <c r="B1201" s="16" t="s">
        <v>6693</v>
      </c>
      <c r="C1201" s="17" t="s">
        <v>6390</v>
      </c>
      <c r="D1201" s="18">
        <v>56.16</v>
      </c>
      <c r="E1201" s="18">
        <v>78.63</v>
      </c>
      <c r="F1201" s="18">
        <v>12.0</v>
      </c>
    </row>
    <row r="1202">
      <c r="A1202" s="15">
        <v>19.0</v>
      </c>
      <c r="B1202" s="16" t="s">
        <v>6694</v>
      </c>
      <c r="C1202" s="17" t="s">
        <v>6390</v>
      </c>
      <c r="D1202" s="18">
        <v>102.85</v>
      </c>
      <c r="E1202" s="18">
        <v>143.99</v>
      </c>
      <c r="F1202" s="18">
        <v>12.0</v>
      </c>
    </row>
    <row r="1203">
      <c r="A1203" s="15">
        <v>20.0</v>
      </c>
      <c r="B1203" s="16" t="s">
        <v>6695</v>
      </c>
      <c r="C1203" s="17" t="s">
        <v>5636</v>
      </c>
      <c r="D1203" s="18">
        <v>12.96</v>
      </c>
      <c r="E1203" s="18">
        <v>18.15</v>
      </c>
      <c r="F1203" s="18">
        <v>12.0</v>
      </c>
    </row>
    <row r="1204">
      <c r="A1204" s="15">
        <v>21.0</v>
      </c>
      <c r="B1204" s="16" t="s">
        <v>6696</v>
      </c>
      <c r="C1204" s="17" t="s">
        <v>5818</v>
      </c>
      <c r="D1204" s="18">
        <v>131.07</v>
      </c>
      <c r="E1204" s="18">
        <v>180.0</v>
      </c>
      <c r="F1204" s="18">
        <v>12.0</v>
      </c>
    </row>
    <row r="1205">
      <c r="A1205" s="15">
        <v>22.0</v>
      </c>
      <c r="B1205" s="16" t="s">
        <v>6696</v>
      </c>
      <c r="C1205" s="17" t="s">
        <v>6127</v>
      </c>
      <c r="D1205" s="18">
        <v>218.43</v>
      </c>
      <c r="E1205" s="18">
        <v>300.0</v>
      </c>
      <c r="F1205" s="18">
        <v>12.0</v>
      </c>
    </row>
    <row r="1206">
      <c r="A1206" s="15">
        <v>23.0</v>
      </c>
      <c r="B1206" s="16" t="s">
        <v>6696</v>
      </c>
      <c r="C1206" s="17" t="s">
        <v>5531</v>
      </c>
      <c r="D1206" s="18">
        <v>71.43</v>
      </c>
      <c r="E1206" s="18">
        <v>100.0</v>
      </c>
      <c r="F1206" s="18">
        <v>12.0</v>
      </c>
    </row>
    <row r="1207">
      <c r="A1207" s="15">
        <v>24.0</v>
      </c>
      <c r="B1207" s="16" t="s">
        <v>6697</v>
      </c>
      <c r="C1207" s="17" t="s">
        <v>6698</v>
      </c>
      <c r="D1207" s="18">
        <v>135.28</v>
      </c>
      <c r="E1207" s="18">
        <v>195.0</v>
      </c>
      <c r="F1207" s="18">
        <v>18.0</v>
      </c>
    </row>
    <row r="1208">
      <c r="A1208" s="15">
        <v>25.0</v>
      </c>
      <c r="B1208" s="16" t="s">
        <v>6699</v>
      </c>
      <c r="C1208" s="17" t="s">
        <v>5562</v>
      </c>
      <c r="D1208" s="18">
        <v>66.07</v>
      </c>
      <c r="E1208" s="18">
        <v>92.5</v>
      </c>
      <c r="F1208" s="18">
        <v>12.0</v>
      </c>
    </row>
    <row r="1209">
      <c r="A1209" s="15">
        <v>26.0</v>
      </c>
      <c r="B1209" s="16" t="s">
        <v>6700</v>
      </c>
      <c r="C1209" s="17" t="s">
        <v>5614</v>
      </c>
      <c r="D1209" s="18">
        <v>67.39</v>
      </c>
      <c r="E1209" s="18">
        <v>93.5</v>
      </c>
      <c r="F1209" s="18">
        <v>12.0</v>
      </c>
    </row>
    <row r="1210">
      <c r="A1210" s="15">
        <v>27.0</v>
      </c>
      <c r="B1210" s="16" t="s">
        <v>6701</v>
      </c>
      <c r="C1210" s="17" t="s">
        <v>5536</v>
      </c>
      <c r="D1210" s="18">
        <v>40.86</v>
      </c>
      <c r="E1210" s="18">
        <v>57.2</v>
      </c>
      <c r="F1210" s="18">
        <v>12.0</v>
      </c>
    </row>
    <row r="1211">
      <c r="A1211" s="15">
        <v>28.0</v>
      </c>
      <c r="B1211" s="16" t="s">
        <v>6702</v>
      </c>
      <c r="C1211" s="17" t="s">
        <v>5536</v>
      </c>
      <c r="D1211" s="18">
        <v>72.68</v>
      </c>
      <c r="E1211" s="18">
        <v>101.75</v>
      </c>
      <c r="F1211" s="18">
        <v>12.0</v>
      </c>
    </row>
    <row r="1212">
      <c r="A1212" s="15">
        <v>29.0</v>
      </c>
      <c r="B1212" s="16" t="s">
        <v>6703</v>
      </c>
      <c r="C1212" s="17" t="s">
        <v>5536</v>
      </c>
      <c r="D1212" s="18">
        <v>98.96</v>
      </c>
      <c r="E1212" s="18">
        <v>138.54</v>
      </c>
      <c r="F1212" s="18">
        <v>12.0</v>
      </c>
    </row>
    <row r="1213">
      <c r="A1213" s="15">
        <v>30.0</v>
      </c>
      <c r="B1213" s="16" t="s">
        <v>6704</v>
      </c>
      <c r="C1213" s="17" t="s">
        <v>5536</v>
      </c>
      <c r="D1213" s="18">
        <v>94.41</v>
      </c>
      <c r="E1213" s="18">
        <v>131.0</v>
      </c>
      <c r="F1213" s="18">
        <v>12.0</v>
      </c>
    </row>
    <row r="1214">
      <c r="A1214" s="15">
        <v>31.0</v>
      </c>
      <c r="B1214" s="16" t="s">
        <v>6705</v>
      </c>
      <c r="C1214" s="17" t="s">
        <v>5536</v>
      </c>
      <c r="D1214" s="18">
        <v>114.29</v>
      </c>
      <c r="E1214" s="18">
        <v>160.0</v>
      </c>
      <c r="F1214" s="18">
        <v>12.0</v>
      </c>
    </row>
    <row r="1215">
      <c r="A1215" s="15">
        <v>32.0</v>
      </c>
      <c r="B1215" s="16" t="s">
        <v>6706</v>
      </c>
      <c r="C1215" s="17" t="s">
        <v>5536</v>
      </c>
      <c r="D1215" s="18">
        <v>214.29</v>
      </c>
      <c r="E1215" s="18">
        <v>300.0</v>
      </c>
      <c r="F1215" s="18">
        <v>12.0</v>
      </c>
    </row>
    <row r="1216">
      <c r="A1216" s="15">
        <v>33.0</v>
      </c>
      <c r="B1216" s="16" t="s">
        <v>6707</v>
      </c>
      <c r="C1216" s="17" t="s">
        <v>6127</v>
      </c>
      <c r="D1216" s="18">
        <v>29.46</v>
      </c>
      <c r="E1216" s="18">
        <v>41.25</v>
      </c>
      <c r="F1216" s="18">
        <v>12.0</v>
      </c>
    </row>
    <row r="1217">
      <c r="A1217" s="15">
        <v>34.0</v>
      </c>
      <c r="B1217" s="16" t="s">
        <v>6707</v>
      </c>
      <c r="C1217" s="17" t="s">
        <v>5967</v>
      </c>
      <c r="D1217" s="18">
        <v>40.18</v>
      </c>
      <c r="E1217" s="18">
        <v>56.25</v>
      </c>
      <c r="F1217" s="18">
        <v>12.0</v>
      </c>
    </row>
    <row r="1218">
      <c r="A1218" s="15">
        <v>35.0</v>
      </c>
      <c r="B1218" s="16" t="s">
        <v>6707</v>
      </c>
      <c r="C1218" s="17" t="s">
        <v>5665</v>
      </c>
      <c r="D1218" s="18">
        <v>63.04</v>
      </c>
      <c r="E1218" s="18">
        <v>88.25</v>
      </c>
      <c r="F1218" s="18">
        <v>12.0</v>
      </c>
    </row>
    <row r="1219">
      <c r="A1219" s="6"/>
      <c r="B1219" s="7"/>
      <c r="C1219" s="7"/>
      <c r="D1219" s="7"/>
      <c r="E1219" s="7"/>
      <c r="F1219" s="8"/>
    </row>
    <row r="1220">
      <c r="A1220" s="9" t="s">
        <v>6708</v>
      </c>
      <c r="B1220" s="10"/>
      <c r="C1220" s="10"/>
      <c r="D1220" s="10"/>
      <c r="E1220" s="10"/>
      <c r="F1220" s="10"/>
    </row>
    <row r="1221">
      <c r="A1221" s="6"/>
      <c r="B1221" s="7"/>
      <c r="C1221" s="7"/>
      <c r="D1221" s="7"/>
      <c r="E1221" s="7"/>
      <c r="F1221" s="8"/>
    </row>
    <row r="1222">
      <c r="A1222" s="9" t="s">
        <v>6709</v>
      </c>
      <c r="B1222" s="10"/>
      <c r="C1222" s="10"/>
      <c r="D1222" s="10"/>
      <c r="E1222" s="10"/>
      <c r="F1222" s="10"/>
    </row>
    <row r="1223">
      <c r="A1223" s="6"/>
      <c r="B1223" s="7"/>
      <c r="C1223" s="7"/>
      <c r="D1223" s="7"/>
      <c r="E1223" s="7"/>
      <c r="F1223" s="8"/>
    </row>
    <row r="1224">
      <c r="A1224" s="9" t="s">
        <v>6710</v>
      </c>
      <c r="B1224" s="10"/>
      <c r="C1224" s="10"/>
      <c r="D1224" s="10"/>
      <c r="E1224" s="10"/>
      <c r="F1224" s="10"/>
    </row>
    <row r="1225">
      <c r="A1225" s="11">
        <v>1.0</v>
      </c>
      <c r="B1225" s="12" t="s">
        <v>6711</v>
      </c>
      <c r="C1225" s="13" t="s">
        <v>6712</v>
      </c>
      <c r="D1225" s="14">
        <v>24.37</v>
      </c>
      <c r="E1225" s="14">
        <v>33.45</v>
      </c>
      <c r="F1225" s="14">
        <v>12.0</v>
      </c>
    </row>
    <row r="1226">
      <c r="A1226" s="6"/>
      <c r="B1226" s="7"/>
      <c r="C1226" s="7"/>
      <c r="D1226" s="7"/>
      <c r="E1226" s="7"/>
      <c r="F1226" s="8"/>
    </row>
    <row r="1227">
      <c r="A1227" s="9" t="s">
        <v>6713</v>
      </c>
      <c r="B1227" s="10"/>
      <c r="C1227" s="10"/>
      <c r="D1227" s="10"/>
      <c r="E1227" s="10"/>
      <c r="F1227" s="10"/>
    </row>
    <row r="1228">
      <c r="A1228" s="11">
        <v>1.0</v>
      </c>
      <c r="B1228" s="12" t="s">
        <v>6714</v>
      </c>
      <c r="C1228" s="13" t="s">
        <v>5536</v>
      </c>
      <c r="D1228" s="14">
        <v>624.64</v>
      </c>
      <c r="E1228" s="14">
        <v>819.84</v>
      </c>
      <c r="F1228" s="14">
        <v>5.0</v>
      </c>
    </row>
    <row r="1229">
      <c r="A1229" s="15">
        <v>2.0</v>
      </c>
      <c r="B1229" s="16" t="s">
        <v>6715</v>
      </c>
      <c r="C1229" s="17" t="s">
        <v>5636</v>
      </c>
      <c r="D1229" s="18">
        <v>93.5</v>
      </c>
      <c r="E1229" s="18">
        <v>130.9</v>
      </c>
      <c r="F1229" s="18">
        <v>12.0</v>
      </c>
    </row>
    <row r="1230">
      <c r="A1230" s="15">
        <v>3.0</v>
      </c>
      <c r="B1230" s="16" t="s">
        <v>988</v>
      </c>
      <c r="C1230" s="16" t="s">
        <v>6716</v>
      </c>
      <c r="D1230" s="18">
        <v>1062.84</v>
      </c>
      <c r="E1230" s="18">
        <v>1487.98</v>
      </c>
      <c r="F1230" s="18">
        <v>12.0</v>
      </c>
    </row>
    <row r="1231">
      <c r="A1231" s="6"/>
      <c r="B1231" s="7"/>
      <c r="C1231" s="7"/>
      <c r="D1231" s="7"/>
      <c r="E1231" s="7"/>
      <c r="F1231" s="8"/>
    </row>
    <row r="1232">
      <c r="A1232" s="9" t="s">
        <v>6717</v>
      </c>
      <c r="B1232" s="10"/>
      <c r="C1232" s="10"/>
      <c r="D1232" s="10"/>
      <c r="E1232" s="10"/>
      <c r="F1232" s="10"/>
    </row>
    <row r="1233">
      <c r="A1233" s="11">
        <v>1.0</v>
      </c>
      <c r="B1233" s="12" t="s">
        <v>6718</v>
      </c>
      <c r="C1233" s="13" t="s">
        <v>6719</v>
      </c>
      <c r="D1233" s="14">
        <v>62.66</v>
      </c>
      <c r="E1233" s="14">
        <v>87.72</v>
      </c>
      <c r="F1233" s="14">
        <v>12.0</v>
      </c>
    </row>
    <row r="1234">
      <c r="A1234" s="15">
        <v>2.0</v>
      </c>
      <c r="B1234" s="16" t="s">
        <v>6720</v>
      </c>
      <c r="C1234" s="17" t="s">
        <v>6719</v>
      </c>
      <c r="D1234" s="18">
        <v>70.48</v>
      </c>
      <c r="E1234" s="18">
        <v>98.67</v>
      </c>
      <c r="F1234" s="18">
        <v>12.0</v>
      </c>
    </row>
    <row r="1235">
      <c r="A1235" s="15">
        <v>3.0</v>
      </c>
      <c r="B1235" s="16" t="s">
        <v>6721</v>
      </c>
      <c r="C1235" s="17" t="s">
        <v>6722</v>
      </c>
      <c r="D1235" s="18">
        <v>171.29</v>
      </c>
      <c r="E1235" s="18">
        <v>239.8</v>
      </c>
      <c r="F1235" s="18">
        <v>12.0</v>
      </c>
    </row>
    <row r="1236">
      <c r="A1236" s="6"/>
      <c r="B1236" s="7"/>
      <c r="C1236" s="7"/>
      <c r="D1236" s="7"/>
      <c r="E1236" s="8"/>
      <c r="F1236" s="16" t="s">
        <v>6723</v>
      </c>
    </row>
    <row r="1237">
      <c r="A1237" s="6"/>
      <c r="B1237" s="7"/>
      <c r="C1237" s="7"/>
      <c r="D1237" s="7"/>
      <c r="E1237" s="7"/>
      <c r="F1237" s="8"/>
    </row>
    <row r="1238">
      <c r="A1238" s="6"/>
      <c r="B1238" s="7"/>
      <c r="C1238" s="7"/>
      <c r="D1238" s="7"/>
      <c r="E1238" s="7"/>
      <c r="F1238" s="8"/>
    </row>
    <row r="1239">
      <c r="A1239" s="6"/>
      <c r="B1239" s="7"/>
      <c r="C1239" s="7"/>
      <c r="D1239" s="7"/>
      <c r="E1239" s="7"/>
      <c r="F1239" s="8"/>
    </row>
    <row r="1240">
      <c r="A1240" s="6"/>
      <c r="B1240" s="7"/>
      <c r="C1240" s="7"/>
      <c r="D1240" s="7"/>
      <c r="E1240" s="7"/>
      <c r="F1240" s="8"/>
    </row>
    <row r="1241">
      <c r="A1241" s="9" t="s">
        <v>5582</v>
      </c>
      <c r="B1241" s="10"/>
      <c r="C1241" s="10"/>
      <c r="D1241" s="10"/>
      <c r="E1241" s="10"/>
      <c r="F1241" s="10"/>
    </row>
    <row r="1242">
      <c r="A1242" s="19" t="s">
        <v>5583</v>
      </c>
    </row>
    <row r="1243">
      <c r="A1243" s="6"/>
      <c r="B1243" s="7"/>
      <c r="C1243" s="7"/>
      <c r="D1243" s="8"/>
      <c r="E1243" s="12" t="s">
        <v>5584</v>
      </c>
      <c r="F1243" s="12" t="s">
        <v>6724</v>
      </c>
    </row>
    <row r="1244">
      <c r="A1244" s="20" t="s">
        <v>5522</v>
      </c>
      <c r="B1244" s="16" t="s">
        <v>5523</v>
      </c>
      <c r="C1244" s="16" t="s">
        <v>5524</v>
      </c>
      <c r="D1244" s="16" t="s">
        <v>5525</v>
      </c>
      <c r="E1244" s="16" t="s">
        <v>5526</v>
      </c>
      <c r="F1244" s="16" t="s">
        <v>5586</v>
      </c>
    </row>
    <row r="1245">
      <c r="A1245" s="15">
        <v>4.0</v>
      </c>
      <c r="B1245" s="16" t="s">
        <v>6647</v>
      </c>
      <c r="C1245" s="17" t="s">
        <v>6725</v>
      </c>
      <c r="D1245" s="18">
        <v>321.81</v>
      </c>
      <c r="E1245" s="18">
        <v>450.53</v>
      </c>
      <c r="F1245" s="18">
        <v>12.0</v>
      </c>
    </row>
    <row r="1246">
      <c r="A1246" s="15">
        <v>5.0</v>
      </c>
      <c r="B1246" s="16" t="s">
        <v>6726</v>
      </c>
      <c r="C1246" s="17" t="s">
        <v>5712</v>
      </c>
      <c r="D1246" s="18">
        <v>21.98</v>
      </c>
      <c r="E1246" s="18">
        <v>30.5</v>
      </c>
      <c r="F1246" s="18">
        <v>12.0</v>
      </c>
    </row>
    <row r="1247">
      <c r="A1247" s="15">
        <v>6.0</v>
      </c>
      <c r="B1247" s="16" t="s">
        <v>6727</v>
      </c>
      <c r="C1247" s="17" t="s">
        <v>6337</v>
      </c>
      <c r="D1247" s="18">
        <v>234.99</v>
      </c>
      <c r="E1247" s="18">
        <v>290.0</v>
      </c>
      <c r="F1247" s="18">
        <v>5.0</v>
      </c>
    </row>
    <row r="1248">
      <c r="A1248" s="6"/>
      <c r="B1248" s="7"/>
      <c r="C1248" s="7"/>
      <c r="D1248" s="7"/>
      <c r="E1248" s="7"/>
      <c r="F1248" s="8"/>
    </row>
    <row r="1249">
      <c r="A1249" s="9" t="s">
        <v>6728</v>
      </c>
      <c r="B1249" s="10"/>
      <c r="C1249" s="10"/>
      <c r="D1249" s="10"/>
      <c r="E1249" s="10"/>
      <c r="F1249" s="10"/>
    </row>
    <row r="1250">
      <c r="A1250" s="11">
        <v>1.0</v>
      </c>
      <c r="B1250" s="12" t="s">
        <v>6729</v>
      </c>
      <c r="C1250" s="13" t="s">
        <v>6390</v>
      </c>
      <c r="D1250" s="14">
        <v>49.18</v>
      </c>
      <c r="E1250" s="14">
        <v>68.85</v>
      </c>
      <c r="F1250" s="14">
        <v>12.0</v>
      </c>
    </row>
    <row r="1251">
      <c r="A1251" s="15">
        <v>2.0</v>
      </c>
      <c r="B1251" s="16" t="s">
        <v>6730</v>
      </c>
      <c r="C1251" s="17" t="s">
        <v>6731</v>
      </c>
      <c r="D1251" s="18">
        <v>49.06</v>
      </c>
      <c r="E1251" s="18">
        <v>68.69</v>
      </c>
      <c r="F1251" s="18">
        <v>12.0</v>
      </c>
    </row>
    <row r="1252">
      <c r="A1252" s="15">
        <v>3.0</v>
      </c>
      <c r="B1252" s="16" t="s">
        <v>6732</v>
      </c>
      <c r="C1252" s="17" t="s">
        <v>6731</v>
      </c>
      <c r="D1252" s="18">
        <v>145.36</v>
      </c>
      <c r="E1252" s="18">
        <v>203.5</v>
      </c>
      <c r="F1252" s="18">
        <v>12.0</v>
      </c>
    </row>
    <row r="1253">
      <c r="A1253" s="15">
        <v>4.0</v>
      </c>
      <c r="B1253" s="16" t="s">
        <v>6733</v>
      </c>
      <c r="C1253" s="17" t="s">
        <v>5827</v>
      </c>
      <c r="D1253" s="18">
        <v>86.43</v>
      </c>
      <c r="E1253" s="18">
        <v>121.0</v>
      </c>
      <c r="F1253" s="18">
        <v>12.0</v>
      </c>
    </row>
    <row r="1254">
      <c r="A1254" s="15">
        <v>5.0</v>
      </c>
      <c r="B1254" s="16" t="s">
        <v>6733</v>
      </c>
      <c r="C1254" s="17" t="s">
        <v>6734</v>
      </c>
      <c r="D1254" s="18">
        <v>47.1</v>
      </c>
      <c r="E1254" s="18">
        <v>65.94</v>
      </c>
      <c r="F1254" s="18">
        <v>12.0</v>
      </c>
    </row>
    <row r="1255">
      <c r="A1255" s="15">
        <v>6.0</v>
      </c>
      <c r="B1255" s="16" t="s">
        <v>1001</v>
      </c>
      <c r="C1255" s="16" t="s">
        <v>5558</v>
      </c>
      <c r="D1255" s="18">
        <v>61.36</v>
      </c>
      <c r="E1255" s="18">
        <v>90.5</v>
      </c>
      <c r="F1255" s="18">
        <v>18.0</v>
      </c>
    </row>
    <row r="1256">
      <c r="A1256" s="15">
        <v>7.0</v>
      </c>
      <c r="B1256" s="16" t="s">
        <v>6735</v>
      </c>
      <c r="C1256" s="17" t="s">
        <v>5598</v>
      </c>
      <c r="D1256" s="18">
        <v>3.84</v>
      </c>
      <c r="E1256" s="18">
        <v>5.37</v>
      </c>
      <c r="F1256" s="18">
        <v>12.0</v>
      </c>
    </row>
    <row r="1257">
      <c r="A1257" s="15">
        <v>8.0</v>
      </c>
      <c r="B1257" s="16" t="s">
        <v>6736</v>
      </c>
      <c r="C1257" s="17" t="s">
        <v>5598</v>
      </c>
      <c r="D1257" s="18">
        <v>4.31</v>
      </c>
      <c r="E1257" s="18">
        <v>6.04</v>
      </c>
      <c r="F1257" s="18">
        <v>12.0</v>
      </c>
    </row>
    <row r="1258">
      <c r="A1258" s="15">
        <v>9.0</v>
      </c>
      <c r="B1258" s="16" t="s">
        <v>6737</v>
      </c>
      <c r="C1258" s="17" t="s">
        <v>6738</v>
      </c>
      <c r="D1258" s="18">
        <v>51.07</v>
      </c>
      <c r="E1258" s="18">
        <v>71.5</v>
      </c>
      <c r="F1258" s="18">
        <v>12.0</v>
      </c>
    </row>
    <row r="1259">
      <c r="A1259" s="15">
        <v>10.0</v>
      </c>
      <c r="B1259" s="16" t="s">
        <v>6737</v>
      </c>
      <c r="C1259" s="17" t="s">
        <v>5768</v>
      </c>
      <c r="D1259" s="18">
        <v>56.18</v>
      </c>
      <c r="E1259" s="18">
        <v>78.65</v>
      </c>
      <c r="F1259" s="18">
        <v>12.0</v>
      </c>
    </row>
    <row r="1260">
      <c r="A1260" s="15">
        <v>11.0</v>
      </c>
      <c r="B1260" s="16" t="s">
        <v>6739</v>
      </c>
      <c r="C1260" s="17" t="s">
        <v>5768</v>
      </c>
      <c r="D1260" s="18">
        <v>47.14</v>
      </c>
      <c r="E1260" s="18">
        <v>66.0</v>
      </c>
      <c r="F1260" s="18">
        <v>12.0</v>
      </c>
    </row>
    <row r="1261">
      <c r="A1261" s="15">
        <v>12.0</v>
      </c>
      <c r="B1261" s="16" t="s">
        <v>6740</v>
      </c>
      <c r="C1261" s="17" t="s">
        <v>6741</v>
      </c>
      <c r="D1261" s="18">
        <v>46.43</v>
      </c>
      <c r="E1261" s="18">
        <v>65.0</v>
      </c>
      <c r="F1261" s="18">
        <v>12.0</v>
      </c>
    </row>
    <row r="1262">
      <c r="A1262" s="15">
        <v>13.0</v>
      </c>
      <c r="B1262" s="16" t="s">
        <v>6740</v>
      </c>
      <c r="C1262" s="17" t="s">
        <v>6742</v>
      </c>
      <c r="D1262" s="18">
        <v>51.07</v>
      </c>
      <c r="E1262" s="18">
        <v>71.5</v>
      </c>
      <c r="F1262" s="18">
        <v>12.0</v>
      </c>
    </row>
    <row r="1263">
      <c r="A1263" s="15">
        <v>14.0</v>
      </c>
      <c r="B1263" s="16" t="s">
        <v>6740</v>
      </c>
      <c r="C1263" s="17" t="s">
        <v>5802</v>
      </c>
      <c r="D1263" s="18">
        <v>12.0</v>
      </c>
      <c r="E1263" s="18">
        <v>16.8</v>
      </c>
      <c r="F1263" s="18">
        <v>12.0</v>
      </c>
    </row>
    <row r="1264">
      <c r="A1264" s="15">
        <v>15.0</v>
      </c>
      <c r="B1264" s="16" t="s">
        <v>6743</v>
      </c>
      <c r="C1264" s="17" t="s">
        <v>5536</v>
      </c>
      <c r="D1264" s="18">
        <v>96.43</v>
      </c>
      <c r="E1264" s="18">
        <v>135.0</v>
      </c>
      <c r="F1264" s="18">
        <v>12.0</v>
      </c>
    </row>
    <row r="1265">
      <c r="A1265" s="15">
        <v>16.0</v>
      </c>
      <c r="B1265" s="16" t="s">
        <v>6744</v>
      </c>
      <c r="C1265" s="17" t="s">
        <v>6384</v>
      </c>
      <c r="D1265" s="18">
        <v>78.57</v>
      </c>
      <c r="E1265" s="18">
        <v>110.0</v>
      </c>
      <c r="F1265" s="18">
        <v>12.0</v>
      </c>
    </row>
    <row r="1266">
      <c r="A1266" s="15">
        <v>17.0</v>
      </c>
      <c r="B1266" s="16" t="s">
        <v>6745</v>
      </c>
      <c r="C1266" s="17" t="s">
        <v>5603</v>
      </c>
      <c r="D1266" s="18">
        <v>28.95</v>
      </c>
      <c r="E1266" s="18">
        <v>33.5</v>
      </c>
      <c r="F1266" s="18">
        <v>12.0</v>
      </c>
    </row>
    <row r="1267">
      <c r="A1267" s="15">
        <v>18.0</v>
      </c>
      <c r="B1267" s="16" t="s">
        <v>6746</v>
      </c>
      <c r="C1267" s="17" t="s">
        <v>6747</v>
      </c>
      <c r="D1267" s="18">
        <v>71.43</v>
      </c>
      <c r="E1267" s="18">
        <v>100.0</v>
      </c>
      <c r="F1267" s="18">
        <v>12.0</v>
      </c>
    </row>
    <row r="1268">
      <c r="A1268" s="15">
        <v>19.0</v>
      </c>
      <c r="B1268" s="16" t="s">
        <v>6746</v>
      </c>
      <c r="C1268" s="17" t="s">
        <v>5841</v>
      </c>
      <c r="D1268" s="18">
        <v>128.57</v>
      </c>
      <c r="E1268" s="18">
        <v>180.0</v>
      </c>
      <c r="F1268" s="18">
        <v>12.0</v>
      </c>
    </row>
    <row r="1269">
      <c r="A1269" s="15">
        <v>20.0</v>
      </c>
      <c r="B1269" s="16" t="s">
        <v>6748</v>
      </c>
      <c r="C1269" s="17" t="s">
        <v>6749</v>
      </c>
      <c r="D1269" s="18">
        <v>9.44</v>
      </c>
      <c r="E1269" s="18">
        <v>13.22</v>
      </c>
      <c r="F1269" s="18">
        <v>12.0</v>
      </c>
    </row>
    <row r="1270">
      <c r="A1270" s="15">
        <v>21.0</v>
      </c>
      <c r="B1270" s="16" t="s">
        <v>6750</v>
      </c>
      <c r="C1270" s="17" t="s">
        <v>5765</v>
      </c>
      <c r="D1270" s="18">
        <v>59.91</v>
      </c>
      <c r="E1270" s="18">
        <v>83.87</v>
      </c>
      <c r="F1270" s="18">
        <v>12.0</v>
      </c>
    </row>
    <row r="1271">
      <c r="A1271" s="15">
        <v>22.0</v>
      </c>
      <c r="B1271" s="16" t="s">
        <v>6751</v>
      </c>
      <c r="C1271" s="17" t="s">
        <v>5765</v>
      </c>
      <c r="D1271" s="18">
        <v>31.76</v>
      </c>
      <c r="E1271" s="18">
        <v>44.46</v>
      </c>
      <c r="F1271" s="18">
        <v>12.0</v>
      </c>
    </row>
    <row r="1272">
      <c r="A1272" s="15">
        <v>23.0</v>
      </c>
      <c r="B1272" s="16" t="s">
        <v>6752</v>
      </c>
      <c r="C1272" s="17" t="s">
        <v>6753</v>
      </c>
      <c r="D1272" s="18">
        <v>21.17</v>
      </c>
      <c r="E1272" s="18">
        <v>29.64</v>
      </c>
      <c r="F1272" s="18">
        <v>12.0</v>
      </c>
    </row>
    <row r="1273">
      <c r="A1273" s="15">
        <v>24.0</v>
      </c>
      <c r="B1273" s="16" t="s">
        <v>6752</v>
      </c>
      <c r="C1273" s="17" t="s">
        <v>6409</v>
      </c>
      <c r="D1273" s="18">
        <v>26.79</v>
      </c>
      <c r="E1273" s="18">
        <v>37.51</v>
      </c>
      <c r="F1273" s="18">
        <v>12.0</v>
      </c>
    </row>
    <row r="1274">
      <c r="A1274" s="15">
        <v>25.0</v>
      </c>
      <c r="B1274" s="16" t="s">
        <v>6752</v>
      </c>
      <c r="C1274" s="17" t="s">
        <v>6304</v>
      </c>
      <c r="D1274" s="18">
        <v>19.64</v>
      </c>
      <c r="E1274" s="18">
        <v>27.5</v>
      </c>
      <c r="F1274" s="18">
        <v>12.0</v>
      </c>
    </row>
    <row r="1275">
      <c r="A1275" s="15">
        <v>26.0</v>
      </c>
      <c r="B1275" s="16" t="s">
        <v>6752</v>
      </c>
      <c r="C1275" s="17" t="s">
        <v>6754</v>
      </c>
      <c r="D1275" s="18">
        <v>15.2</v>
      </c>
      <c r="E1275" s="18">
        <v>21.28</v>
      </c>
      <c r="F1275" s="18">
        <v>12.0</v>
      </c>
    </row>
    <row r="1276">
      <c r="A1276" s="15">
        <v>27.0</v>
      </c>
      <c r="B1276" s="16" t="s">
        <v>6755</v>
      </c>
      <c r="C1276" s="17" t="s">
        <v>6756</v>
      </c>
      <c r="D1276" s="18">
        <v>125.0</v>
      </c>
      <c r="E1276" s="18">
        <v>175.0</v>
      </c>
      <c r="F1276" s="18">
        <v>12.0</v>
      </c>
    </row>
    <row r="1277">
      <c r="A1277" s="15">
        <v>28.0</v>
      </c>
      <c r="B1277" s="16" t="s">
        <v>1024</v>
      </c>
      <c r="C1277" s="16" t="s">
        <v>6757</v>
      </c>
      <c r="D1277" s="18">
        <v>41.43</v>
      </c>
      <c r="E1277" s="18">
        <v>58.0</v>
      </c>
      <c r="F1277" s="18">
        <v>12.0</v>
      </c>
    </row>
    <row r="1278">
      <c r="A1278" s="15">
        <v>29.0</v>
      </c>
      <c r="B1278" s="16" t="s">
        <v>6403</v>
      </c>
      <c r="C1278" s="17" t="s">
        <v>6758</v>
      </c>
      <c r="D1278" s="18">
        <v>54.4</v>
      </c>
      <c r="E1278" s="18">
        <v>76.16</v>
      </c>
      <c r="F1278" s="18">
        <v>12.0</v>
      </c>
    </row>
    <row r="1279">
      <c r="A1279" s="15">
        <v>30.0</v>
      </c>
      <c r="B1279" s="16" t="s">
        <v>6759</v>
      </c>
      <c r="C1279" s="17" t="s">
        <v>5536</v>
      </c>
      <c r="D1279" s="18">
        <v>4.2</v>
      </c>
      <c r="E1279" s="18">
        <v>5.88</v>
      </c>
      <c r="F1279" s="18">
        <v>12.0</v>
      </c>
    </row>
    <row r="1280">
      <c r="A1280" s="15">
        <v>31.0</v>
      </c>
      <c r="B1280" s="16" t="s">
        <v>6760</v>
      </c>
      <c r="C1280" s="17" t="s">
        <v>5536</v>
      </c>
      <c r="D1280" s="18">
        <v>6.71</v>
      </c>
      <c r="E1280" s="18">
        <v>9.4</v>
      </c>
      <c r="F1280" s="18">
        <v>12.0</v>
      </c>
    </row>
    <row r="1281">
      <c r="A1281" s="15">
        <v>32.0</v>
      </c>
      <c r="B1281" s="16" t="s">
        <v>6761</v>
      </c>
      <c r="C1281" s="17" t="s">
        <v>6762</v>
      </c>
      <c r="D1281" s="18">
        <v>108.79</v>
      </c>
      <c r="E1281" s="18">
        <v>152.31</v>
      </c>
      <c r="F1281" s="18">
        <v>12.0</v>
      </c>
    </row>
    <row r="1282">
      <c r="A1282" s="15">
        <v>33.0</v>
      </c>
      <c r="B1282" s="16" t="s">
        <v>6763</v>
      </c>
      <c r="C1282" s="17" t="s">
        <v>6764</v>
      </c>
      <c r="D1282" s="18">
        <v>63.36</v>
      </c>
      <c r="E1282" s="18">
        <v>88.7</v>
      </c>
      <c r="F1282" s="18">
        <v>12.0</v>
      </c>
    </row>
    <row r="1283">
      <c r="A1283" s="15">
        <v>34.0</v>
      </c>
      <c r="B1283" s="16" t="s">
        <v>6765</v>
      </c>
      <c r="C1283" s="17" t="s">
        <v>6766</v>
      </c>
      <c r="D1283" s="18">
        <v>87.72</v>
      </c>
      <c r="E1283" s="18">
        <v>122.81</v>
      </c>
      <c r="F1283" s="18">
        <v>12.0</v>
      </c>
    </row>
    <row r="1284">
      <c r="A1284" s="15">
        <v>35.0</v>
      </c>
      <c r="B1284" s="16" t="s">
        <v>6765</v>
      </c>
      <c r="C1284" s="17" t="s">
        <v>5536</v>
      </c>
      <c r="D1284" s="18">
        <v>31.82</v>
      </c>
      <c r="E1284" s="18">
        <v>40.5</v>
      </c>
      <c r="F1284" s="18">
        <v>12.0</v>
      </c>
    </row>
    <row r="1285">
      <c r="A1285" s="15">
        <v>36.0</v>
      </c>
      <c r="B1285" s="16" t="s">
        <v>6767</v>
      </c>
      <c r="C1285" s="17" t="s">
        <v>5536</v>
      </c>
      <c r="D1285" s="18">
        <v>52.29</v>
      </c>
      <c r="E1285" s="18">
        <v>73.2</v>
      </c>
      <c r="F1285" s="18">
        <v>12.0</v>
      </c>
    </row>
    <row r="1286">
      <c r="A1286" s="15">
        <v>37.0</v>
      </c>
      <c r="B1286" s="16" t="s">
        <v>6768</v>
      </c>
      <c r="C1286" s="17" t="s">
        <v>5536</v>
      </c>
      <c r="D1286" s="18">
        <v>189.75</v>
      </c>
      <c r="E1286" s="18">
        <v>265.65</v>
      </c>
      <c r="F1286" s="18">
        <v>12.0</v>
      </c>
    </row>
    <row r="1287">
      <c r="A1287" s="15">
        <v>38.0</v>
      </c>
      <c r="B1287" s="16" t="s">
        <v>6769</v>
      </c>
      <c r="C1287" s="17" t="s">
        <v>6770</v>
      </c>
      <c r="D1287" s="18">
        <v>41.49</v>
      </c>
      <c r="E1287" s="18">
        <v>58.08</v>
      </c>
      <c r="F1287" s="18">
        <v>12.0</v>
      </c>
    </row>
    <row r="1288">
      <c r="A1288" s="15">
        <v>39.0</v>
      </c>
      <c r="B1288" s="16" t="s">
        <v>6771</v>
      </c>
      <c r="C1288" s="17" t="s">
        <v>6604</v>
      </c>
      <c r="D1288" s="18">
        <v>9.48</v>
      </c>
      <c r="E1288" s="18">
        <v>13.0</v>
      </c>
      <c r="F1288" s="18">
        <v>12.0</v>
      </c>
    </row>
    <row r="1289">
      <c r="A1289" s="15">
        <v>40.0</v>
      </c>
      <c r="B1289" s="16" t="s">
        <v>6772</v>
      </c>
      <c r="C1289" s="17" t="s">
        <v>6626</v>
      </c>
      <c r="D1289" s="18">
        <v>26.36</v>
      </c>
      <c r="E1289" s="18">
        <v>36.9</v>
      </c>
      <c r="F1289" s="18">
        <v>12.0</v>
      </c>
    </row>
    <row r="1290">
      <c r="A1290" s="15">
        <v>41.0</v>
      </c>
      <c r="B1290" s="16" t="s">
        <v>6773</v>
      </c>
      <c r="C1290" s="17" t="s">
        <v>6774</v>
      </c>
      <c r="D1290" s="18">
        <v>102.41</v>
      </c>
      <c r="E1290" s="18">
        <v>143.38</v>
      </c>
      <c r="F1290" s="18">
        <v>12.0</v>
      </c>
    </row>
    <row r="1291">
      <c r="A1291" s="15">
        <v>42.0</v>
      </c>
      <c r="B1291" s="16" t="s">
        <v>6775</v>
      </c>
      <c r="C1291" s="17" t="s">
        <v>6774</v>
      </c>
      <c r="D1291" s="18">
        <v>112.11</v>
      </c>
      <c r="E1291" s="18">
        <v>154.0</v>
      </c>
      <c r="F1291" s="18">
        <v>12.0</v>
      </c>
    </row>
    <row r="1292">
      <c r="A1292" s="15">
        <v>43.0</v>
      </c>
      <c r="B1292" s="16" t="s">
        <v>6775</v>
      </c>
      <c r="C1292" s="17" t="s">
        <v>5636</v>
      </c>
      <c r="D1292" s="18">
        <v>102.3</v>
      </c>
      <c r="E1292" s="18">
        <v>143.22</v>
      </c>
      <c r="F1292" s="18">
        <v>12.0</v>
      </c>
    </row>
    <row r="1293">
      <c r="A1293" s="15">
        <v>44.0</v>
      </c>
      <c r="B1293" s="16" t="s">
        <v>6776</v>
      </c>
      <c r="C1293" s="17" t="s">
        <v>5636</v>
      </c>
      <c r="D1293" s="18">
        <v>91.54</v>
      </c>
      <c r="E1293" s="18">
        <v>128.15</v>
      </c>
      <c r="F1293" s="18">
        <v>12.0</v>
      </c>
    </row>
    <row r="1294">
      <c r="A1294" s="15">
        <v>45.0</v>
      </c>
      <c r="B1294" s="16" t="s">
        <v>6777</v>
      </c>
      <c r="C1294" s="17" t="s">
        <v>6430</v>
      </c>
      <c r="D1294" s="18">
        <v>51.31</v>
      </c>
      <c r="E1294" s="18">
        <v>71.84</v>
      </c>
      <c r="F1294" s="18">
        <v>12.0</v>
      </c>
    </row>
    <row r="1295">
      <c r="A1295" s="15">
        <v>46.0</v>
      </c>
      <c r="B1295" s="16" t="s">
        <v>6777</v>
      </c>
      <c r="C1295" s="17" t="s">
        <v>5536</v>
      </c>
      <c r="D1295" s="18">
        <v>45.9</v>
      </c>
      <c r="E1295" s="18">
        <v>63.03</v>
      </c>
      <c r="F1295" s="18">
        <v>12.0</v>
      </c>
    </row>
    <row r="1296">
      <c r="A1296" s="15">
        <v>47.0</v>
      </c>
      <c r="B1296" s="16" t="s">
        <v>6778</v>
      </c>
      <c r="C1296" s="17" t="s">
        <v>5536</v>
      </c>
      <c r="D1296" s="18">
        <v>72.06</v>
      </c>
      <c r="E1296" s="18">
        <v>100.89</v>
      </c>
      <c r="F1296" s="18">
        <v>12.0</v>
      </c>
    </row>
    <row r="1297">
      <c r="A1297" s="15">
        <v>48.0</v>
      </c>
      <c r="B1297" s="16" t="s">
        <v>6779</v>
      </c>
      <c r="C1297" s="17" t="s">
        <v>6780</v>
      </c>
      <c r="D1297" s="18">
        <v>33.91</v>
      </c>
      <c r="E1297" s="18">
        <v>47.47</v>
      </c>
      <c r="F1297" s="18">
        <v>12.0</v>
      </c>
    </row>
    <row r="1298">
      <c r="A1298" s="15">
        <v>49.0</v>
      </c>
      <c r="B1298" s="16" t="s">
        <v>6779</v>
      </c>
      <c r="C1298" s="17" t="s">
        <v>5671</v>
      </c>
      <c r="D1298" s="18">
        <v>30.57</v>
      </c>
      <c r="E1298" s="18">
        <v>42.0</v>
      </c>
      <c r="F1298" s="18">
        <v>12.0</v>
      </c>
    </row>
    <row r="1299">
      <c r="A1299" s="15">
        <v>50.0</v>
      </c>
      <c r="B1299" s="16" t="s">
        <v>6781</v>
      </c>
      <c r="C1299" s="17" t="s">
        <v>6127</v>
      </c>
      <c r="D1299" s="18">
        <v>150.99</v>
      </c>
      <c r="E1299" s="18">
        <v>209.5</v>
      </c>
      <c r="F1299" s="18">
        <v>12.0</v>
      </c>
    </row>
    <row r="1300">
      <c r="A1300" s="15">
        <v>51.0</v>
      </c>
      <c r="B1300" s="16" t="s">
        <v>1047</v>
      </c>
      <c r="C1300" s="16" t="s">
        <v>5558</v>
      </c>
      <c r="D1300" s="18">
        <v>103.71</v>
      </c>
      <c r="E1300" s="18">
        <v>145.2</v>
      </c>
      <c r="F1300" s="18">
        <v>12.0</v>
      </c>
    </row>
    <row r="1301">
      <c r="A1301" s="15">
        <v>52.0</v>
      </c>
      <c r="B1301" s="16" t="s">
        <v>6782</v>
      </c>
      <c r="C1301" s="17" t="s">
        <v>5536</v>
      </c>
      <c r="D1301" s="18">
        <v>6.29</v>
      </c>
      <c r="E1301" s="18">
        <v>8.62</v>
      </c>
      <c r="F1301" s="18">
        <v>12.0</v>
      </c>
    </row>
    <row r="1302">
      <c r="A1302" s="15">
        <v>53.0</v>
      </c>
      <c r="B1302" s="16" t="s">
        <v>6783</v>
      </c>
      <c r="C1302" s="17" t="s">
        <v>5536</v>
      </c>
      <c r="D1302" s="18">
        <v>3.36</v>
      </c>
      <c r="E1302" s="18">
        <v>4.67</v>
      </c>
      <c r="F1302" s="18">
        <v>12.0</v>
      </c>
    </row>
    <row r="1303">
      <c r="A1303" s="15">
        <v>54.0</v>
      </c>
      <c r="B1303" s="16" t="s">
        <v>6784</v>
      </c>
      <c r="C1303" s="17" t="s">
        <v>5967</v>
      </c>
      <c r="D1303" s="18">
        <v>47.87</v>
      </c>
      <c r="E1303" s="18">
        <v>59.07</v>
      </c>
      <c r="F1303" s="18">
        <v>5.0</v>
      </c>
    </row>
    <row r="1304">
      <c r="A1304" s="15">
        <v>55.0</v>
      </c>
      <c r="B1304" s="16" t="s">
        <v>6784</v>
      </c>
      <c r="C1304" s="17" t="s">
        <v>6785</v>
      </c>
      <c r="D1304" s="18">
        <v>17.04</v>
      </c>
      <c r="E1304" s="18">
        <v>21.02</v>
      </c>
      <c r="F1304" s="18">
        <v>5.0</v>
      </c>
    </row>
    <row r="1305">
      <c r="A1305" s="15">
        <v>56.0</v>
      </c>
      <c r="B1305" s="16" t="s">
        <v>6786</v>
      </c>
      <c r="C1305" s="17" t="s">
        <v>5546</v>
      </c>
      <c r="D1305" s="18">
        <v>16.63</v>
      </c>
      <c r="E1305" s="18">
        <v>23.28</v>
      </c>
      <c r="F1305" s="18">
        <v>12.0</v>
      </c>
    </row>
    <row r="1306">
      <c r="A1306" s="6"/>
      <c r="B1306" s="7"/>
      <c r="C1306" s="7"/>
      <c r="D1306" s="7"/>
      <c r="E1306" s="8"/>
      <c r="F1306" s="16" t="s">
        <v>6787</v>
      </c>
    </row>
    <row r="1307">
      <c r="A1307" s="6"/>
      <c r="B1307" s="7"/>
      <c r="C1307" s="7"/>
      <c r="D1307" s="7"/>
      <c r="E1307" s="7"/>
      <c r="F1307" s="8"/>
    </row>
    <row r="1308">
      <c r="A1308" s="6"/>
      <c r="B1308" s="7"/>
      <c r="C1308" s="7"/>
      <c r="D1308" s="7"/>
      <c r="E1308" s="7"/>
      <c r="F1308" s="8"/>
    </row>
    <row r="1309">
      <c r="A1309" s="6"/>
      <c r="B1309" s="7"/>
      <c r="C1309" s="7"/>
      <c r="D1309" s="7"/>
      <c r="E1309" s="7"/>
      <c r="F1309" s="8"/>
    </row>
    <row r="1310">
      <c r="A1310" s="6"/>
      <c r="B1310" s="7"/>
      <c r="C1310" s="7"/>
      <c r="D1310" s="7"/>
      <c r="E1310" s="7"/>
      <c r="F1310" s="8"/>
    </row>
    <row r="1311">
      <c r="A1311" s="9" t="s">
        <v>5582</v>
      </c>
      <c r="B1311" s="10"/>
      <c r="C1311" s="10"/>
      <c r="D1311" s="10"/>
      <c r="E1311" s="10"/>
      <c r="F1311" s="10"/>
    </row>
    <row r="1312">
      <c r="A1312" s="19" t="s">
        <v>5583</v>
      </c>
    </row>
    <row r="1313">
      <c r="A1313" s="6"/>
      <c r="B1313" s="7"/>
      <c r="C1313" s="7"/>
      <c r="D1313" s="8"/>
      <c r="E1313" s="12" t="s">
        <v>5584</v>
      </c>
      <c r="F1313" s="12" t="s">
        <v>6788</v>
      </c>
    </row>
    <row r="1314">
      <c r="A1314" s="20" t="s">
        <v>5522</v>
      </c>
      <c r="B1314" s="16" t="s">
        <v>5523</v>
      </c>
      <c r="C1314" s="16" t="s">
        <v>5524</v>
      </c>
      <c r="D1314" s="16" t="s">
        <v>5525</v>
      </c>
      <c r="E1314" s="16" t="s">
        <v>5526</v>
      </c>
      <c r="F1314" s="16" t="s">
        <v>5586</v>
      </c>
    </row>
    <row r="1315">
      <c r="A1315" s="15">
        <v>57.0</v>
      </c>
      <c r="B1315" s="16" t="s">
        <v>6789</v>
      </c>
      <c r="C1315" s="17" t="s">
        <v>5546</v>
      </c>
      <c r="D1315" s="18">
        <v>33.74</v>
      </c>
      <c r="E1315" s="18">
        <v>47.24</v>
      </c>
      <c r="F1315" s="18">
        <v>12.0</v>
      </c>
    </row>
    <row r="1316">
      <c r="A1316" s="15">
        <v>58.0</v>
      </c>
      <c r="B1316" s="16" t="s">
        <v>6790</v>
      </c>
      <c r="C1316" s="17" t="s">
        <v>6393</v>
      </c>
      <c r="D1316" s="18">
        <v>36.14</v>
      </c>
      <c r="E1316" s="18">
        <v>50.6</v>
      </c>
      <c r="F1316" s="18">
        <v>12.0</v>
      </c>
    </row>
    <row r="1317">
      <c r="A1317" s="15">
        <v>59.0</v>
      </c>
      <c r="B1317" s="16" t="s">
        <v>6790</v>
      </c>
      <c r="C1317" s="17" t="s">
        <v>5636</v>
      </c>
      <c r="D1317" s="18">
        <v>63.21</v>
      </c>
      <c r="E1317" s="18">
        <v>88.5</v>
      </c>
      <c r="F1317" s="18">
        <v>12.0</v>
      </c>
    </row>
    <row r="1318">
      <c r="A1318" s="15">
        <v>60.0</v>
      </c>
      <c r="B1318" s="16" t="s">
        <v>1056</v>
      </c>
      <c r="C1318" s="16" t="s">
        <v>5558</v>
      </c>
      <c r="D1318" s="18">
        <v>117.86</v>
      </c>
      <c r="E1318" s="18">
        <v>165.0</v>
      </c>
      <c r="F1318" s="18">
        <v>12.0</v>
      </c>
    </row>
    <row r="1319">
      <c r="A1319" s="15">
        <v>61.0</v>
      </c>
      <c r="B1319" s="16" t="s">
        <v>6791</v>
      </c>
      <c r="C1319" s="17" t="s">
        <v>5731</v>
      </c>
      <c r="D1319" s="18">
        <v>107.14</v>
      </c>
      <c r="E1319" s="18">
        <v>150.0</v>
      </c>
      <c r="F1319" s="18">
        <v>12.0</v>
      </c>
    </row>
    <row r="1320">
      <c r="A1320" s="15">
        <v>62.0</v>
      </c>
      <c r="B1320" s="16" t="s">
        <v>6792</v>
      </c>
      <c r="C1320" s="17" t="s">
        <v>6793</v>
      </c>
      <c r="D1320" s="18">
        <v>4.33</v>
      </c>
      <c r="E1320" s="18">
        <v>5.96</v>
      </c>
      <c r="F1320" s="18">
        <v>12.0</v>
      </c>
    </row>
    <row r="1321">
      <c r="A1321" s="15">
        <v>63.0</v>
      </c>
      <c r="B1321" s="16" t="s">
        <v>6792</v>
      </c>
      <c r="C1321" s="17" t="s">
        <v>6794</v>
      </c>
      <c r="D1321" s="18">
        <v>10.28</v>
      </c>
      <c r="E1321" s="18">
        <v>14.39</v>
      </c>
      <c r="F1321" s="18">
        <v>12.0</v>
      </c>
    </row>
    <row r="1322">
      <c r="A1322" s="15">
        <v>64.0</v>
      </c>
      <c r="B1322" s="16" t="s">
        <v>6792</v>
      </c>
      <c r="C1322" s="17" t="s">
        <v>6795</v>
      </c>
      <c r="D1322" s="18">
        <v>45.96</v>
      </c>
      <c r="E1322" s="18">
        <v>64.35</v>
      </c>
      <c r="F1322" s="18">
        <v>12.0</v>
      </c>
    </row>
    <row r="1323">
      <c r="A1323" s="15">
        <v>65.0</v>
      </c>
      <c r="B1323" s="16" t="s">
        <v>6792</v>
      </c>
      <c r="C1323" s="17" t="s">
        <v>6796</v>
      </c>
      <c r="D1323" s="18">
        <v>6.39</v>
      </c>
      <c r="E1323" s="18">
        <v>8.77</v>
      </c>
      <c r="F1323" s="18">
        <v>12.0</v>
      </c>
    </row>
    <row r="1324">
      <c r="A1324" s="15">
        <v>66.0</v>
      </c>
      <c r="B1324" s="16" t="s">
        <v>6792</v>
      </c>
      <c r="C1324" s="17" t="s">
        <v>6797</v>
      </c>
      <c r="D1324" s="18">
        <v>10.19</v>
      </c>
      <c r="E1324" s="18">
        <v>14.27</v>
      </c>
      <c r="F1324" s="18">
        <v>12.0</v>
      </c>
    </row>
    <row r="1325">
      <c r="A1325" s="15">
        <v>67.0</v>
      </c>
      <c r="B1325" s="16" t="s">
        <v>6798</v>
      </c>
      <c r="C1325" s="17" t="s">
        <v>6799</v>
      </c>
      <c r="D1325" s="18">
        <v>67.5</v>
      </c>
      <c r="E1325" s="18">
        <v>94.5</v>
      </c>
      <c r="F1325" s="18">
        <v>12.0</v>
      </c>
    </row>
    <row r="1326">
      <c r="A1326" s="15">
        <v>68.0</v>
      </c>
      <c r="B1326" s="16" t="s">
        <v>6798</v>
      </c>
      <c r="C1326" s="17" t="s">
        <v>6800</v>
      </c>
      <c r="D1326" s="18">
        <v>22.71</v>
      </c>
      <c r="E1326" s="18">
        <v>33.5</v>
      </c>
      <c r="F1326" s="18">
        <v>18.0</v>
      </c>
    </row>
    <row r="1327">
      <c r="A1327" s="15">
        <v>69.0</v>
      </c>
      <c r="B1327" s="16" t="s">
        <v>6798</v>
      </c>
      <c r="C1327" s="17" t="s">
        <v>6801</v>
      </c>
      <c r="D1327" s="18">
        <v>19.64</v>
      </c>
      <c r="E1327" s="18">
        <v>27.5</v>
      </c>
      <c r="F1327" s="18">
        <v>12.0</v>
      </c>
    </row>
    <row r="1328">
      <c r="A1328" s="15">
        <v>70.0</v>
      </c>
      <c r="B1328" s="16" t="s">
        <v>6802</v>
      </c>
      <c r="C1328" s="17" t="s">
        <v>6803</v>
      </c>
      <c r="D1328" s="18">
        <v>22.99</v>
      </c>
      <c r="E1328" s="18">
        <v>33.5</v>
      </c>
      <c r="F1328" s="18">
        <v>18.0</v>
      </c>
    </row>
    <row r="1329">
      <c r="A1329" s="15">
        <v>71.0</v>
      </c>
      <c r="B1329" s="16" t="s">
        <v>6802</v>
      </c>
      <c r="C1329" s="17" t="s">
        <v>5960</v>
      </c>
      <c r="D1329" s="18">
        <v>85.76</v>
      </c>
      <c r="E1329" s="18">
        <v>126.5</v>
      </c>
      <c r="F1329" s="18">
        <v>18.0</v>
      </c>
    </row>
    <row r="1330">
      <c r="A1330" s="15">
        <v>72.0</v>
      </c>
      <c r="B1330" s="16" t="s">
        <v>6802</v>
      </c>
      <c r="C1330" s="17" t="s">
        <v>5636</v>
      </c>
      <c r="D1330" s="18">
        <v>36.79</v>
      </c>
      <c r="E1330" s="18">
        <v>51.5</v>
      </c>
      <c r="F1330" s="18">
        <v>12.0</v>
      </c>
    </row>
    <row r="1331">
      <c r="A1331" s="15">
        <v>73.0</v>
      </c>
      <c r="B1331" s="16" t="s">
        <v>6804</v>
      </c>
      <c r="C1331" s="17" t="s">
        <v>6805</v>
      </c>
      <c r="D1331" s="18">
        <v>77.97</v>
      </c>
      <c r="E1331" s="18">
        <v>115.0</v>
      </c>
      <c r="F1331" s="18">
        <v>18.0</v>
      </c>
    </row>
    <row r="1332">
      <c r="A1332" s="6"/>
      <c r="B1332" s="7"/>
      <c r="C1332" s="7"/>
      <c r="D1332" s="7"/>
      <c r="E1332" s="7"/>
      <c r="F1332" s="8"/>
    </row>
    <row r="1333">
      <c r="A1333" s="9" t="s">
        <v>6806</v>
      </c>
      <c r="B1333" s="10"/>
      <c r="C1333" s="10"/>
      <c r="D1333" s="10"/>
      <c r="E1333" s="10"/>
      <c r="F1333" s="10"/>
    </row>
    <row r="1334">
      <c r="A1334" s="11">
        <v>1.0</v>
      </c>
      <c r="B1334" s="12" t="s">
        <v>6807</v>
      </c>
      <c r="C1334" s="13" t="s">
        <v>5636</v>
      </c>
      <c r="D1334" s="14">
        <v>84.16</v>
      </c>
      <c r="E1334" s="14">
        <v>117.82</v>
      </c>
      <c r="F1334" s="14">
        <v>12.0</v>
      </c>
    </row>
    <row r="1335">
      <c r="A1335" s="15">
        <v>2.0</v>
      </c>
      <c r="B1335" s="16" t="s">
        <v>6808</v>
      </c>
      <c r="C1335" s="17" t="s">
        <v>6809</v>
      </c>
      <c r="D1335" s="18">
        <v>132.67</v>
      </c>
      <c r="E1335" s="18">
        <v>195.38</v>
      </c>
      <c r="F1335" s="18">
        <v>12.0</v>
      </c>
    </row>
    <row r="1336">
      <c r="A1336" s="15">
        <v>3.0</v>
      </c>
      <c r="B1336" s="16" t="s">
        <v>6808</v>
      </c>
      <c r="C1336" s="17" t="s">
        <v>6810</v>
      </c>
      <c r="D1336" s="18">
        <v>50.95</v>
      </c>
      <c r="E1336" s="18">
        <v>71.33</v>
      </c>
      <c r="F1336" s="18">
        <v>12.0</v>
      </c>
    </row>
    <row r="1337">
      <c r="A1337" s="15">
        <v>4.0</v>
      </c>
      <c r="B1337" s="16" t="s">
        <v>6808</v>
      </c>
      <c r="C1337" s="17" t="s">
        <v>6811</v>
      </c>
      <c r="D1337" s="18">
        <v>84.91</v>
      </c>
      <c r="E1337" s="18">
        <v>118.88</v>
      </c>
      <c r="F1337" s="18">
        <v>12.0</v>
      </c>
    </row>
    <row r="1338">
      <c r="A1338" s="15">
        <v>5.0</v>
      </c>
      <c r="B1338" s="16" t="s">
        <v>6812</v>
      </c>
      <c r="C1338" s="17" t="s">
        <v>6813</v>
      </c>
      <c r="D1338" s="18">
        <v>372.07</v>
      </c>
      <c r="E1338" s="18">
        <v>520.9</v>
      </c>
      <c r="F1338" s="18">
        <v>12.0</v>
      </c>
    </row>
    <row r="1339">
      <c r="A1339" s="15">
        <v>6.0</v>
      </c>
      <c r="B1339" s="16" t="s">
        <v>6814</v>
      </c>
      <c r="C1339" s="17" t="s">
        <v>5536</v>
      </c>
      <c r="D1339" s="18">
        <v>101.43</v>
      </c>
      <c r="E1339" s="18">
        <v>142.0</v>
      </c>
      <c r="F1339" s="18">
        <v>12.0</v>
      </c>
    </row>
    <row r="1340">
      <c r="A1340" s="15">
        <v>7.0</v>
      </c>
      <c r="B1340" s="16" t="s">
        <v>6815</v>
      </c>
      <c r="C1340" s="17" t="s">
        <v>5536</v>
      </c>
      <c r="D1340" s="18">
        <v>116.43</v>
      </c>
      <c r="E1340" s="18">
        <v>163.0</v>
      </c>
      <c r="F1340" s="18">
        <v>12.0</v>
      </c>
    </row>
    <row r="1341">
      <c r="A1341" s="15">
        <v>8.0</v>
      </c>
      <c r="B1341" s="16" t="s">
        <v>6816</v>
      </c>
      <c r="C1341" s="17" t="s">
        <v>5768</v>
      </c>
      <c r="D1341" s="18">
        <v>71.07</v>
      </c>
      <c r="E1341" s="18">
        <v>99.5</v>
      </c>
      <c r="F1341" s="18">
        <v>12.0</v>
      </c>
    </row>
    <row r="1342">
      <c r="A1342" s="15">
        <v>9.0</v>
      </c>
      <c r="B1342" s="16" t="s">
        <v>6816</v>
      </c>
      <c r="C1342" s="17" t="s">
        <v>5960</v>
      </c>
      <c r="D1342" s="18">
        <v>145.75</v>
      </c>
      <c r="E1342" s="18">
        <v>204.05</v>
      </c>
      <c r="F1342" s="18">
        <v>12.0</v>
      </c>
    </row>
    <row r="1343">
      <c r="A1343" s="15">
        <v>10.0</v>
      </c>
      <c r="B1343" s="16" t="s">
        <v>6817</v>
      </c>
      <c r="C1343" s="17" t="s">
        <v>5580</v>
      </c>
      <c r="D1343" s="18">
        <v>34.5</v>
      </c>
      <c r="E1343" s="18">
        <v>48.3</v>
      </c>
      <c r="F1343" s="18">
        <v>12.0</v>
      </c>
    </row>
    <row r="1344">
      <c r="A1344" s="15">
        <v>11.0</v>
      </c>
      <c r="B1344" s="16" t="s">
        <v>6817</v>
      </c>
      <c r="C1344" s="17" t="s">
        <v>5665</v>
      </c>
      <c r="D1344" s="18">
        <v>64.3</v>
      </c>
      <c r="E1344" s="18">
        <v>90.02</v>
      </c>
      <c r="F1344" s="18">
        <v>12.0</v>
      </c>
    </row>
    <row r="1345">
      <c r="A1345" s="15">
        <v>12.0</v>
      </c>
      <c r="B1345" s="16" t="s">
        <v>6817</v>
      </c>
      <c r="C1345" s="17" t="s">
        <v>6818</v>
      </c>
      <c r="D1345" s="18">
        <v>42.78</v>
      </c>
      <c r="E1345" s="18">
        <v>59.89</v>
      </c>
      <c r="F1345" s="18">
        <v>12.0</v>
      </c>
    </row>
    <row r="1346">
      <c r="A1346" s="15">
        <v>13.0</v>
      </c>
      <c r="B1346" s="16" t="s">
        <v>6819</v>
      </c>
      <c r="C1346" s="16" t="s">
        <v>6411</v>
      </c>
      <c r="D1346" s="18">
        <v>134.83</v>
      </c>
      <c r="E1346" s="18">
        <v>156.0</v>
      </c>
      <c r="F1346" s="18">
        <v>12.0</v>
      </c>
    </row>
    <row r="1347">
      <c r="A1347" s="15">
        <v>14.0</v>
      </c>
      <c r="B1347" s="16" t="s">
        <v>6820</v>
      </c>
      <c r="C1347" s="17" t="s">
        <v>5636</v>
      </c>
      <c r="D1347" s="18">
        <v>131.37</v>
      </c>
      <c r="E1347" s="18">
        <v>183.92</v>
      </c>
      <c r="F1347" s="18">
        <v>12.0</v>
      </c>
    </row>
    <row r="1348">
      <c r="A1348" s="15">
        <v>15.0</v>
      </c>
      <c r="B1348" s="16" t="s">
        <v>6418</v>
      </c>
      <c r="C1348" s="17" t="s">
        <v>5657</v>
      </c>
      <c r="D1348" s="18">
        <v>151.07</v>
      </c>
      <c r="E1348" s="18">
        <v>211.5</v>
      </c>
      <c r="F1348" s="18">
        <v>12.0</v>
      </c>
    </row>
    <row r="1349">
      <c r="A1349" s="15">
        <v>16.0</v>
      </c>
      <c r="B1349" s="16" t="s">
        <v>6821</v>
      </c>
      <c r="C1349" s="17" t="s">
        <v>6811</v>
      </c>
      <c r="D1349" s="18">
        <v>101.02</v>
      </c>
      <c r="E1349" s="18">
        <v>141.43</v>
      </c>
      <c r="F1349" s="18">
        <v>12.0</v>
      </c>
    </row>
    <row r="1350">
      <c r="A1350" s="15">
        <v>17.0</v>
      </c>
      <c r="B1350" s="16" t="s">
        <v>6822</v>
      </c>
      <c r="C1350" s="17" t="s">
        <v>5562</v>
      </c>
      <c r="D1350" s="18">
        <v>60.89</v>
      </c>
      <c r="E1350" s="18">
        <v>85.25</v>
      </c>
      <c r="F1350" s="18">
        <v>12.0</v>
      </c>
    </row>
    <row r="1351">
      <c r="A1351" s="15">
        <v>18.0</v>
      </c>
      <c r="B1351" s="16" t="s">
        <v>5953</v>
      </c>
      <c r="C1351" s="17" t="s">
        <v>6823</v>
      </c>
      <c r="D1351" s="18">
        <v>29.81</v>
      </c>
      <c r="E1351" s="18">
        <v>41.74</v>
      </c>
      <c r="F1351" s="18">
        <v>12.0</v>
      </c>
    </row>
    <row r="1352">
      <c r="A1352" s="15">
        <v>19.0</v>
      </c>
      <c r="B1352" s="16" t="s">
        <v>6824</v>
      </c>
      <c r="C1352" s="17" t="s">
        <v>5636</v>
      </c>
      <c r="D1352" s="18">
        <v>55.51</v>
      </c>
      <c r="E1352" s="18">
        <v>77.0</v>
      </c>
      <c r="F1352" s="18">
        <v>12.0</v>
      </c>
    </row>
    <row r="1353">
      <c r="A1353" s="15">
        <v>20.0</v>
      </c>
      <c r="B1353" s="16" t="s">
        <v>6825</v>
      </c>
      <c r="C1353" s="17" t="s">
        <v>5536</v>
      </c>
      <c r="D1353" s="18">
        <v>104.41</v>
      </c>
      <c r="E1353" s="18">
        <v>154.0</v>
      </c>
      <c r="F1353" s="18">
        <v>18.0</v>
      </c>
    </row>
    <row r="1354">
      <c r="A1354" s="15">
        <v>21.0</v>
      </c>
      <c r="B1354" s="16" t="s">
        <v>6826</v>
      </c>
      <c r="C1354" s="17" t="s">
        <v>5536</v>
      </c>
      <c r="D1354" s="18">
        <v>181.43</v>
      </c>
      <c r="E1354" s="18">
        <v>254.0</v>
      </c>
      <c r="F1354" s="18">
        <v>12.0</v>
      </c>
    </row>
    <row r="1355">
      <c r="A1355" s="15">
        <v>22.0</v>
      </c>
      <c r="B1355" s="16" t="s">
        <v>6827</v>
      </c>
      <c r="C1355" s="17" t="s">
        <v>5546</v>
      </c>
      <c r="D1355" s="18">
        <v>95.04</v>
      </c>
      <c r="E1355" s="18">
        <v>133.05</v>
      </c>
      <c r="F1355" s="18">
        <v>12.0</v>
      </c>
    </row>
    <row r="1356">
      <c r="A1356" s="15">
        <v>23.0</v>
      </c>
      <c r="B1356" s="16" t="s">
        <v>6828</v>
      </c>
      <c r="C1356" s="17" t="s">
        <v>6363</v>
      </c>
      <c r="D1356" s="18">
        <v>148.5</v>
      </c>
      <c r="E1356" s="18">
        <v>207.9</v>
      </c>
      <c r="F1356" s="18">
        <v>12.0</v>
      </c>
    </row>
    <row r="1357">
      <c r="A1357" s="15">
        <v>24.0</v>
      </c>
      <c r="B1357" s="16" t="s">
        <v>6829</v>
      </c>
      <c r="C1357" s="16" t="s">
        <v>6830</v>
      </c>
      <c r="D1357" s="18">
        <v>63.22</v>
      </c>
      <c r="E1357" s="18">
        <v>88.5</v>
      </c>
      <c r="F1357" s="18">
        <v>12.0</v>
      </c>
    </row>
    <row r="1358">
      <c r="A1358" s="15">
        <v>25.0</v>
      </c>
      <c r="B1358" s="16" t="s">
        <v>6831</v>
      </c>
      <c r="C1358" s="17" t="s">
        <v>5562</v>
      </c>
      <c r="D1358" s="18">
        <v>117.86</v>
      </c>
      <c r="E1358" s="18">
        <v>165.0</v>
      </c>
      <c r="F1358" s="18">
        <v>12.0</v>
      </c>
    </row>
    <row r="1359">
      <c r="A1359" s="6"/>
      <c r="B1359" s="7"/>
      <c r="C1359" s="7"/>
      <c r="D1359" s="7"/>
      <c r="E1359" s="7"/>
      <c r="F1359" s="8"/>
    </row>
    <row r="1360">
      <c r="A1360" s="9" t="s">
        <v>6832</v>
      </c>
      <c r="B1360" s="10"/>
      <c r="C1360" s="10"/>
      <c r="D1360" s="10"/>
      <c r="E1360" s="10"/>
      <c r="F1360" s="10"/>
    </row>
    <row r="1361">
      <c r="A1361" s="6"/>
      <c r="B1361" s="7"/>
      <c r="C1361" s="7"/>
      <c r="D1361" s="7"/>
      <c r="E1361" s="7"/>
      <c r="F1361" s="8"/>
    </row>
    <row r="1362">
      <c r="A1362" s="9" t="s">
        <v>6833</v>
      </c>
      <c r="B1362" s="10"/>
      <c r="C1362" s="10"/>
      <c r="D1362" s="10"/>
      <c r="E1362" s="10"/>
      <c r="F1362" s="10"/>
    </row>
    <row r="1363">
      <c r="A1363" s="11">
        <v>1.0</v>
      </c>
      <c r="B1363" s="12" t="s">
        <v>6834</v>
      </c>
      <c r="C1363" s="13" t="s">
        <v>5636</v>
      </c>
      <c r="D1363" s="14">
        <v>31.11</v>
      </c>
      <c r="E1363" s="14">
        <v>43.56</v>
      </c>
      <c r="F1363" s="14">
        <v>12.0</v>
      </c>
    </row>
    <row r="1364">
      <c r="A1364" s="15">
        <v>2.0</v>
      </c>
      <c r="B1364" s="16" t="s">
        <v>6835</v>
      </c>
      <c r="C1364" s="16" t="s">
        <v>6836</v>
      </c>
      <c r="D1364" s="18">
        <v>13.9</v>
      </c>
      <c r="E1364" s="18">
        <v>19.46</v>
      </c>
      <c r="F1364" s="16">
        <v>12.0</v>
      </c>
    </row>
    <row r="1365">
      <c r="A1365" s="15">
        <v>3.0</v>
      </c>
      <c r="B1365" s="16" t="s">
        <v>6835</v>
      </c>
      <c r="C1365" s="16" t="s">
        <v>5700</v>
      </c>
      <c r="D1365" s="18">
        <v>27.8</v>
      </c>
      <c r="E1365" s="18">
        <v>38.92</v>
      </c>
      <c r="F1365" s="18">
        <v>12.0</v>
      </c>
    </row>
    <row r="1366">
      <c r="A1366" s="15">
        <v>4.0</v>
      </c>
      <c r="B1366" s="16" t="s">
        <v>1098</v>
      </c>
      <c r="C1366" s="16" t="s">
        <v>5558</v>
      </c>
      <c r="D1366" s="18">
        <v>12.9</v>
      </c>
      <c r="E1366" s="18">
        <v>18.06</v>
      </c>
      <c r="F1366" s="18">
        <v>12.0</v>
      </c>
    </row>
    <row r="1367">
      <c r="A1367" s="15">
        <v>5.0</v>
      </c>
      <c r="B1367" s="16" t="s">
        <v>6387</v>
      </c>
      <c r="C1367" s="17" t="s">
        <v>6127</v>
      </c>
      <c r="D1367" s="18">
        <v>124.02</v>
      </c>
      <c r="E1367" s="18">
        <v>173.63</v>
      </c>
      <c r="F1367" s="18">
        <v>12.0</v>
      </c>
    </row>
    <row r="1368">
      <c r="A1368" s="15">
        <v>6.0</v>
      </c>
      <c r="B1368" s="16" t="s">
        <v>6837</v>
      </c>
      <c r="C1368" s="17" t="s">
        <v>6838</v>
      </c>
      <c r="D1368" s="18">
        <v>89.29</v>
      </c>
      <c r="E1368" s="18">
        <v>125.0</v>
      </c>
      <c r="F1368" s="18">
        <v>12.0</v>
      </c>
    </row>
    <row r="1369">
      <c r="A1369" s="15">
        <v>7.0</v>
      </c>
      <c r="B1369" s="16" t="s">
        <v>6837</v>
      </c>
      <c r="C1369" s="17" t="s">
        <v>6839</v>
      </c>
      <c r="D1369" s="18">
        <v>57.6</v>
      </c>
      <c r="E1369" s="18">
        <v>80.64</v>
      </c>
      <c r="F1369" s="18">
        <v>12.0</v>
      </c>
    </row>
    <row r="1370">
      <c r="A1370" s="15">
        <v>8.0</v>
      </c>
      <c r="B1370" s="16" t="s">
        <v>6745</v>
      </c>
      <c r="C1370" s="17" t="s">
        <v>6840</v>
      </c>
      <c r="D1370" s="18">
        <v>80.36</v>
      </c>
      <c r="E1370" s="18">
        <v>112.5</v>
      </c>
      <c r="F1370" s="18">
        <v>12.0</v>
      </c>
    </row>
    <row r="1371">
      <c r="A1371" s="15">
        <v>9.0</v>
      </c>
      <c r="B1371" s="16" t="s">
        <v>6745</v>
      </c>
      <c r="C1371" s="17" t="s">
        <v>5960</v>
      </c>
      <c r="D1371" s="18">
        <v>77.86</v>
      </c>
      <c r="E1371" s="18">
        <v>109.0</v>
      </c>
      <c r="F1371" s="18">
        <v>12.0</v>
      </c>
    </row>
    <row r="1372">
      <c r="A1372" s="15">
        <v>10.0</v>
      </c>
      <c r="B1372" s="16" t="s">
        <v>6841</v>
      </c>
      <c r="C1372" s="17" t="s">
        <v>5536</v>
      </c>
      <c r="D1372" s="18">
        <v>16.24</v>
      </c>
      <c r="E1372" s="18">
        <v>22.73</v>
      </c>
      <c r="F1372" s="18">
        <v>12.0</v>
      </c>
    </row>
    <row r="1373">
      <c r="A1373" s="15">
        <v>11.0</v>
      </c>
      <c r="B1373" s="16" t="s">
        <v>6842</v>
      </c>
      <c r="C1373" s="17" t="s">
        <v>5536</v>
      </c>
      <c r="D1373" s="18">
        <v>29.09</v>
      </c>
      <c r="E1373" s="18">
        <v>40.73</v>
      </c>
      <c r="F1373" s="18">
        <v>12.0</v>
      </c>
    </row>
    <row r="1374">
      <c r="A1374" s="15">
        <v>12.0</v>
      </c>
      <c r="B1374" s="16" t="s">
        <v>6843</v>
      </c>
      <c r="C1374" s="17" t="s">
        <v>6596</v>
      </c>
      <c r="D1374" s="18">
        <v>12.96</v>
      </c>
      <c r="E1374" s="18">
        <v>18.15</v>
      </c>
      <c r="F1374" s="18">
        <v>12.0</v>
      </c>
    </row>
    <row r="1375">
      <c r="A1375" s="15">
        <v>13.0</v>
      </c>
      <c r="B1375" s="16" t="s">
        <v>6844</v>
      </c>
      <c r="C1375" s="17" t="s">
        <v>5707</v>
      </c>
      <c r="D1375" s="18">
        <v>12.11</v>
      </c>
      <c r="E1375" s="18">
        <v>16.96</v>
      </c>
      <c r="F1375" s="18">
        <v>12.0</v>
      </c>
    </row>
    <row r="1376">
      <c r="A1376" s="15">
        <v>14.0</v>
      </c>
      <c r="B1376" s="16" t="s">
        <v>6845</v>
      </c>
      <c r="C1376" s="17" t="s">
        <v>5636</v>
      </c>
      <c r="D1376" s="18">
        <v>92.07</v>
      </c>
      <c r="E1376" s="18">
        <v>128.9</v>
      </c>
      <c r="F1376" s="18">
        <v>12.0</v>
      </c>
    </row>
    <row r="1377">
      <c r="A1377" s="15">
        <v>15.0</v>
      </c>
      <c r="B1377" s="16" t="s">
        <v>6846</v>
      </c>
      <c r="C1377" s="17" t="s">
        <v>6847</v>
      </c>
      <c r="D1377" s="18">
        <v>22.93</v>
      </c>
      <c r="E1377" s="18">
        <v>31.5</v>
      </c>
      <c r="F1377" s="18">
        <v>12.0</v>
      </c>
    </row>
    <row r="1378">
      <c r="A1378" s="15">
        <v>16.0</v>
      </c>
      <c r="B1378" s="16" t="s">
        <v>1110</v>
      </c>
      <c r="C1378" s="16" t="s">
        <v>5558</v>
      </c>
      <c r="D1378" s="18">
        <v>34.29</v>
      </c>
      <c r="E1378" s="18">
        <v>48.0</v>
      </c>
      <c r="F1378" s="18">
        <v>12.0</v>
      </c>
    </row>
    <row r="1379">
      <c r="A1379" s="15">
        <v>17.0</v>
      </c>
      <c r="B1379" s="16" t="s">
        <v>6848</v>
      </c>
      <c r="C1379" s="17" t="s">
        <v>5536</v>
      </c>
      <c r="D1379" s="18">
        <v>19.33</v>
      </c>
      <c r="E1379" s="18">
        <v>26.83</v>
      </c>
      <c r="F1379" s="18">
        <v>12.0</v>
      </c>
    </row>
    <row r="1380">
      <c r="A1380" s="15">
        <v>18.0</v>
      </c>
      <c r="B1380" s="16" t="s">
        <v>6849</v>
      </c>
      <c r="C1380" s="17" t="s">
        <v>5536</v>
      </c>
      <c r="D1380" s="18">
        <v>46.09</v>
      </c>
      <c r="E1380" s="18">
        <v>64.52</v>
      </c>
      <c r="F1380" s="18">
        <v>12.0</v>
      </c>
    </row>
    <row r="1381">
      <c r="A1381" s="15">
        <v>19.0</v>
      </c>
      <c r="B1381" s="16" t="s">
        <v>6850</v>
      </c>
      <c r="C1381" s="17" t="s">
        <v>6604</v>
      </c>
      <c r="D1381" s="18">
        <v>8.64</v>
      </c>
      <c r="E1381" s="18">
        <v>10.0</v>
      </c>
      <c r="F1381" s="18">
        <v>12.0</v>
      </c>
    </row>
    <row r="1382">
      <c r="A1382" s="15">
        <v>20.0</v>
      </c>
      <c r="B1382" s="16" t="s">
        <v>6851</v>
      </c>
      <c r="C1382" s="17" t="s">
        <v>5636</v>
      </c>
      <c r="D1382" s="18">
        <v>63.45</v>
      </c>
      <c r="E1382" s="18">
        <v>88.83</v>
      </c>
      <c r="F1382" s="18">
        <v>12.0</v>
      </c>
    </row>
    <row r="1383">
      <c r="A1383" s="6"/>
      <c r="B1383" s="7"/>
      <c r="C1383" s="7"/>
      <c r="D1383" s="7"/>
      <c r="E1383" s="7"/>
      <c r="F1383" s="8"/>
    </row>
    <row r="1384">
      <c r="A1384" s="9" t="s">
        <v>6852</v>
      </c>
      <c r="B1384" s="10"/>
      <c r="C1384" s="10"/>
      <c r="D1384" s="10"/>
      <c r="E1384" s="10"/>
      <c r="F1384" s="10"/>
    </row>
    <row r="1385">
      <c r="A1385" s="11">
        <v>1.0</v>
      </c>
      <c r="B1385" s="12" t="s">
        <v>6853</v>
      </c>
      <c r="C1385" s="12" t="s">
        <v>6854</v>
      </c>
      <c r="D1385" s="14">
        <v>14.53</v>
      </c>
      <c r="E1385" s="14">
        <v>19.95</v>
      </c>
      <c r="F1385" s="14">
        <v>12.0</v>
      </c>
    </row>
    <row r="1386">
      <c r="A1386" s="15">
        <v>2.0</v>
      </c>
      <c r="B1386" s="16" t="s">
        <v>1117</v>
      </c>
      <c r="C1386" s="16" t="s">
        <v>6855</v>
      </c>
      <c r="D1386" s="18">
        <v>11.37</v>
      </c>
      <c r="E1386" s="18">
        <v>15.92</v>
      </c>
      <c r="F1386" s="18">
        <v>12.0</v>
      </c>
    </row>
    <row r="1387">
      <c r="A1387" s="15">
        <v>3.0</v>
      </c>
      <c r="B1387" s="16" t="s">
        <v>6856</v>
      </c>
      <c r="C1387" s="17" t="s">
        <v>6857</v>
      </c>
      <c r="D1387" s="18">
        <v>60.12</v>
      </c>
      <c r="E1387" s="18">
        <v>69.0</v>
      </c>
      <c r="F1387" s="18">
        <v>18.0</v>
      </c>
    </row>
    <row r="1388">
      <c r="A1388" s="15">
        <v>4.0</v>
      </c>
      <c r="B1388" s="16" t="s">
        <v>6858</v>
      </c>
      <c r="C1388" s="17" t="s">
        <v>6859</v>
      </c>
      <c r="D1388" s="18">
        <v>68.83</v>
      </c>
      <c r="E1388" s="18">
        <v>79.0</v>
      </c>
      <c r="F1388" s="18">
        <v>18.0</v>
      </c>
    </row>
    <row r="1389">
      <c r="A1389" s="15">
        <v>5.0</v>
      </c>
      <c r="B1389" s="16" t="s">
        <v>6860</v>
      </c>
      <c r="C1389" s="17" t="s">
        <v>5562</v>
      </c>
      <c r="D1389" s="18">
        <v>30.96</v>
      </c>
      <c r="E1389" s="18">
        <v>42.5</v>
      </c>
      <c r="F1389" s="18">
        <v>12.0</v>
      </c>
    </row>
    <row r="1390">
      <c r="A1390" s="15">
        <v>6.0</v>
      </c>
      <c r="B1390" s="16" t="s">
        <v>6861</v>
      </c>
      <c r="C1390" s="17" t="s">
        <v>5536</v>
      </c>
      <c r="D1390" s="18">
        <v>39.64</v>
      </c>
      <c r="E1390" s="18">
        <v>55.5</v>
      </c>
      <c r="F1390" s="18">
        <v>12.0</v>
      </c>
    </row>
    <row r="1391">
      <c r="A1391" s="6"/>
      <c r="B1391" s="7"/>
      <c r="C1391" s="7"/>
      <c r="D1391" s="7"/>
      <c r="E1391" s="7"/>
      <c r="F1391" s="8"/>
    </row>
    <row r="1392">
      <c r="A1392" s="9" t="s">
        <v>6862</v>
      </c>
      <c r="B1392" s="10"/>
      <c r="C1392" s="10"/>
      <c r="D1392" s="10"/>
      <c r="E1392" s="10"/>
      <c r="F1392" s="10"/>
    </row>
    <row r="1393">
      <c r="A1393" s="11">
        <v>1.0</v>
      </c>
      <c r="B1393" s="22"/>
      <c r="C1393" s="14">
        <v>1.0</v>
      </c>
      <c r="D1393" s="14">
        <v>0.0</v>
      </c>
      <c r="E1393" s="14">
        <v>0.0</v>
      </c>
      <c r="F1393" s="14">
        <v>18.0</v>
      </c>
    </row>
    <row r="1394">
      <c r="A1394" s="15">
        <v>2.0</v>
      </c>
      <c r="B1394" s="16" t="s">
        <v>6863</v>
      </c>
      <c r="C1394" s="17" t="s">
        <v>6864</v>
      </c>
      <c r="D1394" s="18">
        <v>106.43</v>
      </c>
      <c r="E1394" s="18">
        <v>149.0</v>
      </c>
      <c r="F1394" s="18">
        <v>12.0</v>
      </c>
    </row>
    <row r="1395">
      <c r="A1395" s="15">
        <v>3.0</v>
      </c>
      <c r="B1395" s="16" t="s">
        <v>6568</v>
      </c>
      <c r="C1395" s="17" t="s">
        <v>6865</v>
      </c>
      <c r="D1395" s="18">
        <v>53.2</v>
      </c>
      <c r="E1395" s="18">
        <v>75.0</v>
      </c>
      <c r="F1395" s="18">
        <v>18.0</v>
      </c>
    </row>
    <row r="1396">
      <c r="A1396" s="15">
        <v>4.0</v>
      </c>
      <c r="B1396" s="16" t="s">
        <v>6568</v>
      </c>
      <c r="C1396" s="16" t="s">
        <v>6866</v>
      </c>
      <c r="D1396" s="18">
        <v>190.68</v>
      </c>
      <c r="E1396" s="18">
        <v>250.0</v>
      </c>
      <c r="F1396" s="18">
        <v>18.0</v>
      </c>
    </row>
    <row r="1397">
      <c r="A1397" s="15">
        <v>5.0</v>
      </c>
      <c r="B1397" s="16" t="s">
        <v>6867</v>
      </c>
      <c r="C1397" s="17" t="s">
        <v>5636</v>
      </c>
      <c r="D1397" s="18">
        <v>37.39</v>
      </c>
      <c r="E1397" s="18">
        <v>52.34</v>
      </c>
      <c r="F1397" s="18">
        <v>12.0</v>
      </c>
    </row>
    <row r="1398">
      <c r="A1398" s="15">
        <v>6.0</v>
      </c>
      <c r="B1398" s="16" t="s">
        <v>6868</v>
      </c>
      <c r="C1398" s="17" t="s">
        <v>6869</v>
      </c>
      <c r="D1398" s="18">
        <v>37.39</v>
      </c>
      <c r="E1398" s="18">
        <v>52.34</v>
      </c>
      <c r="F1398" s="18">
        <v>12.0</v>
      </c>
    </row>
    <row r="1399">
      <c r="A1399" s="15">
        <v>7.0</v>
      </c>
      <c r="B1399" s="16" t="s">
        <v>6870</v>
      </c>
      <c r="C1399" s="16" t="s">
        <v>6871</v>
      </c>
      <c r="D1399" s="18">
        <v>9.15</v>
      </c>
      <c r="E1399" s="18">
        <v>12.81</v>
      </c>
      <c r="F1399" s="18">
        <v>12.0</v>
      </c>
    </row>
    <row r="1400">
      <c r="A1400" s="15">
        <v>8.0</v>
      </c>
      <c r="B1400" s="16" t="s">
        <v>6870</v>
      </c>
      <c r="C1400" s="16" t="s">
        <v>6872</v>
      </c>
      <c r="D1400" s="18">
        <v>18.3</v>
      </c>
      <c r="E1400" s="18">
        <v>23.79</v>
      </c>
      <c r="F1400" s="18">
        <v>12.0</v>
      </c>
    </row>
    <row r="1401">
      <c r="A1401" s="15">
        <v>9.0</v>
      </c>
      <c r="B1401" s="16" t="s">
        <v>6873</v>
      </c>
      <c r="C1401" s="17" t="s">
        <v>5536</v>
      </c>
      <c r="D1401" s="18">
        <v>36.7</v>
      </c>
      <c r="E1401" s="18">
        <v>51.38</v>
      </c>
      <c r="F1401" s="18">
        <v>12.0</v>
      </c>
    </row>
    <row r="1402">
      <c r="A1402" s="15">
        <v>10.0</v>
      </c>
      <c r="B1402" s="16" t="s">
        <v>6874</v>
      </c>
      <c r="C1402" s="17" t="s">
        <v>6754</v>
      </c>
      <c r="D1402" s="18">
        <v>92.14</v>
      </c>
      <c r="E1402" s="18">
        <v>129.0</v>
      </c>
      <c r="F1402" s="18">
        <v>12.0</v>
      </c>
    </row>
    <row r="1403">
      <c r="A1403" s="15">
        <v>11.0</v>
      </c>
      <c r="B1403" s="16" t="s">
        <v>6875</v>
      </c>
      <c r="C1403" s="17" t="s">
        <v>5636</v>
      </c>
      <c r="D1403" s="18">
        <v>36.79</v>
      </c>
      <c r="E1403" s="18">
        <v>51.5</v>
      </c>
      <c r="F1403" s="18">
        <v>12.0</v>
      </c>
    </row>
    <row r="1404">
      <c r="A1404" s="15">
        <v>12.0</v>
      </c>
      <c r="B1404" s="16" t="s">
        <v>6752</v>
      </c>
      <c r="C1404" s="17" t="s">
        <v>6876</v>
      </c>
      <c r="D1404" s="18">
        <v>46.36</v>
      </c>
      <c r="E1404" s="18">
        <v>64.9</v>
      </c>
      <c r="F1404" s="18">
        <v>12.0</v>
      </c>
    </row>
    <row r="1405">
      <c r="A1405" s="15">
        <v>13.0</v>
      </c>
      <c r="B1405" s="16" t="s">
        <v>6752</v>
      </c>
      <c r="C1405" s="17" t="s">
        <v>6877</v>
      </c>
      <c r="D1405" s="18">
        <v>59.29</v>
      </c>
      <c r="E1405" s="18">
        <v>83.0</v>
      </c>
      <c r="F1405" s="18">
        <v>12.0</v>
      </c>
    </row>
    <row r="1406">
      <c r="A1406" s="15">
        <v>14.0</v>
      </c>
      <c r="B1406" s="16" t="s">
        <v>6721</v>
      </c>
      <c r="C1406" s="17" t="s">
        <v>5969</v>
      </c>
      <c r="D1406" s="18">
        <v>258.64</v>
      </c>
      <c r="E1406" s="18">
        <v>362.09</v>
      </c>
      <c r="F1406" s="18">
        <v>12.0</v>
      </c>
    </row>
    <row r="1407">
      <c r="A1407" s="15">
        <v>15.0</v>
      </c>
      <c r="B1407" s="16" t="s">
        <v>6721</v>
      </c>
      <c r="C1407" s="17" t="s">
        <v>6878</v>
      </c>
      <c r="D1407" s="18">
        <v>93.77</v>
      </c>
      <c r="E1407" s="18">
        <v>128.77</v>
      </c>
      <c r="F1407" s="18">
        <v>12.0</v>
      </c>
    </row>
    <row r="1408">
      <c r="A1408" s="15">
        <v>16.0</v>
      </c>
      <c r="B1408" s="16" t="s">
        <v>6721</v>
      </c>
      <c r="C1408" s="17" t="s">
        <v>6879</v>
      </c>
      <c r="D1408" s="18">
        <v>299.97</v>
      </c>
      <c r="E1408" s="18">
        <v>412.0</v>
      </c>
      <c r="F1408" s="18">
        <v>12.0</v>
      </c>
    </row>
    <row r="1409">
      <c r="A1409" s="15">
        <v>17.0</v>
      </c>
      <c r="B1409" s="16" t="s">
        <v>6880</v>
      </c>
      <c r="C1409" s="17" t="s">
        <v>6881</v>
      </c>
      <c r="D1409" s="18">
        <v>204.29</v>
      </c>
      <c r="E1409" s="18">
        <v>286.0</v>
      </c>
      <c r="F1409" s="18">
        <v>12.0</v>
      </c>
    </row>
    <row r="1410">
      <c r="A1410" s="15">
        <v>18.0</v>
      </c>
      <c r="B1410" s="16" t="s">
        <v>6882</v>
      </c>
      <c r="C1410" s="17" t="s">
        <v>5536</v>
      </c>
      <c r="D1410" s="18">
        <v>196.43</v>
      </c>
      <c r="E1410" s="18">
        <v>275.0</v>
      </c>
      <c r="F1410" s="18">
        <v>12.0</v>
      </c>
    </row>
    <row r="1411">
      <c r="A1411" s="15">
        <v>19.0</v>
      </c>
      <c r="B1411" s="16" t="s">
        <v>6882</v>
      </c>
      <c r="C1411" s="17" t="s">
        <v>5765</v>
      </c>
      <c r="D1411" s="18">
        <v>78.57</v>
      </c>
      <c r="E1411" s="18">
        <v>110.0</v>
      </c>
      <c r="F1411" s="18">
        <v>12.0</v>
      </c>
    </row>
    <row r="1412">
      <c r="A1412" s="15">
        <v>20.0</v>
      </c>
      <c r="B1412" s="16" t="s">
        <v>6883</v>
      </c>
      <c r="C1412" s="17" t="s">
        <v>5536</v>
      </c>
      <c r="D1412" s="18">
        <v>427.23</v>
      </c>
      <c r="E1412" s="18">
        <v>598.12</v>
      </c>
      <c r="F1412" s="18">
        <v>12.0</v>
      </c>
    </row>
    <row r="1413">
      <c r="A1413" s="15">
        <v>21.0</v>
      </c>
      <c r="B1413" s="16" t="s">
        <v>6883</v>
      </c>
      <c r="C1413" s="17" t="s">
        <v>5765</v>
      </c>
      <c r="D1413" s="18">
        <v>155.36</v>
      </c>
      <c r="E1413" s="18">
        <v>217.5</v>
      </c>
      <c r="F1413" s="18">
        <v>12.0</v>
      </c>
    </row>
    <row r="1414">
      <c r="A1414" s="15">
        <v>22.0</v>
      </c>
      <c r="B1414" s="16" t="s">
        <v>6884</v>
      </c>
      <c r="C1414" s="17" t="s">
        <v>6885</v>
      </c>
      <c r="D1414" s="18">
        <v>92.5</v>
      </c>
      <c r="E1414" s="18">
        <v>129.5</v>
      </c>
      <c r="F1414" s="18">
        <v>12.0</v>
      </c>
    </row>
    <row r="1415">
      <c r="A1415" s="15">
        <v>23.0</v>
      </c>
      <c r="B1415" s="16" t="s">
        <v>6886</v>
      </c>
      <c r="C1415" s="17" t="s">
        <v>6887</v>
      </c>
      <c r="D1415" s="18">
        <v>13.37</v>
      </c>
      <c r="E1415" s="18">
        <v>18.34</v>
      </c>
      <c r="F1415" s="18">
        <v>12.0</v>
      </c>
    </row>
    <row r="1416">
      <c r="A1416" s="15">
        <v>24.0</v>
      </c>
      <c r="B1416" s="16" t="s">
        <v>6886</v>
      </c>
      <c r="C1416" s="17" t="s">
        <v>6888</v>
      </c>
      <c r="D1416" s="18">
        <v>38.55</v>
      </c>
      <c r="E1416" s="18">
        <v>53.5</v>
      </c>
      <c r="F1416" s="18">
        <v>12.0</v>
      </c>
    </row>
    <row r="1417">
      <c r="A1417" s="15">
        <v>25.0</v>
      </c>
      <c r="B1417" s="16" t="s">
        <v>6886</v>
      </c>
      <c r="C1417" s="17" t="s">
        <v>6889</v>
      </c>
      <c r="D1417" s="18">
        <v>34.6</v>
      </c>
      <c r="E1417" s="18">
        <v>48.0</v>
      </c>
      <c r="F1417" s="18">
        <v>12.0</v>
      </c>
    </row>
    <row r="1418">
      <c r="A1418" s="15">
        <v>26.0</v>
      </c>
      <c r="B1418" s="16" t="s">
        <v>6890</v>
      </c>
      <c r="C1418" s="17" t="s">
        <v>6891</v>
      </c>
      <c r="D1418" s="18">
        <v>46.07</v>
      </c>
      <c r="E1418" s="18">
        <v>64.5</v>
      </c>
      <c r="F1418" s="18">
        <v>12.0</v>
      </c>
    </row>
    <row r="1419">
      <c r="A1419" s="15">
        <v>27.0</v>
      </c>
      <c r="B1419" s="16" t="s">
        <v>6890</v>
      </c>
      <c r="C1419" s="17" t="s">
        <v>6764</v>
      </c>
      <c r="D1419" s="18">
        <v>43.21</v>
      </c>
      <c r="E1419" s="18">
        <v>60.5</v>
      </c>
      <c r="F1419" s="18">
        <v>12.0</v>
      </c>
    </row>
    <row r="1420">
      <c r="A1420" s="15">
        <v>28.0</v>
      </c>
      <c r="B1420" s="16" t="s">
        <v>6890</v>
      </c>
      <c r="C1420" s="17" t="s">
        <v>6892</v>
      </c>
      <c r="D1420" s="18">
        <v>34.38</v>
      </c>
      <c r="E1420" s="18">
        <v>35.0</v>
      </c>
      <c r="F1420" s="18">
        <v>12.0</v>
      </c>
    </row>
    <row r="1421">
      <c r="A1421" s="15">
        <v>29.0</v>
      </c>
      <c r="B1421" s="16" t="s">
        <v>6763</v>
      </c>
      <c r="C1421" s="17" t="s">
        <v>6354</v>
      </c>
      <c r="D1421" s="18">
        <v>24.0</v>
      </c>
      <c r="E1421" s="18">
        <v>33.6</v>
      </c>
      <c r="F1421" s="18">
        <v>12.0</v>
      </c>
    </row>
    <row r="1422">
      <c r="A1422" s="15">
        <v>30.0</v>
      </c>
      <c r="B1422" s="16" t="s">
        <v>6763</v>
      </c>
      <c r="C1422" s="17" t="s">
        <v>6891</v>
      </c>
      <c r="D1422" s="18">
        <v>100.57</v>
      </c>
      <c r="E1422" s="18">
        <v>140.8</v>
      </c>
      <c r="F1422" s="18">
        <v>12.0</v>
      </c>
    </row>
    <row r="1423">
      <c r="A1423" s="15">
        <v>31.0</v>
      </c>
      <c r="B1423" s="16" t="s">
        <v>6763</v>
      </c>
      <c r="C1423" s="17" t="s">
        <v>6893</v>
      </c>
      <c r="D1423" s="18">
        <v>31.68</v>
      </c>
      <c r="E1423" s="18">
        <v>44.0</v>
      </c>
      <c r="F1423" s="18">
        <v>12.0</v>
      </c>
    </row>
    <row r="1424">
      <c r="A1424" s="15">
        <v>32.0</v>
      </c>
      <c r="B1424" s="16" t="s">
        <v>6894</v>
      </c>
      <c r="C1424" s="17" t="s">
        <v>6354</v>
      </c>
      <c r="D1424" s="18">
        <v>77.26</v>
      </c>
      <c r="E1424" s="18">
        <v>108.17</v>
      </c>
      <c r="F1424" s="18">
        <v>12.0</v>
      </c>
    </row>
    <row r="1425">
      <c r="A1425" s="15">
        <v>33.0</v>
      </c>
      <c r="B1425" s="16" t="s">
        <v>6894</v>
      </c>
      <c r="C1425" s="17" t="s">
        <v>6895</v>
      </c>
      <c r="D1425" s="18">
        <v>110.39</v>
      </c>
      <c r="E1425" s="18">
        <v>154.55</v>
      </c>
      <c r="F1425" s="18">
        <v>12.0</v>
      </c>
    </row>
    <row r="1426">
      <c r="A1426" s="15">
        <v>34.0</v>
      </c>
      <c r="B1426" s="16" t="s">
        <v>6896</v>
      </c>
      <c r="C1426" s="17" t="s">
        <v>6897</v>
      </c>
      <c r="D1426" s="18">
        <v>86.19</v>
      </c>
      <c r="E1426" s="18">
        <v>147.36</v>
      </c>
      <c r="F1426" s="18">
        <v>12.0</v>
      </c>
    </row>
    <row r="1427">
      <c r="A1427" s="15">
        <v>35.0</v>
      </c>
      <c r="B1427" s="16" t="s">
        <v>6896</v>
      </c>
      <c r="C1427" s="17" t="s">
        <v>6370</v>
      </c>
      <c r="D1427" s="18">
        <v>81.78</v>
      </c>
      <c r="E1427" s="18">
        <v>114.5</v>
      </c>
      <c r="F1427" s="18">
        <v>12.0</v>
      </c>
    </row>
    <row r="1428">
      <c r="A1428" s="15">
        <v>36.0</v>
      </c>
      <c r="B1428" s="16" t="s">
        <v>6896</v>
      </c>
      <c r="C1428" s="17" t="s">
        <v>6898</v>
      </c>
      <c r="D1428" s="18">
        <v>112.12</v>
      </c>
      <c r="E1428" s="18">
        <v>154.0</v>
      </c>
      <c r="F1428" s="18">
        <v>12.0</v>
      </c>
    </row>
    <row r="1429">
      <c r="A1429" s="15">
        <v>37.0</v>
      </c>
      <c r="B1429" s="16" t="s">
        <v>6896</v>
      </c>
      <c r="C1429" s="17" t="s">
        <v>6899</v>
      </c>
      <c r="D1429" s="18">
        <v>140.61</v>
      </c>
      <c r="E1429" s="18">
        <v>196.86</v>
      </c>
      <c r="F1429" s="18">
        <v>12.0</v>
      </c>
    </row>
    <row r="1430">
      <c r="A1430" s="15">
        <v>38.0</v>
      </c>
      <c r="B1430" s="16" t="s">
        <v>6896</v>
      </c>
      <c r="C1430" s="17" t="s">
        <v>6604</v>
      </c>
      <c r="D1430" s="18">
        <v>54.24</v>
      </c>
      <c r="E1430" s="18">
        <v>74.5</v>
      </c>
      <c r="F1430" s="18">
        <v>12.0</v>
      </c>
    </row>
    <row r="1431">
      <c r="A1431" s="6"/>
      <c r="B1431" s="7"/>
      <c r="C1431" s="7"/>
      <c r="D1431" s="7"/>
      <c r="E1431" s="8"/>
      <c r="F1431" s="16" t="s">
        <v>6900</v>
      </c>
    </row>
    <row r="1432">
      <c r="A1432" s="6"/>
      <c r="B1432" s="7"/>
      <c r="C1432" s="7"/>
      <c r="D1432" s="7"/>
      <c r="E1432" s="7"/>
      <c r="F1432" s="8"/>
    </row>
    <row r="1433">
      <c r="A1433" s="6"/>
      <c r="B1433" s="7"/>
      <c r="C1433" s="7"/>
      <c r="D1433" s="7"/>
      <c r="E1433" s="7"/>
      <c r="F1433" s="8"/>
    </row>
    <row r="1434">
      <c r="A1434" s="6"/>
      <c r="B1434" s="7"/>
      <c r="C1434" s="7"/>
      <c r="D1434" s="7"/>
      <c r="E1434" s="7"/>
      <c r="F1434" s="8"/>
    </row>
    <row r="1435">
      <c r="A1435" s="6"/>
      <c r="B1435" s="7"/>
      <c r="C1435" s="7"/>
      <c r="D1435" s="7"/>
      <c r="E1435" s="7"/>
      <c r="F1435" s="8"/>
    </row>
    <row r="1436">
      <c r="A1436" s="9" t="s">
        <v>5582</v>
      </c>
      <c r="B1436" s="10"/>
      <c r="C1436" s="10"/>
      <c r="D1436" s="10"/>
      <c r="E1436" s="10"/>
      <c r="F1436" s="10"/>
    </row>
    <row r="1437">
      <c r="A1437" s="19" t="s">
        <v>5583</v>
      </c>
    </row>
    <row r="1438">
      <c r="A1438" s="6"/>
      <c r="B1438" s="7"/>
      <c r="C1438" s="7"/>
      <c r="D1438" s="8"/>
      <c r="E1438" s="12" t="s">
        <v>5584</v>
      </c>
      <c r="F1438" s="12" t="s">
        <v>6901</v>
      </c>
    </row>
    <row r="1439">
      <c r="A1439" s="20" t="s">
        <v>5522</v>
      </c>
      <c r="B1439" s="16" t="s">
        <v>5523</v>
      </c>
      <c r="C1439" s="16" t="s">
        <v>5524</v>
      </c>
      <c r="D1439" s="16" t="s">
        <v>5525</v>
      </c>
      <c r="E1439" s="16" t="s">
        <v>5526</v>
      </c>
      <c r="F1439" s="16" t="s">
        <v>5586</v>
      </c>
    </row>
    <row r="1440">
      <c r="A1440" s="15">
        <v>39.0</v>
      </c>
      <c r="B1440" s="16" t="s">
        <v>6896</v>
      </c>
      <c r="C1440" s="17" t="s">
        <v>6902</v>
      </c>
      <c r="D1440" s="18">
        <v>42.44</v>
      </c>
      <c r="E1440" s="18">
        <v>59.42</v>
      </c>
      <c r="F1440" s="18">
        <v>12.0</v>
      </c>
    </row>
    <row r="1441">
      <c r="A1441" s="15">
        <v>40.0</v>
      </c>
      <c r="B1441" s="16" t="s">
        <v>6896</v>
      </c>
      <c r="C1441" s="17" t="s">
        <v>6376</v>
      </c>
      <c r="D1441" s="18">
        <v>114.37</v>
      </c>
      <c r="E1441" s="18">
        <v>160.12</v>
      </c>
      <c r="F1441" s="18">
        <v>12.0</v>
      </c>
    </row>
    <row r="1442">
      <c r="A1442" s="15">
        <v>41.0</v>
      </c>
      <c r="B1442" s="16" t="s">
        <v>6896</v>
      </c>
      <c r="C1442" s="17" t="s">
        <v>6712</v>
      </c>
      <c r="D1442" s="18">
        <v>155.57</v>
      </c>
      <c r="E1442" s="18">
        <v>217.8</v>
      </c>
      <c r="F1442" s="18">
        <v>12.0</v>
      </c>
    </row>
    <row r="1443">
      <c r="A1443" s="15">
        <v>42.0</v>
      </c>
      <c r="B1443" s="16" t="s">
        <v>6903</v>
      </c>
      <c r="C1443" s="17" t="s">
        <v>6604</v>
      </c>
      <c r="D1443" s="18">
        <v>31.82</v>
      </c>
      <c r="E1443" s="18">
        <v>44.55</v>
      </c>
      <c r="F1443" s="18">
        <v>12.0</v>
      </c>
    </row>
    <row r="1444">
      <c r="A1444" s="15">
        <v>43.0</v>
      </c>
      <c r="B1444" s="16" t="s">
        <v>6903</v>
      </c>
      <c r="C1444" s="17" t="s">
        <v>6904</v>
      </c>
      <c r="D1444" s="18">
        <v>36.3</v>
      </c>
      <c r="E1444" s="18">
        <v>46.2</v>
      </c>
      <c r="F1444" s="18">
        <v>12.0</v>
      </c>
    </row>
    <row r="1445">
      <c r="A1445" s="15">
        <v>44.0</v>
      </c>
      <c r="B1445" s="16" t="s">
        <v>6905</v>
      </c>
      <c r="C1445" s="17" t="s">
        <v>5546</v>
      </c>
      <c r="D1445" s="18">
        <v>38.2</v>
      </c>
      <c r="E1445" s="18">
        <v>53.0</v>
      </c>
      <c r="F1445" s="18">
        <v>12.0</v>
      </c>
    </row>
    <row r="1446">
      <c r="A1446" s="15">
        <v>45.0</v>
      </c>
      <c r="B1446" s="16" t="s">
        <v>6906</v>
      </c>
      <c r="C1446" s="17" t="s">
        <v>6907</v>
      </c>
      <c r="D1446" s="18">
        <v>25.14</v>
      </c>
      <c r="E1446" s="18">
        <v>33.0</v>
      </c>
      <c r="F1446" s="18">
        <v>5.0</v>
      </c>
    </row>
    <row r="1447">
      <c r="A1447" s="15">
        <v>46.0</v>
      </c>
      <c r="B1447" s="16" t="s">
        <v>6906</v>
      </c>
      <c r="C1447" s="17" t="s">
        <v>6908</v>
      </c>
      <c r="D1447" s="18">
        <v>28.92</v>
      </c>
      <c r="E1447" s="18">
        <v>37.95</v>
      </c>
      <c r="F1447" s="18">
        <v>5.0</v>
      </c>
    </row>
    <row r="1448">
      <c r="A1448" s="15">
        <v>47.0</v>
      </c>
      <c r="B1448" s="16" t="s">
        <v>6906</v>
      </c>
      <c r="C1448" s="17" t="s">
        <v>6909</v>
      </c>
      <c r="D1448" s="18">
        <v>92.19</v>
      </c>
      <c r="E1448" s="18">
        <v>121.0</v>
      </c>
      <c r="F1448" s="18">
        <v>5.0</v>
      </c>
    </row>
    <row r="1449">
      <c r="A1449" s="15">
        <v>48.0</v>
      </c>
      <c r="B1449" s="16" t="s">
        <v>6910</v>
      </c>
      <c r="C1449" s="17" t="s">
        <v>5636</v>
      </c>
      <c r="D1449" s="18">
        <v>31.32</v>
      </c>
      <c r="E1449" s="18">
        <v>43.0</v>
      </c>
      <c r="F1449" s="18">
        <v>12.0</v>
      </c>
    </row>
    <row r="1450">
      <c r="A1450" s="15">
        <v>49.0</v>
      </c>
      <c r="B1450" s="16" t="s">
        <v>6911</v>
      </c>
      <c r="C1450" s="17" t="s">
        <v>5636</v>
      </c>
      <c r="D1450" s="18">
        <v>35.66</v>
      </c>
      <c r="E1450" s="18">
        <v>49.5</v>
      </c>
      <c r="F1450" s="18">
        <v>12.0</v>
      </c>
    </row>
    <row r="1451">
      <c r="A1451" s="15">
        <v>50.0</v>
      </c>
      <c r="B1451" s="16" t="s">
        <v>1169</v>
      </c>
      <c r="C1451" s="16" t="s">
        <v>5558</v>
      </c>
      <c r="D1451" s="18">
        <v>24.76</v>
      </c>
      <c r="E1451" s="18">
        <v>34.0</v>
      </c>
      <c r="F1451" s="18">
        <v>12.0</v>
      </c>
    </row>
    <row r="1452">
      <c r="A1452" s="15">
        <v>51.0</v>
      </c>
      <c r="B1452" s="16" t="s">
        <v>6912</v>
      </c>
      <c r="C1452" s="17" t="s">
        <v>6913</v>
      </c>
      <c r="D1452" s="18">
        <v>33.43</v>
      </c>
      <c r="E1452" s="18">
        <v>46.8</v>
      </c>
      <c r="F1452" s="18">
        <v>12.0</v>
      </c>
    </row>
    <row r="1453">
      <c r="A1453" s="15">
        <v>52.0</v>
      </c>
      <c r="B1453" s="16" t="s">
        <v>6914</v>
      </c>
      <c r="C1453" s="17" t="s">
        <v>5562</v>
      </c>
      <c r="D1453" s="18">
        <v>73.88</v>
      </c>
      <c r="E1453" s="18">
        <v>102.5</v>
      </c>
      <c r="F1453" s="18">
        <v>12.0</v>
      </c>
    </row>
    <row r="1454">
      <c r="A1454" s="15">
        <v>53.0</v>
      </c>
      <c r="B1454" s="16" t="s">
        <v>6914</v>
      </c>
      <c r="C1454" s="17" t="s">
        <v>6363</v>
      </c>
      <c r="D1454" s="18">
        <v>139.12</v>
      </c>
      <c r="E1454" s="18">
        <v>194.77</v>
      </c>
      <c r="F1454" s="18">
        <v>12.0</v>
      </c>
    </row>
    <row r="1455">
      <c r="A1455" s="15">
        <v>54.0</v>
      </c>
      <c r="B1455" s="16" t="s">
        <v>6915</v>
      </c>
      <c r="C1455" s="17" t="s">
        <v>6916</v>
      </c>
      <c r="D1455" s="18">
        <v>68.48</v>
      </c>
      <c r="E1455" s="18">
        <v>95.0</v>
      </c>
      <c r="F1455" s="18">
        <v>12.0</v>
      </c>
    </row>
    <row r="1456">
      <c r="A1456" s="15">
        <v>55.0</v>
      </c>
      <c r="B1456" s="16" t="s">
        <v>1173</v>
      </c>
      <c r="C1456" s="16" t="s">
        <v>5558</v>
      </c>
      <c r="D1456" s="18">
        <v>74.25</v>
      </c>
      <c r="E1456" s="18">
        <v>103.0</v>
      </c>
      <c r="F1456" s="18">
        <v>12.0</v>
      </c>
    </row>
    <row r="1457">
      <c r="A1457" s="15">
        <v>56.0</v>
      </c>
      <c r="B1457" s="16" t="s">
        <v>1173</v>
      </c>
      <c r="C1457" s="16" t="s">
        <v>5544</v>
      </c>
      <c r="D1457" s="18">
        <v>133.47</v>
      </c>
      <c r="E1457" s="18">
        <v>186.86</v>
      </c>
      <c r="F1457" s="18">
        <v>12.0</v>
      </c>
    </row>
    <row r="1458">
      <c r="A1458" s="15">
        <v>57.0</v>
      </c>
      <c r="B1458" s="16" t="s">
        <v>6917</v>
      </c>
      <c r="C1458" s="17" t="s">
        <v>6918</v>
      </c>
      <c r="D1458" s="18">
        <v>248.93</v>
      </c>
      <c r="E1458" s="18">
        <v>348.5</v>
      </c>
      <c r="F1458" s="18">
        <v>12.0</v>
      </c>
    </row>
    <row r="1459">
      <c r="A1459" s="15">
        <v>58.0</v>
      </c>
      <c r="B1459" s="16" t="s">
        <v>6919</v>
      </c>
      <c r="C1459" s="17" t="s">
        <v>6920</v>
      </c>
      <c r="D1459" s="18">
        <v>157.14</v>
      </c>
      <c r="E1459" s="18">
        <v>220.0</v>
      </c>
      <c r="F1459" s="18">
        <v>12.0</v>
      </c>
    </row>
    <row r="1460">
      <c r="A1460" s="15">
        <v>59.0</v>
      </c>
      <c r="B1460" s="16" t="s">
        <v>6919</v>
      </c>
      <c r="C1460" s="17" t="s">
        <v>6921</v>
      </c>
      <c r="D1460" s="18">
        <v>29.86</v>
      </c>
      <c r="E1460" s="18">
        <v>41.8</v>
      </c>
      <c r="F1460" s="18">
        <v>12.0</v>
      </c>
    </row>
    <row r="1461">
      <c r="A1461" s="15">
        <v>60.0</v>
      </c>
      <c r="B1461" s="16" t="s">
        <v>6922</v>
      </c>
      <c r="C1461" s="17" t="s">
        <v>6923</v>
      </c>
      <c r="D1461" s="18">
        <v>58.57</v>
      </c>
      <c r="E1461" s="18">
        <v>82.0</v>
      </c>
      <c r="F1461" s="18">
        <v>12.0</v>
      </c>
    </row>
    <row r="1462">
      <c r="A1462" s="15">
        <v>61.0</v>
      </c>
      <c r="B1462" s="16" t="s">
        <v>6922</v>
      </c>
      <c r="C1462" s="17" t="s">
        <v>6924</v>
      </c>
      <c r="D1462" s="18">
        <v>142.86</v>
      </c>
      <c r="E1462" s="18">
        <v>200.0</v>
      </c>
      <c r="F1462" s="18">
        <v>12.0</v>
      </c>
    </row>
    <row r="1463">
      <c r="A1463" s="15">
        <v>62.0</v>
      </c>
      <c r="B1463" s="16" t="s">
        <v>6925</v>
      </c>
      <c r="C1463" s="17" t="s">
        <v>6762</v>
      </c>
      <c r="D1463" s="18">
        <v>30.0</v>
      </c>
      <c r="E1463" s="18">
        <v>42.0</v>
      </c>
      <c r="F1463" s="18">
        <v>12.0</v>
      </c>
    </row>
    <row r="1464">
      <c r="A1464" s="15">
        <v>63.0</v>
      </c>
      <c r="B1464" s="16" t="s">
        <v>6429</v>
      </c>
      <c r="C1464" s="17" t="s">
        <v>6390</v>
      </c>
      <c r="D1464" s="18">
        <v>51.75</v>
      </c>
      <c r="E1464" s="18">
        <v>72.45</v>
      </c>
      <c r="F1464" s="18">
        <v>12.0</v>
      </c>
    </row>
    <row r="1465">
      <c r="A1465" s="15">
        <v>64.0</v>
      </c>
      <c r="B1465" s="16" t="s">
        <v>6926</v>
      </c>
      <c r="C1465" s="17" t="s">
        <v>6390</v>
      </c>
      <c r="D1465" s="18">
        <v>72.06</v>
      </c>
      <c r="E1465" s="18">
        <v>100.89</v>
      </c>
      <c r="F1465" s="18">
        <v>12.0</v>
      </c>
    </row>
    <row r="1466">
      <c r="A1466" s="6"/>
      <c r="B1466" s="7"/>
      <c r="C1466" s="7"/>
      <c r="D1466" s="7"/>
      <c r="E1466" s="7"/>
      <c r="F1466" s="8"/>
    </row>
    <row r="1467">
      <c r="A1467" s="9" t="s">
        <v>6927</v>
      </c>
      <c r="B1467" s="10"/>
      <c r="C1467" s="10"/>
      <c r="D1467" s="10"/>
      <c r="E1467" s="10"/>
      <c r="F1467" s="10"/>
    </row>
    <row r="1468">
      <c r="A1468" s="11">
        <v>1.0</v>
      </c>
      <c r="B1468" s="12" t="s">
        <v>6928</v>
      </c>
      <c r="C1468" s="13" t="s">
        <v>5636</v>
      </c>
      <c r="D1468" s="14">
        <v>220.71</v>
      </c>
      <c r="E1468" s="14">
        <v>309.0</v>
      </c>
      <c r="F1468" s="14">
        <v>12.0</v>
      </c>
    </row>
    <row r="1469">
      <c r="A1469" s="15">
        <v>2.0</v>
      </c>
      <c r="B1469" s="16" t="s">
        <v>6929</v>
      </c>
      <c r="C1469" s="17" t="s">
        <v>6930</v>
      </c>
      <c r="D1469" s="18">
        <v>855.0</v>
      </c>
      <c r="E1469" s="18">
        <v>1197.0</v>
      </c>
      <c r="F1469" s="18">
        <v>12.0</v>
      </c>
    </row>
    <row r="1470">
      <c r="A1470" s="15">
        <v>3.0</v>
      </c>
      <c r="B1470" s="16" t="s">
        <v>6929</v>
      </c>
      <c r="C1470" s="17" t="s">
        <v>6931</v>
      </c>
      <c r="D1470" s="18">
        <v>598.89</v>
      </c>
      <c r="E1470" s="18">
        <v>838.44</v>
      </c>
      <c r="F1470" s="18">
        <v>12.0</v>
      </c>
    </row>
    <row r="1471">
      <c r="A1471" s="15">
        <v>4.0</v>
      </c>
      <c r="B1471" s="16" t="s">
        <v>6932</v>
      </c>
      <c r="C1471" s="17" t="s">
        <v>5923</v>
      </c>
      <c r="D1471" s="18">
        <v>396.43</v>
      </c>
      <c r="E1471" s="18">
        <v>555.0</v>
      </c>
      <c r="F1471" s="18">
        <v>12.0</v>
      </c>
    </row>
    <row r="1472">
      <c r="A1472" s="15">
        <v>5.0</v>
      </c>
      <c r="B1472" s="16" t="s">
        <v>6932</v>
      </c>
      <c r="C1472" s="17" t="s">
        <v>5603</v>
      </c>
      <c r="D1472" s="18">
        <v>247.97</v>
      </c>
      <c r="E1472" s="18">
        <v>347.16</v>
      </c>
      <c r="F1472" s="18">
        <v>12.0</v>
      </c>
    </row>
    <row r="1473">
      <c r="A1473" s="15">
        <v>6.0</v>
      </c>
      <c r="B1473" s="16" t="s">
        <v>6933</v>
      </c>
      <c r="C1473" s="17" t="s">
        <v>5636</v>
      </c>
      <c r="D1473" s="18">
        <v>347.06</v>
      </c>
      <c r="E1473" s="18">
        <v>485.88</v>
      </c>
      <c r="F1473" s="18">
        <v>12.0</v>
      </c>
    </row>
    <row r="1474">
      <c r="A1474" s="6"/>
      <c r="B1474" s="7"/>
      <c r="C1474" s="7"/>
      <c r="D1474" s="7"/>
      <c r="E1474" s="7"/>
      <c r="F1474" s="8"/>
    </row>
    <row r="1475">
      <c r="A1475" s="9" t="s">
        <v>6934</v>
      </c>
      <c r="B1475" s="10"/>
      <c r="C1475" s="10"/>
      <c r="D1475" s="10"/>
      <c r="E1475" s="10"/>
      <c r="F1475" s="10"/>
    </row>
    <row r="1476">
      <c r="A1476" s="6"/>
      <c r="B1476" s="7"/>
      <c r="C1476" s="7"/>
      <c r="D1476" s="7"/>
      <c r="E1476" s="7"/>
      <c r="F1476" s="8"/>
    </row>
    <row r="1477">
      <c r="A1477" s="9" t="s">
        <v>6935</v>
      </c>
      <c r="B1477" s="10"/>
      <c r="C1477" s="10"/>
      <c r="D1477" s="10"/>
      <c r="E1477" s="10"/>
      <c r="F1477" s="10"/>
    </row>
    <row r="1478">
      <c r="A1478" s="6"/>
      <c r="B1478" s="7"/>
      <c r="C1478" s="7"/>
      <c r="D1478" s="7"/>
      <c r="E1478" s="7"/>
      <c r="F1478" s="8"/>
    </row>
    <row r="1479">
      <c r="A1479" s="9" t="s">
        <v>6936</v>
      </c>
      <c r="B1479" s="10"/>
      <c r="C1479" s="10"/>
      <c r="D1479" s="10"/>
      <c r="E1479" s="10"/>
      <c r="F1479" s="10"/>
    </row>
    <row r="1480">
      <c r="A1480" s="11">
        <v>1.0</v>
      </c>
      <c r="B1480" s="12" t="s">
        <v>6937</v>
      </c>
      <c r="C1480" s="13" t="s">
        <v>5536</v>
      </c>
      <c r="D1480" s="14">
        <v>140.61</v>
      </c>
      <c r="E1480" s="14">
        <v>196.86</v>
      </c>
      <c r="F1480" s="14">
        <v>12.0</v>
      </c>
    </row>
    <row r="1481">
      <c r="A1481" s="15">
        <v>2.0</v>
      </c>
      <c r="B1481" s="16" t="s">
        <v>1191</v>
      </c>
      <c r="C1481" s="16" t="s">
        <v>5679</v>
      </c>
      <c r="D1481" s="18">
        <v>449.43</v>
      </c>
      <c r="E1481" s="18">
        <v>629.2</v>
      </c>
      <c r="F1481" s="18">
        <v>12.0</v>
      </c>
    </row>
    <row r="1482">
      <c r="A1482" s="15">
        <v>3.0</v>
      </c>
      <c r="B1482" s="16" t="s">
        <v>6938</v>
      </c>
      <c r="C1482" s="17" t="s">
        <v>6678</v>
      </c>
      <c r="D1482" s="18">
        <v>260.87</v>
      </c>
      <c r="E1482" s="18">
        <v>365.22</v>
      </c>
      <c r="F1482" s="18">
        <v>12.0</v>
      </c>
    </row>
    <row r="1483">
      <c r="A1483" s="15">
        <v>4.0</v>
      </c>
      <c r="B1483" s="16" t="s">
        <v>6939</v>
      </c>
      <c r="C1483" s="17" t="s">
        <v>6940</v>
      </c>
      <c r="D1483" s="18">
        <v>228.17</v>
      </c>
      <c r="E1483" s="18">
        <v>319.44</v>
      </c>
      <c r="F1483" s="18">
        <v>12.0</v>
      </c>
    </row>
    <row r="1484">
      <c r="A1484" s="15">
        <v>5.0</v>
      </c>
      <c r="B1484" s="16" t="s">
        <v>6941</v>
      </c>
      <c r="C1484" s="17" t="s">
        <v>6678</v>
      </c>
      <c r="D1484" s="18">
        <v>295.87</v>
      </c>
      <c r="E1484" s="18">
        <v>394.5</v>
      </c>
      <c r="F1484" s="18">
        <v>12.0</v>
      </c>
    </row>
    <row r="1485">
      <c r="A1485" s="15">
        <v>6.0</v>
      </c>
      <c r="B1485" s="16" t="s">
        <v>6942</v>
      </c>
      <c r="C1485" s="17" t="s">
        <v>6943</v>
      </c>
      <c r="D1485" s="18">
        <v>289.16</v>
      </c>
      <c r="E1485" s="18">
        <v>404.82</v>
      </c>
      <c r="F1485" s="18">
        <v>12.0</v>
      </c>
    </row>
    <row r="1486">
      <c r="A1486" s="15">
        <v>7.0</v>
      </c>
      <c r="B1486" s="16" t="s">
        <v>6944</v>
      </c>
      <c r="C1486" s="17" t="s">
        <v>5636</v>
      </c>
      <c r="D1486" s="18">
        <v>47.93</v>
      </c>
      <c r="E1486" s="18">
        <v>67.1</v>
      </c>
      <c r="F1486" s="18">
        <v>12.0</v>
      </c>
    </row>
    <row r="1487">
      <c r="A1487" s="15">
        <v>8.0</v>
      </c>
      <c r="B1487" s="16" t="s">
        <v>1197</v>
      </c>
      <c r="C1487" s="16" t="s">
        <v>5558</v>
      </c>
      <c r="D1487" s="18">
        <v>47.54</v>
      </c>
      <c r="E1487" s="18">
        <v>66.55</v>
      </c>
      <c r="F1487" s="18">
        <v>12.0</v>
      </c>
    </row>
    <row r="1488">
      <c r="A1488" s="15">
        <v>9.0</v>
      </c>
      <c r="B1488" s="16" t="s">
        <v>6945</v>
      </c>
      <c r="C1488" s="17" t="s">
        <v>6946</v>
      </c>
      <c r="D1488" s="18">
        <v>256.69</v>
      </c>
      <c r="E1488" s="18">
        <v>359.37</v>
      </c>
      <c r="F1488" s="18">
        <v>12.0</v>
      </c>
    </row>
    <row r="1489">
      <c r="A1489" s="15">
        <v>10.0</v>
      </c>
      <c r="B1489" s="16" t="s">
        <v>6947</v>
      </c>
      <c r="C1489" s="17" t="s">
        <v>6948</v>
      </c>
      <c r="D1489" s="18">
        <v>11.66</v>
      </c>
      <c r="E1489" s="18">
        <v>16.33</v>
      </c>
      <c r="F1489" s="18">
        <v>12.0</v>
      </c>
    </row>
    <row r="1490">
      <c r="A1490" s="15">
        <v>11.0</v>
      </c>
      <c r="B1490" s="16" t="s">
        <v>6947</v>
      </c>
      <c r="C1490" s="17" t="s">
        <v>6949</v>
      </c>
      <c r="D1490" s="18">
        <v>236.43</v>
      </c>
      <c r="E1490" s="18">
        <v>331.0</v>
      </c>
      <c r="F1490" s="18">
        <v>12.0</v>
      </c>
    </row>
    <row r="1491">
      <c r="A1491" s="15">
        <v>12.0</v>
      </c>
      <c r="B1491" s="16" t="s">
        <v>6950</v>
      </c>
      <c r="C1491" s="17" t="s">
        <v>5636</v>
      </c>
      <c r="D1491" s="18">
        <v>292.86</v>
      </c>
      <c r="E1491" s="18">
        <v>410.0</v>
      </c>
      <c r="F1491" s="18">
        <v>12.0</v>
      </c>
    </row>
    <row r="1492">
      <c r="A1492" s="15">
        <v>13.0</v>
      </c>
      <c r="B1492" s="16" t="s">
        <v>6951</v>
      </c>
      <c r="C1492" s="17" t="s">
        <v>6952</v>
      </c>
      <c r="D1492" s="18">
        <v>957.15</v>
      </c>
      <c r="E1492" s="18">
        <v>1340.0</v>
      </c>
      <c r="F1492" s="18">
        <v>12.0</v>
      </c>
    </row>
    <row r="1493">
      <c r="A1493" s="6"/>
      <c r="B1493" s="7"/>
      <c r="C1493" s="7"/>
      <c r="D1493" s="7"/>
      <c r="E1493" s="7"/>
      <c r="F1493" s="8"/>
    </row>
    <row r="1494">
      <c r="A1494" s="9" t="s">
        <v>6953</v>
      </c>
      <c r="B1494" s="10"/>
      <c r="C1494" s="10"/>
      <c r="D1494" s="10"/>
      <c r="E1494" s="10"/>
      <c r="F1494" s="10"/>
    </row>
    <row r="1495">
      <c r="A1495" s="11">
        <v>1.0</v>
      </c>
      <c r="B1495" s="12" t="s">
        <v>6954</v>
      </c>
      <c r="C1495" s="13" t="s">
        <v>6955</v>
      </c>
      <c r="D1495" s="14">
        <v>267.14</v>
      </c>
      <c r="E1495" s="14">
        <v>374.0</v>
      </c>
      <c r="F1495" s="14">
        <v>12.0</v>
      </c>
    </row>
    <row r="1496">
      <c r="A1496" s="15">
        <v>2.0</v>
      </c>
      <c r="B1496" s="16" t="s">
        <v>6954</v>
      </c>
      <c r="C1496" s="17" t="s">
        <v>6956</v>
      </c>
      <c r="D1496" s="18">
        <v>57.14</v>
      </c>
      <c r="E1496" s="18">
        <v>80.0</v>
      </c>
      <c r="F1496" s="18">
        <v>12.0</v>
      </c>
    </row>
    <row r="1497">
      <c r="A1497" s="15">
        <v>3.0</v>
      </c>
      <c r="B1497" s="16" t="s">
        <v>6957</v>
      </c>
      <c r="C1497" s="17" t="s">
        <v>6956</v>
      </c>
      <c r="D1497" s="18">
        <v>70.71</v>
      </c>
      <c r="E1497" s="18">
        <v>99.0</v>
      </c>
      <c r="F1497" s="18">
        <v>12.0</v>
      </c>
    </row>
    <row r="1498">
      <c r="A1498" s="15">
        <v>4.0</v>
      </c>
      <c r="B1498" s="16" t="s">
        <v>6958</v>
      </c>
      <c r="C1498" s="17" t="s">
        <v>6959</v>
      </c>
      <c r="D1498" s="18">
        <v>51.43</v>
      </c>
      <c r="E1498" s="18">
        <v>72.0</v>
      </c>
      <c r="F1498" s="18">
        <v>12.0</v>
      </c>
    </row>
    <row r="1499">
      <c r="A1499" s="15">
        <v>5.0</v>
      </c>
      <c r="B1499" s="16" t="s">
        <v>6958</v>
      </c>
      <c r="C1499" s="17" t="s">
        <v>6960</v>
      </c>
      <c r="D1499" s="18">
        <v>69.11</v>
      </c>
      <c r="E1499" s="18">
        <v>96.76</v>
      </c>
      <c r="F1499" s="18">
        <v>12.0</v>
      </c>
    </row>
    <row r="1500">
      <c r="A1500" s="15">
        <v>6.0</v>
      </c>
      <c r="B1500" s="16" t="s">
        <v>6958</v>
      </c>
      <c r="C1500" s="17" t="s">
        <v>6961</v>
      </c>
      <c r="D1500" s="18">
        <v>117.41</v>
      </c>
      <c r="E1500" s="18">
        <v>164.37</v>
      </c>
      <c r="F1500" s="18">
        <v>12.0</v>
      </c>
    </row>
    <row r="1501">
      <c r="A1501" s="6"/>
      <c r="B1501" s="7"/>
      <c r="C1501" s="7"/>
      <c r="D1501" s="7"/>
      <c r="E1501" s="8"/>
      <c r="F1501" s="16" t="s">
        <v>6962</v>
      </c>
    </row>
    <row r="1502">
      <c r="A1502" s="6"/>
      <c r="B1502" s="7"/>
      <c r="C1502" s="7"/>
      <c r="D1502" s="7"/>
      <c r="E1502" s="7"/>
      <c r="F1502" s="8"/>
    </row>
    <row r="1503">
      <c r="A1503" s="6"/>
      <c r="B1503" s="7"/>
      <c r="C1503" s="7"/>
      <c r="D1503" s="7"/>
      <c r="E1503" s="7"/>
      <c r="F1503" s="8"/>
    </row>
    <row r="1504">
      <c r="A1504" s="6"/>
      <c r="B1504" s="7"/>
      <c r="C1504" s="7"/>
      <c r="D1504" s="7"/>
      <c r="E1504" s="7"/>
      <c r="F1504" s="8"/>
    </row>
    <row r="1505">
      <c r="A1505" s="6"/>
      <c r="B1505" s="7"/>
      <c r="C1505" s="7"/>
      <c r="D1505" s="7"/>
      <c r="E1505" s="7"/>
      <c r="F1505" s="8"/>
    </row>
    <row r="1506">
      <c r="A1506" s="9" t="s">
        <v>5582</v>
      </c>
      <c r="B1506" s="10"/>
      <c r="C1506" s="10"/>
      <c r="D1506" s="10"/>
      <c r="E1506" s="10"/>
      <c r="F1506" s="10"/>
    </row>
    <row r="1507">
      <c r="A1507" s="19" t="s">
        <v>5583</v>
      </c>
    </row>
    <row r="1508">
      <c r="A1508" s="6"/>
      <c r="B1508" s="7"/>
      <c r="C1508" s="7"/>
      <c r="D1508" s="8"/>
      <c r="E1508" s="12" t="s">
        <v>5584</v>
      </c>
      <c r="F1508" s="12" t="s">
        <v>6963</v>
      </c>
    </row>
    <row r="1509">
      <c r="A1509" s="20" t="s">
        <v>5522</v>
      </c>
      <c r="B1509" s="16" t="s">
        <v>5523</v>
      </c>
      <c r="C1509" s="16" t="s">
        <v>5524</v>
      </c>
      <c r="D1509" s="16" t="s">
        <v>5525</v>
      </c>
      <c r="E1509" s="16" t="s">
        <v>5526</v>
      </c>
      <c r="F1509" s="16" t="s">
        <v>5586</v>
      </c>
    </row>
    <row r="1510">
      <c r="A1510" s="15">
        <v>7.0</v>
      </c>
      <c r="B1510" s="16" t="s">
        <v>6964</v>
      </c>
      <c r="C1510" s="16" t="s">
        <v>6965</v>
      </c>
      <c r="D1510" s="18">
        <v>97.83</v>
      </c>
      <c r="E1510" s="18">
        <v>136.96</v>
      </c>
      <c r="F1510" s="18">
        <v>12.0</v>
      </c>
    </row>
    <row r="1511">
      <c r="A1511" s="15">
        <v>8.0</v>
      </c>
      <c r="B1511" s="16" t="s">
        <v>6966</v>
      </c>
      <c r="C1511" s="17" t="s">
        <v>6967</v>
      </c>
      <c r="D1511" s="18">
        <v>55.74</v>
      </c>
      <c r="E1511" s="18">
        <v>78.04</v>
      </c>
      <c r="F1511" s="18">
        <v>12.0</v>
      </c>
    </row>
    <row r="1512">
      <c r="A1512" s="15">
        <v>9.0</v>
      </c>
      <c r="B1512" s="16" t="s">
        <v>6968</v>
      </c>
      <c r="C1512" s="17" t="s">
        <v>6969</v>
      </c>
      <c r="D1512" s="18">
        <v>119.52</v>
      </c>
      <c r="E1512" s="18">
        <v>162.5</v>
      </c>
      <c r="F1512" s="18">
        <v>12.0</v>
      </c>
    </row>
    <row r="1513">
      <c r="A1513" s="15">
        <v>10.0</v>
      </c>
      <c r="B1513" s="16" t="s">
        <v>6968</v>
      </c>
      <c r="C1513" s="17" t="s">
        <v>6967</v>
      </c>
      <c r="D1513" s="18">
        <v>78.43</v>
      </c>
      <c r="E1513" s="18">
        <v>109.8</v>
      </c>
      <c r="F1513" s="18">
        <v>12.0</v>
      </c>
    </row>
    <row r="1514">
      <c r="A1514" s="6"/>
      <c r="B1514" s="7"/>
      <c r="C1514" s="7"/>
      <c r="D1514" s="7"/>
      <c r="E1514" s="7"/>
      <c r="F1514" s="8"/>
    </row>
    <row r="1515">
      <c r="A1515" s="9" t="s">
        <v>6970</v>
      </c>
      <c r="B1515" s="10"/>
      <c r="C1515" s="10"/>
      <c r="D1515" s="10"/>
      <c r="E1515" s="10"/>
      <c r="F1515" s="10"/>
    </row>
    <row r="1516">
      <c r="A1516" s="11">
        <v>1.0</v>
      </c>
      <c r="B1516" s="12" t="s">
        <v>6971</v>
      </c>
      <c r="C1516" s="13" t="s">
        <v>6972</v>
      </c>
      <c r="D1516" s="14">
        <v>391.87</v>
      </c>
      <c r="E1516" s="14">
        <v>548.62</v>
      </c>
      <c r="F1516" s="14">
        <v>12.0</v>
      </c>
    </row>
    <row r="1517">
      <c r="A1517" s="15">
        <v>2.0</v>
      </c>
      <c r="B1517" s="16" t="s">
        <v>6971</v>
      </c>
      <c r="C1517" s="17" t="s">
        <v>6973</v>
      </c>
      <c r="D1517" s="18">
        <v>161.86</v>
      </c>
      <c r="E1517" s="18">
        <v>226.6</v>
      </c>
      <c r="F1517" s="18">
        <v>12.0</v>
      </c>
    </row>
    <row r="1518">
      <c r="A1518" s="15">
        <v>3.0</v>
      </c>
      <c r="B1518" s="16" t="s">
        <v>6974</v>
      </c>
      <c r="C1518" s="17" t="s">
        <v>5562</v>
      </c>
      <c r="D1518" s="18">
        <v>229.29</v>
      </c>
      <c r="E1518" s="18">
        <v>321.0</v>
      </c>
      <c r="F1518" s="18">
        <v>12.0</v>
      </c>
    </row>
    <row r="1519">
      <c r="A1519" s="15">
        <v>4.0</v>
      </c>
      <c r="B1519" s="16" t="s">
        <v>6407</v>
      </c>
      <c r="C1519" s="17" t="s">
        <v>6969</v>
      </c>
      <c r="D1519" s="18">
        <v>137.85</v>
      </c>
      <c r="E1519" s="18">
        <v>192.99</v>
      </c>
      <c r="F1519" s="18">
        <v>12.0</v>
      </c>
    </row>
    <row r="1520">
      <c r="A1520" s="15">
        <v>5.0</v>
      </c>
      <c r="B1520" s="16" t="s">
        <v>6407</v>
      </c>
      <c r="C1520" s="17" t="s">
        <v>6967</v>
      </c>
      <c r="D1520" s="18">
        <v>19.83</v>
      </c>
      <c r="E1520" s="18">
        <v>27.76</v>
      </c>
      <c r="F1520" s="18">
        <v>12.0</v>
      </c>
    </row>
    <row r="1521">
      <c r="A1521" s="15">
        <v>6.0</v>
      </c>
      <c r="B1521" s="16" t="s">
        <v>6975</v>
      </c>
      <c r="C1521" s="17" t="s">
        <v>6956</v>
      </c>
      <c r="D1521" s="18">
        <v>144.18</v>
      </c>
      <c r="E1521" s="18">
        <v>201.85</v>
      </c>
      <c r="F1521" s="18">
        <v>12.0</v>
      </c>
    </row>
    <row r="1522">
      <c r="A1522" s="15">
        <v>7.0</v>
      </c>
      <c r="B1522" s="16" t="s">
        <v>6976</v>
      </c>
      <c r="C1522" s="17" t="s">
        <v>6972</v>
      </c>
      <c r="D1522" s="18">
        <v>269.41</v>
      </c>
      <c r="E1522" s="18">
        <v>370.0</v>
      </c>
      <c r="F1522" s="18">
        <v>12.0</v>
      </c>
    </row>
    <row r="1523">
      <c r="A1523" s="15">
        <v>8.0</v>
      </c>
      <c r="B1523" s="16" t="s">
        <v>6977</v>
      </c>
      <c r="C1523" s="17" t="s">
        <v>6972</v>
      </c>
      <c r="D1523" s="18">
        <v>462.82</v>
      </c>
      <c r="E1523" s="18">
        <v>647.95</v>
      </c>
      <c r="F1523" s="18">
        <v>12.0</v>
      </c>
    </row>
    <row r="1524">
      <c r="A1524" s="15">
        <v>9.0</v>
      </c>
      <c r="B1524" s="16" t="s">
        <v>6977</v>
      </c>
      <c r="C1524" s="17" t="s">
        <v>6956</v>
      </c>
      <c r="D1524" s="18">
        <v>254.53</v>
      </c>
      <c r="E1524" s="18">
        <v>356.34</v>
      </c>
      <c r="F1524" s="18">
        <v>12.0</v>
      </c>
    </row>
    <row r="1525">
      <c r="A1525" s="15">
        <v>10.0</v>
      </c>
      <c r="B1525" s="16" t="s">
        <v>6978</v>
      </c>
      <c r="C1525" s="17" t="s">
        <v>6979</v>
      </c>
      <c r="D1525" s="18">
        <v>323.67</v>
      </c>
      <c r="E1525" s="18">
        <v>453.14</v>
      </c>
      <c r="F1525" s="18">
        <v>12.0</v>
      </c>
    </row>
    <row r="1526">
      <c r="A1526" s="15">
        <v>11.0</v>
      </c>
      <c r="B1526" s="16" t="s">
        <v>6980</v>
      </c>
      <c r="C1526" s="17" t="s">
        <v>6981</v>
      </c>
      <c r="D1526" s="18">
        <v>207.14</v>
      </c>
      <c r="E1526" s="18">
        <v>290.0</v>
      </c>
      <c r="F1526" s="18">
        <v>12.0</v>
      </c>
    </row>
    <row r="1527">
      <c r="A1527" s="15">
        <v>12.0</v>
      </c>
      <c r="B1527" s="16" t="s">
        <v>6982</v>
      </c>
      <c r="C1527" s="17" t="s">
        <v>5536</v>
      </c>
      <c r="D1527" s="18">
        <v>78.24</v>
      </c>
      <c r="E1527" s="18">
        <v>109.53</v>
      </c>
      <c r="F1527" s="18">
        <v>12.0</v>
      </c>
    </row>
    <row r="1528">
      <c r="A1528" s="15">
        <v>13.0</v>
      </c>
      <c r="B1528" s="16" t="s">
        <v>6983</v>
      </c>
      <c r="C1528" s="17" t="s">
        <v>5536</v>
      </c>
      <c r="D1528" s="18">
        <v>173.25</v>
      </c>
      <c r="E1528" s="18">
        <v>242.55</v>
      </c>
      <c r="F1528" s="18">
        <v>12.0</v>
      </c>
    </row>
    <row r="1529">
      <c r="A1529" s="15">
        <v>14.0</v>
      </c>
      <c r="B1529" s="16" t="s">
        <v>6984</v>
      </c>
      <c r="C1529" s="17" t="s">
        <v>5636</v>
      </c>
      <c r="D1529" s="18">
        <v>121.43</v>
      </c>
      <c r="E1529" s="18">
        <v>170.0</v>
      </c>
      <c r="F1529" s="18">
        <v>12.0</v>
      </c>
    </row>
    <row r="1530">
      <c r="A1530" s="15">
        <v>15.0</v>
      </c>
      <c r="B1530" s="16" t="s">
        <v>5953</v>
      </c>
      <c r="C1530" s="17" t="s">
        <v>6985</v>
      </c>
      <c r="D1530" s="18">
        <v>175.88</v>
      </c>
      <c r="E1530" s="18">
        <v>246.23</v>
      </c>
      <c r="F1530" s="18">
        <v>12.0</v>
      </c>
    </row>
    <row r="1531">
      <c r="A1531" s="15">
        <v>16.0</v>
      </c>
      <c r="B1531" s="16" t="s">
        <v>1228</v>
      </c>
      <c r="C1531" s="16" t="s">
        <v>6986</v>
      </c>
      <c r="D1531" s="18">
        <v>678.57</v>
      </c>
      <c r="E1531" s="18">
        <v>950.0</v>
      </c>
      <c r="F1531" s="18">
        <v>12.0</v>
      </c>
    </row>
    <row r="1532">
      <c r="A1532" s="15">
        <v>17.0</v>
      </c>
      <c r="B1532" s="16" t="s">
        <v>6511</v>
      </c>
      <c r="C1532" s="17" t="s">
        <v>6987</v>
      </c>
      <c r="D1532" s="18">
        <v>237.29</v>
      </c>
      <c r="E1532" s="18">
        <v>350.0</v>
      </c>
      <c r="F1532" s="18">
        <v>18.0</v>
      </c>
    </row>
    <row r="1533">
      <c r="A1533" s="15">
        <v>18.0</v>
      </c>
      <c r="B1533" s="16" t="s">
        <v>1230</v>
      </c>
      <c r="C1533" s="16" t="s">
        <v>5558</v>
      </c>
      <c r="D1533" s="18">
        <v>91.02</v>
      </c>
      <c r="E1533" s="18">
        <v>125.0</v>
      </c>
      <c r="F1533" s="18">
        <v>12.0</v>
      </c>
    </row>
    <row r="1534">
      <c r="A1534" s="15">
        <v>19.0</v>
      </c>
      <c r="B1534" s="16" t="s">
        <v>6988</v>
      </c>
      <c r="C1534" s="17" t="s">
        <v>6956</v>
      </c>
      <c r="D1534" s="18">
        <v>147.79</v>
      </c>
      <c r="E1534" s="18">
        <v>206.91</v>
      </c>
      <c r="F1534" s="18">
        <v>12.0</v>
      </c>
    </row>
    <row r="1535">
      <c r="A1535" s="15">
        <v>20.0</v>
      </c>
      <c r="B1535" s="16" t="s">
        <v>6989</v>
      </c>
      <c r="C1535" s="17" t="s">
        <v>6990</v>
      </c>
      <c r="D1535" s="18">
        <v>334.29</v>
      </c>
      <c r="E1535" s="18">
        <v>468.0</v>
      </c>
      <c r="F1535" s="18">
        <v>12.0</v>
      </c>
    </row>
    <row r="1536">
      <c r="A1536" s="15">
        <v>21.0</v>
      </c>
      <c r="B1536" s="16" t="s">
        <v>6989</v>
      </c>
      <c r="C1536" s="17" t="s">
        <v>6991</v>
      </c>
      <c r="D1536" s="18">
        <v>337.07</v>
      </c>
      <c r="E1536" s="18">
        <v>471.9</v>
      </c>
      <c r="F1536" s="18">
        <v>12.0</v>
      </c>
    </row>
    <row r="1537">
      <c r="A1537" s="15">
        <v>22.0</v>
      </c>
      <c r="B1537" s="16" t="s">
        <v>6989</v>
      </c>
      <c r="C1537" s="16" t="s">
        <v>6992</v>
      </c>
      <c r="D1537" s="18">
        <v>400.0</v>
      </c>
      <c r="E1537" s="18">
        <v>560.0</v>
      </c>
      <c r="F1537" s="18">
        <v>12.0</v>
      </c>
    </row>
    <row r="1538">
      <c r="A1538" s="15">
        <v>23.0</v>
      </c>
      <c r="B1538" s="16" t="s">
        <v>6993</v>
      </c>
      <c r="C1538" s="17" t="s">
        <v>6990</v>
      </c>
      <c r="D1538" s="18">
        <v>457.71</v>
      </c>
      <c r="E1538" s="18">
        <v>640.8</v>
      </c>
      <c r="F1538" s="18">
        <v>12.0</v>
      </c>
    </row>
    <row r="1539">
      <c r="A1539" s="15">
        <v>24.0</v>
      </c>
      <c r="B1539" s="16" t="s">
        <v>6993</v>
      </c>
      <c r="C1539" s="17" t="s">
        <v>6991</v>
      </c>
      <c r="D1539" s="18">
        <v>453.14</v>
      </c>
      <c r="E1539" s="18">
        <v>634.39</v>
      </c>
      <c r="F1539" s="18">
        <v>12.0</v>
      </c>
    </row>
    <row r="1540">
      <c r="A1540" s="15">
        <v>25.0</v>
      </c>
      <c r="B1540" s="16" t="s">
        <v>6993</v>
      </c>
      <c r="C1540" s="17" t="s">
        <v>6994</v>
      </c>
      <c r="D1540" s="18">
        <v>279.98</v>
      </c>
      <c r="E1540" s="18">
        <v>391.97</v>
      </c>
      <c r="F1540" s="18">
        <v>12.0</v>
      </c>
    </row>
    <row r="1541">
      <c r="A1541" s="15">
        <v>26.0</v>
      </c>
      <c r="B1541" s="16" t="s">
        <v>6993</v>
      </c>
      <c r="C1541" s="17" t="s">
        <v>6995</v>
      </c>
      <c r="D1541" s="18">
        <v>357.14</v>
      </c>
      <c r="E1541" s="18">
        <v>500.0</v>
      </c>
      <c r="F1541" s="18">
        <v>12.0</v>
      </c>
    </row>
    <row r="1542">
      <c r="A1542" s="15">
        <v>27.0</v>
      </c>
      <c r="B1542" s="16" t="s">
        <v>6993</v>
      </c>
      <c r="C1542" s="16" t="s">
        <v>6992</v>
      </c>
      <c r="D1542" s="18">
        <v>492.86</v>
      </c>
      <c r="E1542" s="18">
        <v>690.0</v>
      </c>
      <c r="F1542" s="18">
        <v>12.0</v>
      </c>
    </row>
    <row r="1543">
      <c r="A1543" s="15">
        <v>28.0</v>
      </c>
      <c r="B1543" s="16" t="s">
        <v>6996</v>
      </c>
      <c r="C1543" s="17" t="s">
        <v>6956</v>
      </c>
      <c r="D1543" s="18">
        <v>321.08</v>
      </c>
      <c r="E1543" s="18">
        <v>449.51</v>
      </c>
      <c r="F1543" s="18">
        <v>12.0</v>
      </c>
    </row>
    <row r="1544">
      <c r="A1544" s="15">
        <v>29.0</v>
      </c>
      <c r="B1544" s="16" t="s">
        <v>6997</v>
      </c>
      <c r="C1544" s="17" t="s">
        <v>6991</v>
      </c>
      <c r="D1544" s="18">
        <v>233.93</v>
      </c>
      <c r="E1544" s="18">
        <v>327.5</v>
      </c>
      <c r="F1544" s="18">
        <v>12.0</v>
      </c>
    </row>
    <row r="1545">
      <c r="A1545" s="15">
        <v>30.0</v>
      </c>
      <c r="B1545" s="16" t="s">
        <v>6998</v>
      </c>
      <c r="C1545" s="17" t="s">
        <v>6969</v>
      </c>
      <c r="D1545" s="18">
        <v>377.6</v>
      </c>
      <c r="E1545" s="18">
        <v>528.64</v>
      </c>
      <c r="F1545" s="18">
        <v>12.0</v>
      </c>
    </row>
    <row r="1546">
      <c r="A1546" s="15">
        <v>31.0</v>
      </c>
      <c r="B1546" s="16" t="s">
        <v>6998</v>
      </c>
      <c r="C1546" s="17" t="s">
        <v>6999</v>
      </c>
      <c r="D1546" s="18">
        <v>148.15</v>
      </c>
      <c r="E1546" s="18">
        <v>207.42</v>
      </c>
      <c r="F1546" s="18">
        <v>12.0</v>
      </c>
    </row>
    <row r="1547">
      <c r="A1547" s="15">
        <v>32.0</v>
      </c>
      <c r="B1547" s="16" t="s">
        <v>6998</v>
      </c>
      <c r="C1547" s="17" t="s">
        <v>7000</v>
      </c>
      <c r="D1547" s="18">
        <v>222.24</v>
      </c>
      <c r="E1547" s="18">
        <v>311.13</v>
      </c>
      <c r="F1547" s="18">
        <v>12.0</v>
      </c>
    </row>
    <row r="1548">
      <c r="A1548" s="15">
        <v>33.0</v>
      </c>
      <c r="B1548" s="16" t="s">
        <v>7001</v>
      </c>
      <c r="C1548" s="17" t="s">
        <v>7002</v>
      </c>
      <c r="D1548" s="18">
        <v>221.79</v>
      </c>
      <c r="E1548" s="18">
        <v>310.5</v>
      </c>
      <c r="F1548" s="18">
        <v>12.0</v>
      </c>
    </row>
    <row r="1549">
      <c r="A1549" s="15">
        <v>34.0</v>
      </c>
      <c r="B1549" s="16" t="s">
        <v>7001</v>
      </c>
      <c r="C1549" s="17" t="s">
        <v>6999</v>
      </c>
      <c r="D1549" s="18">
        <v>341.54</v>
      </c>
      <c r="E1549" s="18">
        <v>478.16</v>
      </c>
      <c r="F1549" s="18">
        <v>12.0</v>
      </c>
    </row>
    <row r="1550">
      <c r="A1550" s="15">
        <v>35.0</v>
      </c>
      <c r="B1550" s="16" t="s">
        <v>7003</v>
      </c>
      <c r="C1550" s="17" t="s">
        <v>7004</v>
      </c>
      <c r="D1550" s="18">
        <v>195.76</v>
      </c>
      <c r="E1550" s="18">
        <v>274.06</v>
      </c>
      <c r="F1550" s="18">
        <v>12.0</v>
      </c>
    </row>
    <row r="1551">
      <c r="A1551" s="6"/>
      <c r="B1551" s="7"/>
      <c r="C1551" s="7"/>
      <c r="D1551" s="7"/>
      <c r="E1551" s="7"/>
      <c r="F1551" s="8"/>
    </row>
    <row r="1552">
      <c r="A1552" s="9" t="s">
        <v>7005</v>
      </c>
      <c r="B1552" s="10"/>
      <c r="C1552" s="10"/>
      <c r="D1552" s="10"/>
      <c r="E1552" s="10"/>
      <c r="F1552" s="10"/>
    </row>
    <row r="1553">
      <c r="A1553" s="11">
        <v>1.0</v>
      </c>
      <c r="B1553" s="12" t="s">
        <v>6958</v>
      </c>
      <c r="C1553" s="13" t="s">
        <v>7006</v>
      </c>
      <c r="D1553" s="14">
        <v>198.4</v>
      </c>
      <c r="E1553" s="14">
        <v>277.76</v>
      </c>
      <c r="F1553" s="14">
        <v>12.0</v>
      </c>
    </row>
    <row r="1554">
      <c r="A1554" s="15">
        <v>2.0</v>
      </c>
      <c r="B1554" s="16" t="s">
        <v>6958</v>
      </c>
      <c r="C1554" s="17" t="s">
        <v>7007</v>
      </c>
      <c r="D1554" s="18">
        <v>246.4</v>
      </c>
      <c r="E1554" s="18">
        <v>344.96</v>
      </c>
      <c r="F1554" s="18">
        <v>12.0</v>
      </c>
    </row>
    <row r="1555">
      <c r="A1555" s="15">
        <v>3.0</v>
      </c>
      <c r="B1555" s="16" t="s">
        <v>7008</v>
      </c>
      <c r="C1555" s="17" t="s">
        <v>7009</v>
      </c>
      <c r="D1555" s="18">
        <v>232.14</v>
      </c>
      <c r="E1555" s="18">
        <v>325.0</v>
      </c>
      <c r="F1555" s="18">
        <v>12.0</v>
      </c>
    </row>
    <row r="1556">
      <c r="A1556" s="15">
        <v>4.0</v>
      </c>
      <c r="B1556" s="16" t="s">
        <v>7008</v>
      </c>
      <c r="C1556" s="17" t="s">
        <v>7010</v>
      </c>
      <c r="D1556" s="18">
        <v>214.29</v>
      </c>
      <c r="E1556" s="18">
        <v>300.0</v>
      </c>
      <c r="F1556" s="18">
        <v>12.0</v>
      </c>
    </row>
    <row r="1557">
      <c r="A1557" s="15">
        <v>5.0</v>
      </c>
      <c r="B1557" s="16" t="s">
        <v>7011</v>
      </c>
      <c r="C1557" s="17" t="s">
        <v>6979</v>
      </c>
      <c r="D1557" s="18">
        <v>97.35</v>
      </c>
      <c r="E1557" s="18">
        <v>136.29</v>
      </c>
      <c r="F1557" s="18">
        <v>12.0</v>
      </c>
    </row>
    <row r="1558">
      <c r="A1558" s="15">
        <v>6.0</v>
      </c>
      <c r="B1558" s="16" t="s">
        <v>7011</v>
      </c>
      <c r="C1558" s="17" t="s">
        <v>6969</v>
      </c>
      <c r="D1558" s="18">
        <v>183.6</v>
      </c>
      <c r="E1558" s="18">
        <v>256.3</v>
      </c>
      <c r="F1558" s="18">
        <v>12.0</v>
      </c>
    </row>
    <row r="1559">
      <c r="A1559" s="15">
        <v>7.0</v>
      </c>
      <c r="B1559" s="16" t="s">
        <v>7011</v>
      </c>
      <c r="C1559" s="17" t="s">
        <v>6967</v>
      </c>
      <c r="D1559" s="18">
        <v>60.96</v>
      </c>
      <c r="E1559" s="18">
        <v>85.34</v>
      </c>
      <c r="F1559" s="18">
        <v>12.0</v>
      </c>
    </row>
    <row r="1560">
      <c r="A1560" s="15">
        <v>8.0</v>
      </c>
      <c r="B1560" s="16" t="s">
        <v>7012</v>
      </c>
      <c r="C1560" s="17" t="s">
        <v>7013</v>
      </c>
      <c r="D1560" s="18">
        <v>177.6</v>
      </c>
      <c r="E1560" s="18">
        <v>248.64</v>
      </c>
      <c r="F1560" s="18">
        <v>12.0</v>
      </c>
    </row>
    <row r="1561">
      <c r="A1561" s="15">
        <v>9.0</v>
      </c>
      <c r="B1561" s="16" t="s">
        <v>7012</v>
      </c>
      <c r="C1561" s="17" t="s">
        <v>6959</v>
      </c>
      <c r="D1561" s="18">
        <v>89.04</v>
      </c>
      <c r="E1561" s="18">
        <v>124.65</v>
      </c>
      <c r="F1561" s="18">
        <v>12.0</v>
      </c>
    </row>
    <row r="1562">
      <c r="A1562" s="15">
        <v>10.0</v>
      </c>
      <c r="B1562" s="16" t="s">
        <v>7012</v>
      </c>
      <c r="C1562" s="17" t="s">
        <v>7014</v>
      </c>
      <c r="D1562" s="18">
        <v>256.25</v>
      </c>
      <c r="E1562" s="18">
        <v>358.75</v>
      </c>
      <c r="F1562" s="18">
        <v>12.0</v>
      </c>
    </row>
    <row r="1563">
      <c r="A1563" s="15">
        <v>11.0</v>
      </c>
      <c r="B1563" s="16" t="s">
        <v>7012</v>
      </c>
      <c r="C1563" s="17" t="s">
        <v>6960</v>
      </c>
      <c r="D1563" s="18">
        <v>120.48</v>
      </c>
      <c r="E1563" s="18">
        <v>168.67</v>
      </c>
      <c r="F1563" s="18">
        <v>12.0</v>
      </c>
    </row>
    <row r="1564">
      <c r="A1564" s="15">
        <v>12.0</v>
      </c>
      <c r="B1564" s="16" t="s">
        <v>7012</v>
      </c>
      <c r="C1564" s="17" t="s">
        <v>7015</v>
      </c>
      <c r="D1564" s="18">
        <v>305.27</v>
      </c>
      <c r="E1564" s="18">
        <v>427.38</v>
      </c>
      <c r="F1564" s="18">
        <v>12.0</v>
      </c>
    </row>
    <row r="1565">
      <c r="A1565" s="15">
        <v>13.0</v>
      </c>
      <c r="B1565" s="16" t="s">
        <v>7012</v>
      </c>
      <c r="C1565" s="17" t="s">
        <v>7016</v>
      </c>
      <c r="D1565" s="18">
        <v>286.08</v>
      </c>
      <c r="E1565" s="18">
        <v>400.51</v>
      </c>
      <c r="F1565" s="18">
        <v>12.0</v>
      </c>
    </row>
    <row r="1566">
      <c r="A1566" s="15">
        <v>14.0</v>
      </c>
      <c r="B1566" s="16" t="s">
        <v>7012</v>
      </c>
      <c r="C1566" s="17" t="s">
        <v>6961</v>
      </c>
      <c r="D1566" s="18">
        <v>154.04</v>
      </c>
      <c r="E1566" s="18">
        <v>215.66</v>
      </c>
      <c r="F1566" s="18">
        <v>12.0</v>
      </c>
    </row>
    <row r="1567">
      <c r="A1567" s="15">
        <v>15.0</v>
      </c>
      <c r="B1567" s="16" t="s">
        <v>7012</v>
      </c>
      <c r="C1567" s="17" t="s">
        <v>7017</v>
      </c>
      <c r="D1567" s="18">
        <v>418.0</v>
      </c>
      <c r="E1567" s="18">
        <v>585.2</v>
      </c>
      <c r="F1567" s="18">
        <v>12.0</v>
      </c>
    </row>
    <row r="1568">
      <c r="A1568" s="15">
        <v>16.0</v>
      </c>
      <c r="B1568" s="16" t="s">
        <v>7012</v>
      </c>
      <c r="C1568" s="17" t="s">
        <v>6979</v>
      </c>
      <c r="D1568" s="18">
        <v>248.91</v>
      </c>
      <c r="E1568" s="18">
        <v>348.48</v>
      </c>
      <c r="F1568" s="18">
        <v>12.0</v>
      </c>
    </row>
    <row r="1569">
      <c r="A1569" s="15">
        <v>17.0</v>
      </c>
      <c r="B1569" s="16" t="s">
        <v>7018</v>
      </c>
      <c r="C1569" s="17" t="s">
        <v>6960</v>
      </c>
      <c r="D1569" s="18">
        <v>102.14</v>
      </c>
      <c r="E1569" s="18">
        <v>143.0</v>
      </c>
      <c r="F1569" s="18">
        <v>12.0</v>
      </c>
    </row>
    <row r="1570">
      <c r="A1570" s="15">
        <v>18.0</v>
      </c>
      <c r="B1570" s="16" t="s">
        <v>7018</v>
      </c>
      <c r="C1570" s="17" t="s">
        <v>6961</v>
      </c>
      <c r="D1570" s="18">
        <v>161.62</v>
      </c>
      <c r="E1570" s="18">
        <v>226.27</v>
      </c>
      <c r="F1570" s="18">
        <v>12.0</v>
      </c>
    </row>
    <row r="1571">
      <c r="A1571" s="6"/>
      <c r="B1571" s="7"/>
      <c r="C1571" s="7"/>
      <c r="D1571" s="7"/>
      <c r="E1571" s="8"/>
      <c r="F1571" s="16" t="s">
        <v>7019</v>
      </c>
    </row>
    <row r="1572">
      <c r="A1572" s="6"/>
      <c r="B1572" s="7"/>
      <c r="C1572" s="7"/>
      <c r="D1572" s="7"/>
      <c r="E1572" s="7"/>
      <c r="F1572" s="8"/>
    </row>
    <row r="1573">
      <c r="A1573" s="6"/>
      <c r="B1573" s="7"/>
      <c r="C1573" s="7"/>
      <c r="D1573" s="7"/>
      <c r="E1573" s="7"/>
      <c r="F1573" s="8"/>
    </row>
    <row r="1574">
      <c r="A1574" s="6"/>
      <c r="B1574" s="7"/>
      <c r="C1574" s="7"/>
      <c r="D1574" s="7"/>
      <c r="E1574" s="7"/>
      <c r="F1574" s="8"/>
    </row>
    <row r="1575">
      <c r="A1575" s="6"/>
      <c r="B1575" s="7"/>
      <c r="C1575" s="7"/>
      <c r="D1575" s="7"/>
      <c r="E1575" s="7"/>
      <c r="F1575" s="8"/>
    </row>
    <row r="1576">
      <c r="A1576" s="9" t="s">
        <v>5582</v>
      </c>
      <c r="B1576" s="10"/>
      <c r="C1576" s="10"/>
      <c r="D1576" s="10"/>
      <c r="E1576" s="10"/>
      <c r="F1576" s="10"/>
    </row>
    <row r="1577">
      <c r="A1577" s="19" t="s">
        <v>5583</v>
      </c>
    </row>
    <row r="1578">
      <c r="A1578" s="6"/>
      <c r="B1578" s="7"/>
      <c r="C1578" s="7"/>
      <c r="D1578" s="8"/>
      <c r="E1578" s="12" t="s">
        <v>5584</v>
      </c>
      <c r="F1578" s="12" t="s">
        <v>7020</v>
      </c>
    </row>
    <row r="1579">
      <c r="A1579" s="20" t="s">
        <v>5522</v>
      </c>
      <c r="B1579" s="16" t="s">
        <v>5523</v>
      </c>
      <c r="C1579" s="16" t="s">
        <v>5524</v>
      </c>
      <c r="D1579" s="16" t="s">
        <v>5525</v>
      </c>
      <c r="E1579" s="16" t="s">
        <v>5526</v>
      </c>
      <c r="F1579" s="16" t="s">
        <v>5586</v>
      </c>
    </row>
    <row r="1580">
      <c r="A1580" s="15">
        <v>19.0</v>
      </c>
      <c r="B1580" s="16" t="s">
        <v>1268</v>
      </c>
      <c r="C1580" s="16" t="s">
        <v>6496</v>
      </c>
      <c r="D1580" s="18">
        <v>518.57</v>
      </c>
      <c r="E1580" s="18">
        <v>726.0</v>
      </c>
      <c r="F1580" s="18">
        <v>12.0</v>
      </c>
    </row>
    <row r="1581">
      <c r="A1581" s="15">
        <v>20.0</v>
      </c>
      <c r="B1581" s="16" t="s">
        <v>7021</v>
      </c>
      <c r="C1581" s="17" t="s">
        <v>5546</v>
      </c>
      <c r="D1581" s="18">
        <v>169.18</v>
      </c>
      <c r="E1581" s="18">
        <v>217.5</v>
      </c>
      <c r="F1581" s="18">
        <v>12.0</v>
      </c>
    </row>
    <row r="1582">
      <c r="A1582" s="15">
        <v>21.0</v>
      </c>
      <c r="B1582" s="16" t="s">
        <v>6415</v>
      </c>
      <c r="C1582" s="17" t="s">
        <v>5636</v>
      </c>
      <c r="D1582" s="18">
        <v>126.11</v>
      </c>
      <c r="E1582" s="18">
        <v>176.55</v>
      </c>
      <c r="F1582" s="18">
        <v>12.0</v>
      </c>
    </row>
    <row r="1583">
      <c r="A1583" s="15">
        <v>22.0</v>
      </c>
      <c r="B1583" s="16" t="s">
        <v>6415</v>
      </c>
      <c r="C1583" s="17" t="s">
        <v>5603</v>
      </c>
      <c r="D1583" s="18">
        <v>189.16</v>
      </c>
      <c r="E1583" s="18">
        <v>264.82</v>
      </c>
      <c r="F1583" s="18">
        <v>12.0</v>
      </c>
    </row>
    <row r="1584">
      <c r="A1584" s="15">
        <v>23.0</v>
      </c>
      <c r="B1584" s="16" t="s">
        <v>7022</v>
      </c>
      <c r="C1584" s="17" t="s">
        <v>7023</v>
      </c>
      <c r="D1584" s="18">
        <v>167.8</v>
      </c>
      <c r="E1584" s="18">
        <v>247.5</v>
      </c>
      <c r="F1584" s="18">
        <v>18.0</v>
      </c>
    </row>
    <row r="1585">
      <c r="A1585" s="15">
        <v>24.0</v>
      </c>
      <c r="B1585" s="16" t="s">
        <v>7024</v>
      </c>
      <c r="C1585" s="17" t="s">
        <v>6972</v>
      </c>
      <c r="D1585" s="18">
        <v>140.16</v>
      </c>
      <c r="E1585" s="18">
        <v>196.22</v>
      </c>
      <c r="F1585" s="18">
        <v>12.0</v>
      </c>
    </row>
    <row r="1586">
      <c r="A1586" s="15">
        <v>25.0</v>
      </c>
      <c r="B1586" s="16" t="s">
        <v>1273</v>
      </c>
      <c r="C1586" s="16" t="s">
        <v>6986</v>
      </c>
      <c r="D1586" s="18">
        <v>90.31</v>
      </c>
      <c r="E1586" s="18">
        <v>126.44</v>
      </c>
      <c r="F1586" s="18">
        <v>12.0</v>
      </c>
    </row>
    <row r="1587">
      <c r="A1587" s="15">
        <v>26.0</v>
      </c>
      <c r="B1587" s="16" t="s">
        <v>7025</v>
      </c>
      <c r="C1587" s="17" t="s">
        <v>7004</v>
      </c>
      <c r="D1587" s="18">
        <v>282.86</v>
      </c>
      <c r="E1587" s="18">
        <v>396.0</v>
      </c>
      <c r="F1587" s="18">
        <v>12.0</v>
      </c>
    </row>
    <row r="1588">
      <c r="A1588" s="6"/>
      <c r="B1588" s="7"/>
      <c r="C1588" s="7"/>
      <c r="D1588" s="7"/>
      <c r="E1588" s="7"/>
      <c r="F1588" s="8"/>
    </row>
    <row r="1589">
      <c r="A1589" s="9" t="s">
        <v>7026</v>
      </c>
      <c r="B1589" s="10"/>
      <c r="C1589" s="10"/>
      <c r="D1589" s="10"/>
      <c r="E1589" s="10"/>
      <c r="F1589" s="10"/>
    </row>
    <row r="1590">
      <c r="A1590" s="11">
        <v>1.0</v>
      </c>
      <c r="B1590" s="12" t="s">
        <v>7027</v>
      </c>
      <c r="C1590" s="13" t="s">
        <v>6979</v>
      </c>
      <c r="D1590" s="14">
        <v>56.18</v>
      </c>
      <c r="E1590" s="14">
        <v>78.65</v>
      </c>
      <c r="F1590" s="14">
        <v>12.0</v>
      </c>
    </row>
    <row r="1591">
      <c r="A1591" s="15">
        <v>2.0</v>
      </c>
      <c r="B1591" s="16" t="s">
        <v>7027</v>
      </c>
      <c r="C1591" s="17" t="s">
        <v>6969</v>
      </c>
      <c r="D1591" s="18">
        <v>146.93</v>
      </c>
      <c r="E1591" s="18">
        <v>205.7</v>
      </c>
      <c r="F1591" s="18">
        <v>12.0</v>
      </c>
    </row>
    <row r="1592">
      <c r="A1592" s="15">
        <v>3.0</v>
      </c>
      <c r="B1592" s="16" t="s">
        <v>7027</v>
      </c>
      <c r="C1592" s="17" t="s">
        <v>6967</v>
      </c>
      <c r="D1592" s="18">
        <v>33.76</v>
      </c>
      <c r="E1592" s="18">
        <v>47.26</v>
      </c>
      <c r="F1592" s="18">
        <v>12.0</v>
      </c>
    </row>
    <row r="1593">
      <c r="A1593" s="15">
        <v>4.0</v>
      </c>
      <c r="B1593" s="16" t="s">
        <v>6740</v>
      </c>
      <c r="C1593" s="17" t="s">
        <v>6969</v>
      </c>
      <c r="D1593" s="18">
        <v>101.25</v>
      </c>
      <c r="E1593" s="18">
        <v>141.75</v>
      </c>
      <c r="F1593" s="18">
        <v>12.0</v>
      </c>
    </row>
    <row r="1594">
      <c r="A1594" s="15">
        <v>5.0</v>
      </c>
      <c r="B1594" s="16" t="s">
        <v>6740</v>
      </c>
      <c r="C1594" s="17" t="s">
        <v>7028</v>
      </c>
      <c r="D1594" s="18">
        <v>8.4</v>
      </c>
      <c r="E1594" s="18">
        <v>11.76</v>
      </c>
      <c r="F1594" s="18">
        <v>12.0</v>
      </c>
    </row>
    <row r="1595">
      <c r="A1595" s="15">
        <v>6.0</v>
      </c>
      <c r="B1595" s="16" t="s">
        <v>6740</v>
      </c>
      <c r="C1595" s="17" t="s">
        <v>7029</v>
      </c>
      <c r="D1595" s="18">
        <v>3.8</v>
      </c>
      <c r="E1595" s="18">
        <v>5.32</v>
      </c>
      <c r="F1595" s="18">
        <v>12.0</v>
      </c>
    </row>
    <row r="1596">
      <c r="A1596" s="15">
        <v>7.0</v>
      </c>
      <c r="B1596" s="16" t="s">
        <v>6740</v>
      </c>
      <c r="C1596" s="17" t="s">
        <v>6967</v>
      </c>
      <c r="D1596" s="18">
        <v>15.44</v>
      </c>
      <c r="E1596" s="18">
        <v>21.62</v>
      </c>
      <c r="F1596" s="18">
        <v>12.0</v>
      </c>
    </row>
    <row r="1597">
      <c r="A1597" s="15">
        <v>8.0</v>
      </c>
      <c r="B1597" s="16" t="s">
        <v>6740</v>
      </c>
      <c r="C1597" s="17" t="s">
        <v>7030</v>
      </c>
      <c r="D1597" s="18">
        <v>30.89</v>
      </c>
      <c r="E1597" s="18">
        <v>43.24</v>
      </c>
      <c r="F1597" s="18">
        <v>12.0</v>
      </c>
    </row>
    <row r="1598">
      <c r="A1598" s="15">
        <v>9.0</v>
      </c>
      <c r="B1598" s="16" t="s">
        <v>7031</v>
      </c>
      <c r="C1598" s="17" t="s">
        <v>6378</v>
      </c>
      <c r="D1598" s="18">
        <v>24.63</v>
      </c>
      <c r="E1598" s="18">
        <v>34.48</v>
      </c>
      <c r="F1598" s="18">
        <v>12.0</v>
      </c>
    </row>
    <row r="1599">
      <c r="A1599" s="15">
        <v>10.0</v>
      </c>
      <c r="B1599" s="16" t="s">
        <v>7032</v>
      </c>
      <c r="C1599" s="17" t="s">
        <v>7033</v>
      </c>
      <c r="D1599" s="18">
        <v>32.94</v>
      </c>
      <c r="E1599" s="18">
        <v>46.12</v>
      </c>
      <c r="F1599" s="18">
        <v>12.0</v>
      </c>
    </row>
    <row r="1600">
      <c r="A1600" s="15">
        <v>11.0</v>
      </c>
      <c r="B1600" s="16" t="s">
        <v>7034</v>
      </c>
      <c r="C1600" s="17" t="s">
        <v>5762</v>
      </c>
      <c r="D1600" s="18">
        <v>49.58</v>
      </c>
      <c r="E1600" s="18">
        <v>69.41</v>
      </c>
      <c r="F1600" s="18">
        <v>12.0</v>
      </c>
    </row>
    <row r="1601">
      <c r="A1601" s="15">
        <v>12.0</v>
      </c>
      <c r="B1601" s="16" t="s">
        <v>7035</v>
      </c>
      <c r="C1601" s="17" t="s">
        <v>7036</v>
      </c>
      <c r="D1601" s="18">
        <v>51.85</v>
      </c>
      <c r="E1601" s="18">
        <v>71.19</v>
      </c>
      <c r="F1601" s="18">
        <v>12.0</v>
      </c>
    </row>
    <row r="1602">
      <c r="A1602" s="15">
        <v>13.0</v>
      </c>
      <c r="B1602" s="16" t="s">
        <v>7035</v>
      </c>
      <c r="C1602" s="17" t="s">
        <v>6339</v>
      </c>
      <c r="D1602" s="18">
        <v>83.36</v>
      </c>
      <c r="E1602" s="18">
        <v>116.7</v>
      </c>
      <c r="F1602" s="18">
        <v>12.0</v>
      </c>
    </row>
    <row r="1603">
      <c r="A1603" s="15">
        <v>14.0</v>
      </c>
      <c r="B1603" s="16" t="s">
        <v>6958</v>
      </c>
      <c r="C1603" s="17" t="s">
        <v>7037</v>
      </c>
      <c r="D1603" s="18">
        <v>16.98</v>
      </c>
      <c r="E1603" s="18">
        <v>23.77</v>
      </c>
      <c r="F1603" s="18">
        <v>12.0</v>
      </c>
    </row>
    <row r="1604">
      <c r="A1604" s="15">
        <v>15.0</v>
      </c>
      <c r="B1604" s="16" t="s">
        <v>7038</v>
      </c>
      <c r="C1604" s="17" t="s">
        <v>7039</v>
      </c>
      <c r="D1604" s="18">
        <v>16.75</v>
      </c>
      <c r="E1604" s="18">
        <v>23.45</v>
      </c>
      <c r="F1604" s="18">
        <v>12.0</v>
      </c>
    </row>
    <row r="1605">
      <c r="A1605" s="15">
        <v>16.0</v>
      </c>
      <c r="B1605" s="16" t="s">
        <v>7040</v>
      </c>
      <c r="C1605" s="17" t="s">
        <v>7041</v>
      </c>
      <c r="D1605" s="18">
        <v>25.93</v>
      </c>
      <c r="E1605" s="18">
        <v>36.3</v>
      </c>
      <c r="F1605" s="18">
        <v>12.0</v>
      </c>
    </row>
    <row r="1606">
      <c r="A1606" s="15">
        <v>17.0</v>
      </c>
      <c r="B1606" s="16" t="s">
        <v>7042</v>
      </c>
      <c r="C1606" s="17" t="s">
        <v>7041</v>
      </c>
      <c r="D1606" s="18">
        <v>33.27</v>
      </c>
      <c r="E1606" s="18">
        <v>46.58</v>
      </c>
      <c r="F1606" s="18">
        <v>12.0</v>
      </c>
    </row>
    <row r="1607">
      <c r="A1607" s="15">
        <v>18.0</v>
      </c>
      <c r="B1607" s="16" t="s">
        <v>7043</v>
      </c>
      <c r="C1607" s="17" t="s">
        <v>7029</v>
      </c>
      <c r="D1607" s="18">
        <v>9.94</v>
      </c>
      <c r="E1607" s="18">
        <v>13.91</v>
      </c>
      <c r="F1607" s="18">
        <v>12.0</v>
      </c>
    </row>
    <row r="1608">
      <c r="A1608" s="15">
        <v>19.0</v>
      </c>
      <c r="B1608" s="16" t="s">
        <v>7011</v>
      </c>
      <c r="C1608" s="17" t="s">
        <v>7029</v>
      </c>
      <c r="D1608" s="18">
        <v>7.57</v>
      </c>
      <c r="E1608" s="18">
        <v>10.59</v>
      </c>
      <c r="F1608" s="18">
        <v>12.0</v>
      </c>
    </row>
    <row r="1609">
      <c r="A1609" s="15">
        <v>20.0</v>
      </c>
      <c r="B1609" s="16" t="s">
        <v>7044</v>
      </c>
      <c r="C1609" s="17" t="s">
        <v>7039</v>
      </c>
      <c r="D1609" s="18">
        <v>34.96</v>
      </c>
      <c r="E1609" s="18">
        <v>48.95</v>
      </c>
      <c r="F1609" s="18">
        <v>12.0</v>
      </c>
    </row>
    <row r="1610">
      <c r="A1610" s="15">
        <v>21.0</v>
      </c>
      <c r="B1610" s="16" t="s">
        <v>7012</v>
      </c>
      <c r="C1610" s="17" t="s">
        <v>7037</v>
      </c>
      <c r="D1610" s="18">
        <v>39.09</v>
      </c>
      <c r="E1610" s="18">
        <v>54.73</v>
      </c>
      <c r="F1610" s="18">
        <v>12.0</v>
      </c>
    </row>
    <row r="1611">
      <c r="A1611" s="15">
        <v>22.0</v>
      </c>
      <c r="B1611" s="16" t="s">
        <v>7045</v>
      </c>
      <c r="C1611" s="17" t="s">
        <v>7039</v>
      </c>
      <c r="D1611" s="18">
        <v>48.34</v>
      </c>
      <c r="E1611" s="18">
        <v>67.67</v>
      </c>
      <c r="F1611" s="18">
        <v>12.0</v>
      </c>
    </row>
    <row r="1612">
      <c r="A1612" s="15">
        <v>23.0</v>
      </c>
      <c r="B1612" s="16" t="s">
        <v>7046</v>
      </c>
      <c r="C1612" s="17" t="s">
        <v>7047</v>
      </c>
      <c r="D1612" s="18">
        <v>17.71</v>
      </c>
      <c r="E1612" s="18">
        <v>24.8</v>
      </c>
      <c r="F1612" s="18">
        <v>12.0</v>
      </c>
    </row>
    <row r="1613">
      <c r="A1613" s="15">
        <v>24.0</v>
      </c>
      <c r="B1613" s="16" t="s">
        <v>6966</v>
      </c>
      <c r="C1613" s="17" t="s">
        <v>7028</v>
      </c>
      <c r="D1613" s="18">
        <v>29.74</v>
      </c>
      <c r="E1613" s="18">
        <v>41.64</v>
      </c>
      <c r="F1613" s="18">
        <v>12.0</v>
      </c>
    </row>
    <row r="1614">
      <c r="A1614" s="15">
        <v>25.0</v>
      </c>
      <c r="B1614" s="16" t="s">
        <v>6966</v>
      </c>
      <c r="C1614" s="17" t="s">
        <v>7029</v>
      </c>
      <c r="D1614" s="18">
        <v>3.96</v>
      </c>
      <c r="E1614" s="18">
        <v>5.54</v>
      </c>
      <c r="F1614" s="18">
        <v>12.0</v>
      </c>
    </row>
    <row r="1615">
      <c r="A1615" s="15">
        <v>26.0</v>
      </c>
      <c r="B1615" s="16" t="s">
        <v>6407</v>
      </c>
      <c r="C1615" s="17" t="s">
        <v>7048</v>
      </c>
      <c r="D1615" s="18">
        <v>2.91</v>
      </c>
      <c r="E1615" s="18">
        <v>4.07</v>
      </c>
      <c r="F1615" s="18">
        <v>12.0</v>
      </c>
    </row>
    <row r="1616">
      <c r="A1616" s="15">
        <v>27.0</v>
      </c>
      <c r="B1616" s="16" t="s">
        <v>6407</v>
      </c>
      <c r="C1616" s="17" t="s">
        <v>7049</v>
      </c>
      <c r="D1616" s="18">
        <v>3.5</v>
      </c>
      <c r="E1616" s="18">
        <v>4.9</v>
      </c>
      <c r="F1616" s="18">
        <v>12.0</v>
      </c>
    </row>
    <row r="1617">
      <c r="A1617" s="15">
        <v>28.0</v>
      </c>
      <c r="B1617" s="16" t="s">
        <v>6407</v>
      </c>
      <c r="C1617" s="17" t="s">
        <v>7050</v>
      </c>
      <c r="D1617" s="18">
        <v>4.91</v>
      </c>
      <c r="E1617" s="18">
        <v>6.87</v>
      </c>
      <c r="F1617" s="18">
        <v>12.0</v>
      </c>
    </row>
    <row r="1618">
      <c r="A1618" s="15">
        <v>29.0</v>
      </c>
      <c r="B1618" s="16" t="s">
        <v>7051</v>
      </c>
      <c r="C1618" s="17" t="s">
        <v>5536</v>
      </c>
      <c r="D1618" s="18">
        <v>198.31</v>
      </c>
      <c r="E1618" s="18">
        <v>251.69</v>
      </c>
      <c r="F1618" s="18">
        <v>12.0</v>
      </c>
    </row>
    <row r="1619">
      <c r="A1619" s="15">
        <v>30.0</v>
      </c>
      <c r="B1619" s="16" t="s">
        <v>7052</v>
      </c>
      <c r="C1619" s="16" t="s">
        <v>6871</v>
      </c>
      <c r="D1619" s="18">
        <v>31.18</v>
      </c>
      <c r="E1619" s="18">
        <v>43.66</v>
      </c>
      <c r="F1619" s="18">
        <v>12.0</v>
      </c>
    </row>
    <row r="1620">
      <c r="A1620" s="15">
        <v>31.0</v>
      </c>
      <c r="B1620" s="16" t="s">
        <v>7053</v>
      </c>
      <c r="C1620" s="17" t="s">
        <v>7054</v>
      </c>
      <c r="D1620" s="18">
        <v>277.71</v>
      </c>
      <c r="E1620" s="18">
        <v>364.5</v>
      </c>
      <c r="F1620" s="18">
        <v>5.0</v>
      </c>
    </row>
    <row r="1621">
      <c r="A1621" s="6"/>
      <c r="B1621" s="7"/>
      <c r="C1621" s="7"/>
      <c r="D1621" s="7"/>
      <c r="E1621" s="7"/>
      <c r="F1621" s="8"/>
    </row>
    <row r="1622">
      <c r="A1622" s="9" t="s">
        <v>7055</v>
      </c>
      <c r="B1622" s="10"/>
      <c r="C1622" s="10"/>
      <c r="D1622" s="10"/>
      <c r="E1622" s="10"/>
      <c r="F1622" s="10"/>
    </row>
    <row r="1623">
      <c r="A1623" s="11">
        <v>1.0</v>
      </c>
      <c r="B1623" s="12" t="s">
        <v>7056</v>
      </c>
      <c r="C1623" s="13" t="s">
        <v>7057</v>
      </c>
      <c r="D1623" s="14">
        <v>12.18</v>
      </c>
      <c r="E1623" s="14">
        <v>17.05</v>
      </c>
      <c r="F1623" s="14">
        <v>12.0</v>
      </c>
    </row>
    <row r="1624">
      <c r="A1624" s="15">
        <v>2.0</v>
      </c>
      <c r="B1624" s="16" t="s">
        <v>7058</v>
      </c>
      <c r="C1624" s="17" t="s">
        <v>7059</v>
      </c>
      <c r="D1624" s="18">
        <v>21.43</v>
      </c>
      <c r="E1624" s="18">
        <v>30.0</v>
      </c>
      <c r="F1624" s="18">
        <v>12.0</v>
      </c>
    </row>
    <row r="1625">
      <c r="A1625" s="6"/>
      <c r="B1625" s="7"/>
      <c r="C1625" s="7"/>
      <c r="D1625" s="7"/>
      <c r="E1625" s="7"/>
      <c r="F1625" s="8"/>
    </row>
    <row r="1626">
      <c r="A1626" s="9" t="s">
        <v>7060</v>
      </c>
      <c r="B1626" s="10"/>
      <c r="C1626" s="10"/>
      <c r="D1626" s="10"/>
      <c r="E1626" s="10"/>
      <c r="F1626" s="10"/>
    </row>
    <row r="1627">
      <c r="A1627" s="11">
        <v>1.0</v>
      </c>
      <c r="B1627" s="12" t="s">
        <v>7061</v>
      </c>
      <c r="C1627" s="13" t="s">
        <v>5536</v>
      </c>
      <c r="D1627" s="14">
        <v>78.4</v>
      </c>
      <c r="E1627" s="14">
        <v>109.76</v>
      </c>
      <c r="F1627" s="14">
        <v>12.0</v>
      </c>
    </row>
    <row r="1628">
      <c r="A1628" s="15">
        <v>2.0</v>
      </c>
      <c r="B1628" s="16" t="s">
        <v>7062</v>
      </c>
      <c r="C1628" s="17" t="s">
        <v>5536</v>
      </c>
      <c r="D1628" s="18">
        <v>152.96</v>
      </c>
      <c r="E1628" s="18">
        <v>214.14</v>
      </c>
      <c r="F1628" s="18">
        <v>12.0</v>
      </c>
    </row>
    <row r="1629">
      <c r="A1629" s="6"/>
      <c r="B1629" s="7"/>
      <c r="C1629" s="7"/>
      <c r="D1629" s="7"/>
      <c r="E1629" s="7"/>
      <c r="F1629" s="8"/>
    </row>
    <row r="1630">
      <c r="A1630" s="9" t="s">
        <v>7063</v>
      </c>
      <c r="B1630" s="10"/>
      <c r="C1630" s="10"/>
      <c r="D1630" s="10"/>
      <c r="E1630" s="10"/>
      <c r="F1630" s="10"/>
    </row>
    <row r="1631">
      <c r="A1631" s="11">
        <v>1.0</v>
      </c>
      <c r="B1631" s="12" t="s">
        <v>7064</v>
      </c>
      <c r="C1631" s="13" t="s">
        <v>7065</v>
      </c>
      <c r="D1631" s="14">
        <v>157.14</v>
      </c>
      <c r="E1631" s="14">
        <v>220.0</v>
      </c>
      <c r="F1631" s="14">
        <v>12.0</v>
      </c>
    </row>
    <row r="1632">
      <c r="A1632" s="15">
        <v>2.0</v>
      </c>
      <c r="B1632" s="16" t="s">
        <v>7066</v>
      </c>
      <c r="C1632" s="17" t="s">
        <v>6811</v>
      </c>
      <c r="D1632" s="18">
        <v>23.56</v>
      </c>
      <c r="E1632" s="18">
        <v>32.98</v>
      </c>
      <c r="F1632" s="18">
        <v>12.0</v>
      </c>
    </row>
    <row r="1633">
      <c r="A1633" s="15">
        <v>3.0</v>
      </c>
      <c r="B1633" s="16" t="s">
        <v>7067</v>
      </c>
      <c r="C1633" s="17" t="s">
        <v>7068</v>
      </c>
      <c r="D1633" s="18">
        <v>48.48</v>
      </c>
      <c r="E1633" s="18">
        <v>67.87</v>
      </c>
      <c r="F1633" s="18">
        <v>12.0</v>
      </c>
    </row>
    <row r="1634">
      <c r="A1634" s="6"/>
      <c r="B1634" s="7"/>
      <c r="C1634" s="7"/>
      <c r="D1634" s="7"/>
      <c r="E1634" s="7"/>
      <c r="F1634" s="8"/>
    </row>
    <row r="1635">
      <c r="A1635" s="9" t="s">
        <v>7069</v>
      </c>
      <c r="B1635" s="10"/>
      <c r="C1635" s="10"/>
      <c r="D1635" s="10"/>
      <c r="E1635" s="10"/>
      <c r="F1635" s="10"/>
    </row>
    <row r="1636">
      <c r="A1636" s="11">
        <v>1.0</v>
      </c>
      <c r="B1636" s="12" t="s">
        <v>7070</v>
      </c>
      <c r="C1636" s="13" t="s">
        <v>5536</v>
      </c>
      <c r="D1636" s="14">
        <v>371.43</v>
      </c>
      <c r="E1636" s="14">
        <v>520.0</v>
      </c>
      <c r="F1636" s="14">
        <v>12.0</v>
      </c>
    </row>
    <row r="1637">
      <c r="A1637" s="15">
        <v>2.0</v>
      </c>
      <c r="B1637" s="16" t="s">
        <v>7071</v>
      </c>
      <c r="C1637" s="17" t="s">
        <v>7072</v>
      </c>
      <c r="D1637" s="18">
        <v>228.48</v>
      </c>
      <c r="E1637" s="18">
        <v>285.6</v>
      </c>
      <c r="F1637" s="18">
        <v>0.0</v>
      </c>
    </row>
    <row r="1638">
      <c r="A1638" s="15">
        <v>3.0</v>
      </c>
      <c r="B1638" s="16" t="s">
        <v>7073</v>
      </c>
      <c r="C1638" s="17" t="s">
        <v>7074</v>
      </c>
      <c r="D1638" s="18">
        <v>320.46</v>
      </c>
      <c r="E1638" s="18">
        <v>400.57</v>
      </c>
      <c r="F1638" s="18">
        <v>0.0</v>
      </c>
    </row>
    <row r="1639">
      <c r="A1639" s="15">
        <v>4.0</v>
      </c>
      <c r="B1639" s="16" t="s">
        <v>7075</v>
      </c>
      <c r="C1639" s="17" t="s">
        <v>5614</v>
      </c>
      <c r="D1639" s="18">
        <v>226.74</v>
      </c>
      <c r="E1639" s="18">
        <v>317.43</v>
      </c>
      <c r="F1639" s="18">
        <v>12.0</v>
      </c>
    </row>
    <row r="1640">
      <c r="A1640" s="15">
        <v>5.0</v>
      </c>
      <c r="B1640" s="16" t="s">
        <v>7076</v>
      </c>
      <c r="C1640" s="17" t="s">
        <v>5614</v>
      </c>
      <c r="D1640" s="18">
        <v>369.18</v>
      </c>
      <c r="E1640" s="18">
        <v>516.85</v>
      </c>
      <c r="F1640" s="18">
        <v>12.0</v>
      </c>
    </row>
    <row r="1641">
      <c r="A1641" s="6"/>
      <c r="B1641" s="7"/>
      <c r="C1641" s="7"/>
      <c r="D1641" s="7"/>
      <c r="E1641" s="8"/>
      <c r="F1641" s="16" t="s">
        <v>7077</v>
      </c>
    </row>
    <row r="1642">
      <c r="A1642" s="6"/>
      <c r="B1642" s="7"/>
      <c r="C1642" s="7"/>
      <c r="D1642" s="7"/>
      <c r="E1642" s="7"/>
      <c r="F1642" s="8"/>
    </row>
    <row r="1643">
      <c r="A1643" s="6"/>
      <c r="B1643" s="7"/>
      <c r="C1643" s="7"/>
      <c r="D1643" s="7"/>
      <c r="E1643" s="7"/>
      <c r="F1643" s="8"/>
    </row>
    <row r="1644">
      <c r="A1644" s="6"/>
      <c r="B1644" s="7"/>
      <c r="C1644" s="7"/>
      <c r="D1644" s="7"/>
      <c r="E1644" s="7"/>
      <c r="F1644" s="8"/>
    </row>
    <row r="1645">
      <c r="A1645" s="6"/>
      <c r="B1645" s="7"/>
      <c r="C1645" s="7"/>
      <c r="D1645" s="7"/>
      <c r="E1645" s="7"/>
      <c r="F1645" s="8"/>
    </row>
    <row r="1646">
      <c r="A1646" s="9" t="s">
        <v>5582</v>
      </c>
      <c r="B1646" s="10"/>
      <c r="C1646" s="10"/>
      <c r="D1646" s="10"/>
      <c r="E1646" s="10"/>
      <c r="F1646" s="10"/>
    </row>
    <row r="1647">
      <c r="A1647" s="19" t="s">
        <v>5583</v>
      </c>
    </row>
    <row r="1648">
      <c r="A1648" s="6"/>
      <c r="B1648" s="7"/>
      <c r="C1648" s="7"/>
      <c r="D1648" s="8"/>
      <c r="E1648" s="12" t="s">
        <v>5584</v>
      </c>
      <c r="F1648" s="12" t="s">
        <v>7078</v>
      </c>
    </row>
    <row r="1649">
      <c r="A1649" s="20" t="s">
        <v>5522</v>
      </c>
      <c r="B1649" s="16" t="s">
        <v>5523</v>
      </c>
      <c r="C1649" s="16" t="s">
        <v>5524</v>
      </c>
      <c r="D1649" s="16" t="s">
        <v>5525</v>
      </c>
      <c r="E1649" s="16" t="s">
        <v>5526</v>
      </c>
      <c r="F1649" s="16" t="s">
        <v>5586</v>
      </c>
    </row>
    <row r="1650">
      <c r="A1650" s="15">
        <v>6.0</v>
      </c>
      <c r="B1650" s="16" t="s">
        <v>7079</v>
      </c>
      <c r="C1650" s="17" t="s">
        <v>5614</v>
      </c>
      <c r="D1650" s="18">
        <v>100.26</v>
      </c>
      <c r="E1650" s="18">
        <v>140.36</v>
      </c>
      <c r="F1650" s="18">
        <v>12.0</v>
      </c>
    </row>
    <row r="1651">
      <c r="A1651" s="15">
        <v>7.0</v>
      </c>
      <c r="B1651" s="16" t="s">
        <v>7080</v>
      </c>
      <c r="C1651" s="17" t="s">
        <v>6167</v>
      </c>
      <c r="D1651" s="18">
        <v>102.86</v>
      </c>
      <c r="E1651" s="18">
        <v>144.0</v>
      </c>
      <c r="F1651" s="18">
        <v>12.0</v>
      </c>
    </row>
    <row r="1652">
      <c r="A1652" s="15">
        <v>8.0</v>
      </c>
      <c r="B1652" s="16" t="s">
        <v>7080</v>
      </c>
      <c r="C1652" s="17" t="s">
        <v>7081</v>
      </c>
      <c r="D1652" s="18">
        <v>176.59</v>
      </c>
      <c r="E1652" s="18">
        <v>245.0</v>
      </c>
      <c r="F1652" s="18">
        <v>12.0</v>
      </c>
    </row>
    <row r="1653">
      <c r="A1653" s="15">
        <v>9.0</v>
      </c>
      <c r="B1653" s="16" t="s">
        <v>7082</v>
      </c>
      <c r="C1653" s="17" t="s">
        <v>6127</v>
      </c>
      <c r="D1653" s="18">
        <v>198.19</v>
      </c>
      <c r="E1653" s="18">
        <v>302.5</v>
      </c>
      <c r="F1653" s="18">
        <v>12.0</v>
      </c>
    </row>
    <row r="1654">
      <c r="A1654" s="15">
        <v>10.0</v>
      </c>
      <c r="B1654" s="16" t="s">
        <v>7082</v>
      </c>
      <c r="C1654" s="17" t="s">
        <v>5967</v>
      </c>
      <c r="D1654" s="18">
        <v>289.74</v>
      </c>
      <c r="E1654" s="18">
        <v>402.0</v>
      </c>
      <c r="F1654" s="18">
        <v>12.0</v>
      </c>
    </row>
    <row r="1655">
      <c r="A1655" s="15">
        <v>11.0</v>
      </c>
      <c r="B1655" s="16" t="s">
        <v>7083</v>
      </c>
      <c r="C1655" s="16" t="s">
        <v>7084</v>
      </c>
      <c r="D1655" s="18">
        <v>144.37</v>
      </c>
      <c r="E1655" s="18">
        <v>212.95</v>
      </c>
      <c r="F1655" s="18">
        <v>18.0</v>
      </c>
    </row>
    <row r="1656">
      <c r="A1656" s="15">
        <v>12.0</v>
      </c>
      <c r="B1656" s="16" t="s">
        <v>7085</v>
      </c>
      <c r="C1656" s="17" t="s">
        <v>5818</v>
      </c>
      <c r="D1656" s="18">
        <v>45.79</v>
      </c>
      <c r="E1656" s="18">
        <v>64.11</v>
      </c>
      <c r="F1656" s="18">
        <v>12.0</v>
      </c>
    </row>
    <row r="1657">
      <c r="A1657" s="15">
        <v>13.0</v>
      </c>
      <c r="B1657" s="16" t="s">
        <v>7086</v>
      </c>
      <c r="C1657" s="17" t="s">
        <v>5536</v>
      </c>
      <c r="D1657" s="18">
        <v>41.07</v>
      </c>
      <c r="E1657" s="18">
        <v>57.5</v>
      </c>
      <c r="F1657" s="18">
        <v>12.0</v>
      </c>
    </row>
    <row r="1658">
      <c r="A1658" s="15">
        <v>14.0</v>
      </c>
      <c r="B1658" s="16" t="s">
        <v>7087</v>
      </c>
      <c r="C1658" s="17" t="s">
        <v>5536</v>
      </c>
      <c r="D1658" s="18">
        <v>65.2</v>
      </c>
      <c r="E1658" s="18">
        <v>75.68</v>
      </c>
      <c r="F1658" s="18">
        <v>12.0</v>
      </c>
    </row>
    <row r="1659">
      <c r="A1659" s="15">
        <v>15.0</v>
      </c>
      <c r="B1659" s="16" t="s">
        <v>7088</v>
      </c>
      <c r="C1659" s="17" t="s">
        <v>7089</v>
      </c>
      <c r="D1659" s="18">
        <v>248.4</v>
      </c>
      <c r="E1659" s="18">
        <v>310.5</v>
      </c>
      <c r="F1659" s="18">
        <v>0.0</v>
      </c>
    </row>
    <row r="1660">
      <c r="A1660" s="15">
        <v>16.0</v>
      </c>
      <c r="B1660" s="16" t="s">
        <v>1331</v>
      </c>
      <c r="C1660" s="16" t="s">
        <v>5558</v>
      </c>
      <c r="D1660" s="18">
        <v>79.75</v>
      </c>
      <c r="E1660" s="18">
        <v>111.65</v>
      </c>
      <c r="F1660" s="18">
        <v>12.0</v>
      </c>
    </row>
    <row r="1661">
      <c r="A1661" s="15">
        <v>17.0</v>
      </c>
      <c r="B1661" s="16" t="s">
        <v>7090</v>
      </c>
      <c r="C1661" s="17" t="s">
        <v>5739</v>
      </c>
      <c r="D1661" s="18">
        <v>129.64</v>
      </c>
      <c r="E1661" s="18">
        <v>181.5</v>
      </c>
      <c r="F1661" s="18">
        <v>12.0</v>
      </c>
    </row>
    <row r="1662">
      <c r="A1662" s="15">
        <v>18.0</v>
      </c>
      <c r="B1662" s="16" t="s">
        <v>7090</v>
      </c>
      <c r="C1662" s="17" t="s">
        <v>5740</v>
      </c>
      <c r="D1662" s="18">
        <v>182.14</v>
      </c>
      <c r="E1662" s="18">
        <v>255.0</v>
      </c>
      <c r="F1662" s="18">
        <v>12.0</v>
      </c>
    </row>
    <row r="1663">
      <c r="A1663" s="15">
        <v>19.0</v>
      </c>
      <c r="B1663" s="16" t="s">
        <v>7067</v>
      </c>
      <c r="C1663" s="17" t="s">
        <v>7091</v>
      </c>
      <c r="D1663" s="18">
        <v>15.3</v>
      </c>
      <c r="E1663" s="18">
        <v>21.0</v>
      </c>
      <c r="F1663" s="18">
        <v>12.0</v>
      </c>
    </row>
    <row r="1664">
      <c r="A1664" s="15">
        <v>20.0</v>
      </c>
      <c r="B1664" s="16" t="s">
        <v>7067</v>
      </c>
      <c r="C1664" s="17" t="s">
        <v>7092</v>
      </c>
      <c r="D1664" s="18">
        <v>53.57</v>
      </c>
      <c r="E1664" s="18">
        <v>75.0</v>
      </c>
      <c r="F1664" s="18">
        <v>12.0</v>
      </c>
    </row>
    <row r="1665">
      <c r="A1665" s="15">
        <v>21.0</v>
      </c>
      <c r="B1665" s="16" t="s">
        <v>7093</v>
      </c>
      <c r="C1665" s="17" t="s">
        <v>7094</v>
      </c>
      <c r="D1665" s="18">
        <v>201.81</v>
      </c>
      <c r="E1665" s="18">
        <v>280.0</v>
      </c>
      <c r="F1665" s="18">
        <v>12.0</v>
      </c>
    </row>
    <row r="1666">
      <c r="A1666" s="15">
        <v>22.0</v>
      </c>
      <c r="B1666" s="16" t="s">
        <v>1337</v>
      </c>
      <c r="C1666" s="16" t="s">
        <v>5558</v>
      </c>
      <c r="D1666" s="18">
        <v>88.84</v>
      </c>
      <c r="E1666" s="18">
        <v>122.0</v>
      </c>
      <c r="F1666" s="18">
        <v>12.0</v>
      </c>
    </row>
    <row r="1667">
      <c r="A1667" s="15">
        <v>23.0</v>
      </c>
      <c r="B1667" s="16" t="s">
        <v>1338</v>
      </c>
      <c r="C1667" s="16" t="s">
        <v>6101</v>
      </c>
      <c r="D1667" s="18">
        <v>316.43</v>
      </c>
      <c r="E1667" s="18">
        <v>443.0</v>
      </c>
      <c r="F1667" s="18">
        <v>12.0</v>
      </c>
    </row>
    <row r="1668">
      <c r="A1668" s="6"/>
      <c r="B1668" s="7"/>
      <c r="C1668" s="7"/>
      <c r="D1668" s="7"/>
      <c r="E1668" s="7"/>
      <c r="F1668" s="8"/>
    </row>
    <row r="1669">
      <c r="A1669" s="9" t="s">
        <v>7095</v>
      </c>
      <c r="B1669" s="10"/>
      <c r="C1669" s="10"/>
      <c r="D1669" s="10"/>
      <c r="E1669" s="10"/>
      <c r="F1669" s="10"/>
    </row>
    <row r="1670">
      <c r="A1670" s="11">
        <v>1.0</v>
      </c>
      <c r="B1670" s="12" t="s">
        <v>1339</v>
      </c>
      <c r="C1670" s="12" t="s">
        <v>5679</v>
      </c>
      <c r="D1670" s="14">
        <v>105.44</v>
      </c>
      <c r="E1670" s="14">
        <v>147.62</v>
      </c>
      <c r="F1670" s="14">
        <v>12.0</v>
      </c>
    </row>
    <row r="1671">
      <c r="A1671" s="15">
        <v>2.0</v>
      </c>
      <c r="B1671" s="16" t="s">
        <v>7096</v>
      </c>
      <c r="C1671" s="17" t="s">
        <v>6659</v>
      </c>
      <c r="D1671" s="18">
        <v>72.82</v>
      </c>
      <c r="E1671" s="18">
        <v>101.95</v>
      </c>
      <c r="F1671" s="18">
        <v>12.0</v>
      </c>
    </row>
    <row r="1672">
      <c r="A1672" s="15">
        <v>3.0</v>
      </c>
      <c r="B1672" s="16" t="s">
        <v>7097</v>
      </c>
      <c r="C1672" s="17" t="s">
        <v>5536</v>
      </c>
      <c r="D1672" s="18">
        <v>81.67</v>
      </c>
      <c r="E1672" s="18">
        <v>86.0</v>
      </c>
      <c r="F1672" s="18">
        <v>12.0</v>
      </c>
    </row>
    <row r="1673">
      <c r="A1673" s="15">
        <v>4.0</v>
      </c>
      <c r="B1673" s="16" t="s">
        <v>7098</v>
      </c>
      <c r="C1673" s="17" t="s">
        <v>5536</v>
      </c>
      <c r="D1673" s="18">
        <v>108.57</v>
      </c>
      <c r="E1673" s="18">
        <v>152.0</v>
      </c>
      <c r="F1673" s="18">
        <v>12.0</v>
      </c>
    </row>
    <row r="1674">
      <c r="A1674" s="15">
        <v>5.0</v>
      </c>
      <c r="B1674" s="16" t="s">
        <v>7099</v>
      </c>
      <c r="C1674" s="17" t="s">
        <v>5765</v>
      </c>
      <c r="D1674" s="18">
        <v>91.74</v>
      </c>
      <c r="E1674" s="18">
        <v>128.43</v>
      </c>
      <c r="F1674" s="18">
        <v>12.0</v>
      </c>
    </row>
    <row r="1675">
      <c r="A1675" s="15">
        <v>6.0</v>
      </c>
      <c r="B1675" s="16" t="s">
        <v>7100</v>
      </c>
      <c r="C1675" s="17" t="s">
        <v>5765</v>
      </c>
      <c r="D1675" s="18">
        <v>167.79</v>
      </c>
      <c r="E1675" s="18">
        <v>234.91</v>
      </c>
      <c r="F1675" s="18">
        <v>12.0</v>
      </c>
    </row>
    <row r="1676">
      <c r="A1676" s="15">
        <v>7.0</v>
      </c>
      <c r="B1676" s="16" t="s">
        <v>7101</v>
      </c>
      <c r="C1676" s="17" t="s">
        <v>6749</v>
      </c>
      <c r="D1676" s="18">
        <v>141.62</v>
      </c>
      <c r="E1676" s="18">
        <v>196.5</v>
      </c>
      <c r="F1676" s="18">
        <v>12.0</v>
      </c>
    </row>
    <row r="1677">
      <c r="A1677" s="15">
        <v>8.0</v>
      </c>
      <c r="B1677" s="16" t="s">
        <v>7102</v>
      </c>
      <c r="C1677" s="17" t="s">
        <v>5765</v>
      </c>
      <c r="D1677" s="18">
        <v>152.43</v>
      </c>
      <c r="E1677" s="18">
        <v>213.4</v>
      </c>
      <c r="F1677" s="18">
        <v>12.0</v>
      </c>
    </row>
    <row r="1678">
      <c r="A1678" s="15">
        <v>9.0</v>
      </c>
      <c r="B1678" s="16" t="s">
        <v>7103</v>
      </c>
      <c r="C1678" s="17" t="s">
        <v>7104</v>
      </c>
      <c r="D1678" s="18">
        <v>76.09</v>
      </c>
      <c r="E1678" s="18">
        <v>104.5</v>
      </c>
      <c r="F1678" s="18">
        <v>12.0</v>
      </c>
    </row>
    <row r="1679">
      <c r="A1679" s="15">
        <v>10.0</v>
      </c>
      <c r="B1679" s="16" t="s">
        <v>7105</v>
      </c>
      <c r="C1679" s="17" t="s">
        <v>5636</v>
      </c>
      <c r="D1679" s="18">
        <v>34.22</v>
      </c>
      <c r="E1679" s="18">
        <v>47.0</v>
      </c>
      <c r="F1679" s="18">
        <v>12.0</v>
      </c>
    </row>
    <row r="1680">
      <c r="A1680" s="6"/>
      <c r="B1680" s="7"/>
      <c r="C1680" s="7"/>
      <c r="D1680" s="7"/>
      <c r="E1680" s="7"/>
      <c r="F1680" s="8"/>
    </row>
    <row r="1681">
      <c r="A1681" s="9" t="s">
        <v>7106</v>
      </c>
      <c r="B1681" s="10"/>
      <c r="C1681" s="10"/>
      <c r="D1681" s="10"/>
      <c r="E1681" s="10"/>
      <c r="F1681" s="10"/>
    </row>
    <row r="1682">
      <c r="A1682" s="11">
        <v>1.0</v>
      </c>
      <c r="B1682" s="12" t="s">
        <v>7107</v>
      </c>
      <c r="C1682" s="13" t="s">
        <v>7108</v>
      </c>
      <c r="D1682" s="14">
        <v>2420.0</v>
      </c>
      <c r="E1682" s="14">
        <v>3025.0</v>
      </c>
      <c r="F1682" s="14">
        <v>5.0</v>
      </c>
    </row>
    <row r="1683">
      <c r="A1683" s="15">
        <v>2.0</v>
      </c>
      <c r="B1683" s="16" t="s">
        <v>7107</v>
      </c>
      <c r="C1683" s="17" t="s">
        <v>7109</v>
      </c>
      <c r="D1683" s="18">
        <v>748.0</v>
      </c>
      <c r="E1683" s="18">
        <v>935.0</v>
      </c>
      <c r="F1683" s="18">
        <v>5.0</v>
      </c>
    </row>
    <row r="1684">
      <c r="A1684" s="6"/>
      <c r="B1684" s="7"/>
      <c r="C1684" s="7"/>
      <c r="D1684" s="7"/>
      <c r="E1684" s="7"/>
      <c r="F1684" s="8"/>
    </row>
    <row r="1685">
      <c r="A1685" s="9" t="s">
        <v>7110</v>
      </c>
      <c r="B1685" s="10"/>
      <c r="C1685" s="10"/>
      <c r="D1685" s="10"/>
      <c r="E1685" s="10"/>
      <c r="F1685" s="10"/>
    </row>
    <row r="1686">
      <c r="A1686" s="11">
        <v>1.0</v>
      </c>
      <c r="B1686" s="12" t="s">
        <v>7111</v>
      </c>
      <c r="C1686" s="13" t="s">
        <v>5620</v>
      </c>
      <c r="D1686" s="14">
        <v>810.71</v>
      </c>
      <c r="E1686" s="14">
        <v>1135.0</v>
      </c>
      <c r="F1686" s="14">
        <v>12.0</v>
      </c>
    </row>
    <row r="1687">
      <c r="A1687" s="15">
        <v>2.0</v>
      </c>
      <c r="B1687" s="16" t="s">
        <v>7112</v>
      </c>
      <c r="C1687" s="17" t="s">
        <v>5536</v>
      </c>
      <c r="D1687" s="18">
        <v>442.85</v>
      </c>
      <c r="E1687" s="18">
        <v>614.45</v>
      </c>
      <c r="F1687" s="18">
        <v>12.0</v>
      </c>
    </row>
    <row r="1688">
      <c r="A1688" s="15">
        <v>3.0</v>
      </c>
      <c r="B1688" s="16" t="s">
        <v>7113</v>
      </c>
      <c r="C1688" s="17" t="s">
        <v>5536</v>
      </c>
      <c r="D1688" s="18">
        <v>746.43</v>
      </c>
      <c r="E1688" s="18">
        <v>1045.0</v>
      </c>
      <c r="F1688" s="18">
        <v>12.0</v>
      </c>
    </row>
    <row r="1689">
      <c r="A1689" s="6"/>
      <c r="B1689" s="7"/>
      <c r="C1689" s="7"/>
      <c r="D1689" s="7"/>
      <c r="E1689" s="7"/>
      <c r="F1689" s="8"/>
    </row>
    <row r="1690">
      <c r="A1690" s="9" t="s">
        <v>7114</v>
      </c>
      <c r="B1690" s="10"/>
      <c r="C1690" s="10"/>
      <c r="D1690" s="10"/>
      <c r="E1690" s="10"/>
      <c r="F1690" s="10"/>
    </row>
    <row r="1691">
      <c r="A1691" s="11">
        <v>1.0</v>
      </c>
      <c r="B1691" s="12" t="s">
        <v>7115</v>
      </c>
      <c r="C1691" s="13" t="s">
        <v>5603</v>
      </c>
      <c r="D1691" s="14">
        <v>216.5</v>
      </c>
      <c r="E1691" s="14">
        <v>303.1</v>
      </c>
      <c r="F1691" s="14">
        <v>12.0</v>
      </c>
    </row>
    <row r="1692">
      <c r="A1692" s="15">
        <v>2.0</v>
      </c>
      <c r="B1692" s="16" t="s">
        <v>7116</v>
      </c>
      <c r="C1692" s="17" t="s">
        <v>5546</v>
      </c>
      <c r="D1692" s="18">
        <v>82.86</v>
      </c>
      <c r="E1692" s="18">
        <v>116.0</v>
      </c>
      <c r="F1692" s="18">
        <v>12.0</v>
      </c>
    </row>
    <row r="1693">
      <c r="A1693" s="15">
        <v>3.0</v>
      </c>
      <c r="B1693" s="16" t="s">
        <v>7117</v>
      </c>
      <c r="C1693" s="17" t="s">
        <v>7118</v>
      </c>
      <c r="D1693" s="18">
        <v>32.41</v>
      </c>
      <c r="E1693" s="18">
        <v>45.37</v>
      </c>
      <c r="F1693" s="18">
        <v>12.0</v>
      </c>
    </row>
    <row r="1694">
      <c r="A1694" s="15">
        <v>4.0</v>
      </c>
      <c r="B1694" s="16" t="s">
        <v>7117</v>
      </c>
      <c r="C1694" s="17" t="s">
        <v>7119</v>
      </c>
      <c r="D1694" s="18">
        <v>32.41</v>
      </c>
      <c r="E1694" s="18">
        <v>45.37</v>
      </c>
      <c r="F1694" s="18">
        <v>12.0</v>
      </c>
    </row>
    <row r="1695">
      <c r="A1695" s="15">
        <v>5.0</v>
      </c>
      <c r="B1695" s="16" t="s">
        <v>7120</v>
      </c>
      <c r="C1695" s="17" t="s">
        <v>5546</v>
      </c>
      <c r="D1695" s="18">
        <v>47.68</v>
      </c>
      <c r="E1695" s="18">
        <v>66.75</v>
      </c>
      <c r="F1695" s="18">
        <v>12.0</v>
      </c>
    </row>
    <row r="1696">
      <c r="A1696" s="15">
        <v>6.0</v>
      </c>
      <c r="B1696" s="16" t="s">
        <v>7121</v>
      </c>
      <c r="C1696" s="17" t="s">
        <v>5536</v>
      </c>
      <c r="D1696" s="18">
        <v>67.5</v>
      </c>
      <c r="E1696" s="18">
        <v>94.5</v>
      </c>
      <c r="F1696" s="18">
        <v>12.0</v>
      </c>
    </row>
    <row r="1697">
      <c r="A1697" s="15">
        <v>7.0</v>
      </c>
      <c r="B1697" s="16" t="s">
        <v>7122</v>
      </c>
      <c r="C1697" s="17" t="s">
        <v>5536</v>
      </c>
      <c r="D1697" s="18">
        <v>137.85</v>
      </c>
      <c r="E1697" s="18">
        <v>192.99</v>
      </c>
      <c r="F1697" s="18">
        <v>12.0</v>
      </c>
    </row>
    <row r="1698">
      <c r="A1698" s="15">
        <v>8.0</v>
      </c>
      <c r="B1698" s="16" t="s">
        <v>7123</v>
      </c>
      <c r="C1698" s="17" t="s">
        <v>5536</v>
      </c>
      <c r="D1698" s="18">
        <v>52.64</v>
      </c>
      <c r="E1698" s="18">
        <v>73.7</v>
      </c>
      <c r="F1698" s="18">
        <v>12.0</v>
      </c>
    </row>
    <row r="1699">
      <c r="A1699" s="15">
        <v>9.0</v>
      </c>
      <c r="B1699" s="16" t="s">
        <v>7124</v>
      </c>
      <c r="C1699" s="17" t="s">
        <v>5536</v>
      </c>
      <c r="D1699" s="18">
        <v>25.55</v>
      </c>
      <c r="E1699" s="18">
        <v>35.77</v>
      </c>
      <c r="F1699" s="18">
        <v>12.0</v>
      </c>
    </row>
    <row r="1700">
      <c r="A1700" s="15">
        <v>10.0</v>
      </c>
      <c r="B1700" s="16" t="s">
        <v>7124</v>
      </c>
      <c r="C1700" s="17" t="s">
        <v>5546</v>
      </c>
      <c r="D1700" s="18">
        <v>26.03</v>
      </c>
      <c r="E1700" s="18">
        <v>36.44</v>
      </c>
      <c r="F1700" s="18">
        <v>12.0</v>
      </c>
    </row>
    <row r="1701">
      <c r="A1701" s="15">
        <v>11.0</v>
      </c>
      <c r="B1701" s="16" t="s">
        <v>7125</v>
      </c>
      <c r="C1701" s="17" t="s">
        <v>5546</v>
      </c>
      <c r="D1701" s="18">
        <v>42.39</v>
      </c>
      <c r="E1701" s="18">
        <v>59.34</v>
      </c>
      <c r="F1701" s="18">
        <v>12.0</v>
      </c>
    </row>
    <row r="1702">
      <c r="A1702" s="15">
        <v>12.0</v>
      </c>
      <c r="B1702" s="16" t="s">
        <v>7126</v>
      </c>
      <c r="C1702" s="17" t="s">
        <v>5530</v>
      </c>
      <c r="D1702" s="18">
        <v>48.71</v>
      </c>
      <c r="E1702" s="18">
        <v>68.2</v>
      </c>
      <c r="F1702" s="18">
        <v>12.0</v>
      </c>
    </row>
    <row r="1703">
      <c r="A1703" s="15">
        <v>13.0</v>
      </c>
      <c r="B1703" s="16" t="s">
        <v>7126</v>
      </c>
      <c r="C1703" s="17" t="s">
        <v>5531</v>
      </c>
      <c r="D1703" s="18">
        <v>95.94</v>
      </c>
      <c r="E1703" s="18">
        <v>134.31</v>
      </c>
      <c r="F1703" s="18">
        <v>12.0</v>
      </c>
    </row>
    <row r="1704">
      <c r="A1704" s="15">
        <v>14.0</v>
      </c>
      <c r="B1704" s="16" t="s">
        <v>7127</v>
      </c>
      <c r="C1704" s="17" t="s">
        <v>5530</v>
      </c>
      <c r="D1704" s="18">
        <v>81.13</v>
      </c>
      <c r="E1704" s="18">
        <v>113.58</v>
      </c>
      <c r="F1704" s="18">
        <v>12.0</v>
      </c>
    </row>
    <row r="1705">
      <c r="A1705" s="15">
        <v>15.0</v>
      </c>
      <c r="B1705" s="16" t="s">
        <v>7127</v>
      </c>
      <c r="C1705" s="17" t="s">
        <v>5531</v>
      </c>
      <c r="D1705" s="18">
        <v>97.24</v>
      </c>
      <c r="E1705" s="18">
        <v>136.13</v>
      </c>
      <c r="F1705" s="18">
        <v>12.0</v>
      </c>
    </row>
    <row r="1706">
      <c r="A1706" s="15">
        <v>16.0</v>
      </c>
      <c r="B1706" s="16" t="s">
        <v>7128</v>
      </c>
      <c r="C1706" s="17" t="s">
        <v>6167</v>
      </c>
      <c r="D1706" s="18">
        <v>120.14</v>
      </c>
      <c r="E1706" s="18">
        <v>168.19</v>
      </c>
      <c r="F1706" s="18">
        <v>12.0</v>
      </c>
    </row>
    <row r="1707">
      <c r="A1707" s="15">
        <v>17.0</v>
      </c>
      <c r="B1707" s="16" t="s">
        <v>7128</v>
      </c>
      <c r="C1707" s="17" t="s">
        <v>7129</v>
      </c>
      <c r="D1707" s="18">
        <v>46.67</v>
      </c>
      <c r="E1707" s="18">
        <v>65.34</v>
      </c>
      <c r="F1707" s="18">
        <v>12.0</v>
      </c>
    </row>
    <row r="1708">
      <c r="A1708" s="15">
        <v>18.0</v>
      </c>
      <c r="B1708" s="16" t="s">
        <v>7128</v>
      </c>
      <c r="C1708" s="17" t="s">
        <v>6019</v>
      </c>
      <c r="D1708" s="18">
        <v>48.23</v>
      </c>
      <c r="E1708" s="18">
        <v>67.53</v>
      </c>
      <c r="F1708" s="18">
        <v>12.0</v>
      </c>
    </row>
    <row r="1709">
      <c r="A1709" s="15">
        <v>19.0</v>
      </c>
      <c r="B1709" s="16" t="s">
        <v>7128</v>
      </c>
      <c r="C1709" s="17" t="s">
        <v>7130</v>
      </c>
      <c r="D1709" s="18">
        <v>68.98</v>
      </c>
      <c r="E1709" s="18">
        <v>96.57</v>
      </c>
      <c r="F1709" s="18">
        <v>12.0</v>
      </c>
    </row>
    <row r="1710">
      <c r="A1710" s="15">
        <v>20.0</v>
      </c>
      <c r="B1710" s="16" t="s">
        <v>7131</v>
      </c>
      <c r="C1710" s="17" t="s">
        <v>5818</v>
      </c>
      <c r="D1710" s="18">
        <v>124.08</v>
      </c>
      <c r="E1710" s="18">
        <v>173.71</v>
      </c>
      <c r="F1710" s="18">
        <v>12.0</v>
      </c>
    </row>
    <row r="1711">
      <c r="A1711" s="6"/>
      <c r="B1711" s="7"/>
      <c r="C1711" s="7"/>
      <c r="D1711" s="7"/>
      <c r="E1711" s="8"/>
      <c r="F1711" s="16" t="s">
        <v>7132</v>
      </c>
    </row>
    <row r="1712">
      <c r="A1712" s="6"/>
      <c r="B1712" s="7"/>
      <c r="C1712" s="7"/>
      <c r="D1712" s="7"/>
      <c r="E1712" s="7"/>
      <c r="F1712" s="8"/>
    </row>
    <row r="1713">
      <c r="A1713" s="6"/>
      <c r="B1713" s="7"/>
      <c r="C1713" s="7"/>
      <c r="D1713" s="7"/>
      <c r="E1713" s="7"/>
      <c r="F1713" s="8"/>
    </row>
    <row r="1714">
      <c r="A1714" s="6"/>
      <c r="B1714" s="7"/>
      <c r="C1714" s="7"/>
      <c r="D1714" s="7"/>
      <c r="E1714" s="7"/>
      <c r="F1714" s="8"/>
    </row>
    <row r="1715">
      <c r="A1715" s="6"/>
      <c r="B1715" s="7"/>
      <c r="C1715" s="7"/>
      <c r="D1715" s="7"/>
      <c r="E1715" s="7"/>
      <c r="F1715" s="8"/>
    </row>
    <row r="1716">
      <c r="A1716" s="9" t="s">
        <v>5582</v>
      </c>
      <c r="B1716" s="10"/>
      <c r="C1716" s="10"/>
      <c r="D1716" s="10"/>
      <c r="E1716" s="10"/>
      <c r="F1716" s="10"/>
    </row>
    <row r="1717">
      <c r="A1717" s="19" t="s">
        <v>5583</v>
      </c>
    </row>
    <row r="1718">
      <c r="A1718" s="6"/>
      <c r="B1718" s="7"/>
      <c r="C1718" s="7"/>
      <c r="D1718" s="8"/>
      <c r="E1718" s="12" t="s">
        <v>5584</v>
      </c>
      <c r="F1718" s="12" t="s">
        <v>7133</v>
      </c>
    </row>
    <row r="1719">
      <c r="A1719" s="20" t="s">
        <v>5522</v>
      </c>
      <c r="B1719" s="16" t="s">
        <v>5523</v>
      </c>
      <c r="C1719" s="16" t="s">
        <v>5524</v>
      </c>
      <c r="D1719" s="16" t="s">
        <v>5525</v>
      </c>
      <c r="E1719" s="16" t="s">
        <v>5526</v>
      </c>
      <c r="F1719" s="16" t="s">
        <v>5586</v>
      </c>
    </row>
    <row r="1720">
      <c r="A1720" s="15">
        <v>21.0</v>
      </c>
      <c r="B1720" s="16" t="s">
        <v>7131</v>
      </c>
      <c r="C1720" s="17" t="s">
        <v>6019</v>
      </c>
      <c r="D1720" s="18">
        <v>47.14</v>
      </c>
      <c r="E1720" s="18">
        <v>66.0</v>
      </c>
      <c r="F1720" s="18">
        <v>12.0</v>
      </c>
    </row>
    <row r="1721">
      <c r="A1721" s="15">
        <v>22.0</v>
      </c>
      <c r="B1721" s="16" t="s">
        <v>7131</v>
      </c>
      <c r="C1721" s="17" t="s">
        <v>6020</v>
      </c>
      <c r="D1721" s="18">
        <v>67.5</v>
      </c>
      <c r="E1721" s="18">
        <v>94.5</v>
      </c>
      <c r="F1721" s="18">
        <v>12.0</v>
      </c>
    </row>
    <row r="1722">
      <c r="A1722" s="15">
        <v>23.0</v>
      </c>
      <c r="B1722" s="16" t="s">
        <v>7134</v>
      </c>
      <c r="C1722" s="17" t="s">
        <v>5536</v>
      </c>
      <c r="D1722" s="18">
        <v>80.81</v>
      </c>
      <c r="E1722" s="18">
        <v>113.13</v>
      </c>
      <c r="F1722" s="18">
        <v>12.0</v>
      </c>
    </row>
    <row r="1723">
      <c r="A1723" s="15">
        <v>24.0</v>
      </c>
      <c r="B1723" s="16" t="s">
        <v>7135</v>
      </c>
      <c r="C1723" s="17" t="s">
        <v>5536</v>
      </c>
      <c r="D1723" s="18">
        <v>148.22</v>
      </c>
      <c r="E1723" s="18">
        <v>207.51</v>
      </c>
      <c r="F1723" s="18">
        <v>12.0</v>
      </c>
    </row>
    <row r="1724">
      <c r="A1724" s="15">
        <v>25.0</v>
      </c>
      <c r="B1724" s="16" t="s">
        <v>7136</v>
      </c>
      <c r="C1724" s="17" t="s">
        <v>5636</v>
      </c>
      <c r="D1724" s="18">
        <v>85.71</v>
      </c>
      <c r="E1724" s="18">
        <v>120.0</v>
      </c>
      <c r="F1724" s="18">
        <v>12.0</v>
      </c>
    </row>
    <row r="1725">
      <c r="A1725" s="15">
        <v>26.0</v>
      </c>
      <c r="B1725" s="16" t="s">
        <v>7137</v>
      </c>
      <c r="C1725" s="17" t="s">
        <v>5830</v>
      </c>
      <c r="D1725" s="18">
        <v>99.1</v>
      </c>
      <c r="E1725" s="18">
        <v>137.5</v>
      </c>
      <c r="F1725" s="18">
        <v>12.0</v>
      </c>
    </row>
    <row r="1726">
      <c r="A1726" s="15">
        <v>27.0</v>
      </c>
      <c r="B1726" s="16" t="s">
        <v>7137</v>
      </c>
      <c r="C1726" s="17" t="s">
        <v>5636</v>
      </c>
      <c r="D1726" s="18">
        <v>92.48</v>
      </c>
      <c r="E1726" s="18">
        <v>129.47</v>
      </c>
      <c r="F1726" s="18">
        <v>12.0</v>
      </c>
    </row>
    <row r="1727">
      <c r="A1727" s="15">
        <v>28.0</v>
      </c>
      <c r="B1727" s="16" t="s">
        <v>7138</v>
      </c>
      <c r="C1727" s="17" t="s">
        <v>6046</v>
      </c>
      <c r="D1727" s="18">
        <v>102.54</v>
      </c>
      <c r="E1727" s="18">
        <v>143.55</v>
      </c>
      <c r="F1727" s="18">
        <v>12.0</v>
      </c>
    </row>
    <row r="1728">
      <c r="A1728" s="15">
        <v>29.0</v>
      </c>
      <c r="B1728" s="16" t="s">
        <v>7139</v>
      </c>
      <c r="C1728" s="17" t="s">
        <v>5536</v>
      </c>
      <c r="D1728" s="18">
        <v>175.01</v>
      </c>
      <c r="E1728" s="18">
        <v>245.02</v>
      </c>
      <c r="F1728" s="18">
        <v>12.0</v>
      </c>
    </row>
    <row r="1729">
      <c r="A1729" s="15">
        <v>30.0</v>
      </c>
      <c r="B1729" s="16" t="s">
        <v>7140</v>
      </c>
      <c r="C1729" s="17" t="s">
        <v>5536</v>
      </c>
      <c r="D1729" s="18">
        <v>87.72</v>
      </c>
      <c r="E1729" s="18">
        <v>122.81</v>
      </c>
      <c r="F1729" s="18">
        <v>12.0</v>
      </c>
    </row>
    <row r="1730">
      <c r="A1730" s="15">
        <v>31.0</v>
      </c>
      <c r="B1730" s="16" t="s">
        <v>7141</v>
      </c>
      <c r="C1730" s="17" t="s">
        <v>7142</v>
      </c>
      <c r="D1730" s="18">
        <v>35.75</v>
      </c>
      <c r="E1730" s="18">
        <v>50.05</v>
      </c>
      <c r="F1730" s="18">
        <v>12.0</v>
      </c>
    </row>
    <row r="1731">
      <c r="A1731" s="15">
        <v>32.0</v>
      </c>
      <c r="B1731" s="16" t="s">
        <v>7141</v>
      </c>
      <c r="C1731" s="17" t="s">
        <v>7143</v>
      </c>
      <c r="D1731" s="18">
        <v>53.82</v>
      </c>
      <c r="E1731" s="18">
        <v>75.35</v>
      </c>
      <c r="F1731" s="18">
        <v>12.0</v>
      </c>
    </row>
    <row r="1732">
      <c r="A1732" s="15">
        <v>33.0</v>
      </c>
      <c r="B1732" s="16" t="s">
        <v>7144</v>
      </c>
      <c r="C1732" s="17" t="s">
        <v>7142</v>
      </c>
      <c r="D1732" s="18">
        <v>36.54</v>
      </c>
      <c r="E1732" s="18">
        <v>51.15</v>
      </c>
      <c r="F1732" s="18">
        <v>12.0</v>
      </c>
    </row>
    <row r="1733">
      <c r="A1733" s="15">
        <v>34.0</v>
      </c>
      <c r="B1733" s="16" t="s">
        <v>7144</v>
      </c>
      <c r="C1733" s="17" t="s">
        <v>7143</v>
      </c>
      <c r="D1733" s="18">
        <v>60.93</v>
      </c>
      <c r="E1733" s="18">
        <v>85.3</v>
      </c>
      <c r="F1733" s="18">
        <v>12.0</v>
      </c>
    </row>
    <row r="1734">
      <c r="A1734" s="15">
        <v>35.0</v>
      </c>
      <c r="B1734" s="16" t="s">
        <v>7145</v>
      </c>
      <c r="C1734" s="17" t="s">
        <v>5636</v>
      </c>
      <c r="D1734" s="18">
        <v>105.58</v>
      </c>
      <c r="E1734" s="18">
        <v>145.0</v>
      </c>
      <c r="F1734" s="18">
        <v>12.0</v>
      </c>
    </row>
    <row r="1735">
      <c r="A1735" s="15">
        <v>36.0</v>
      </c>
      <c r="B1735" s="16" t="s">
        <v>7146</v>
      </c>
      <c r="C1735" s="17" t="s">
        <v>5536</v>
      </c>
      <c r="D1735" s="18">
        <v>71.36</v>
      </c>
      <c r="E1735" s="18">
        <v>98.0</v>
      </c>
      <c r="F1735" s="18">
        <v>12.0</v>
      </c>
    </row>
    <row r="1736">
      <c r="A1736" s="15">
        <v>37.0</v>
      </c>
      <c r="B1736" s="16" t="s">
        <v>7147</v>
      </c>
      <c r="C1736" s="17" t="s">
        <v>5536</v>
      </c>
      <c r="D1736" s="18">
        <v>108.12</v>
      </c>
      <c r="E1736" s="18">
        <v>150.0</v>
      </c>
      <c r="F1736" s="18">
        <v>12.0</v>
      </c>
    </row>
    <row r="1737">
      <c r="A1737" s="15">
        <v>38.0</v>
      </c>
      <c r="B1737" s="16" t="s">
        <v>7148</v>
      </c>
      <c r="C1737" s="17" t="s">
        <v>5620</v>
      </c>
      <c r="D1737" s="18">
        <v>250.0</v>
      </c>
      <c r="E1737" s="18">
        <v>350.0</v>
      </c>
      <c r="F1737" s="18">
        <v>12.0</v>
      </c>
    </row>
    <row r="1738">
      <c r="A1738" s="15">
        <v>39.0</v>
      </c>
      <c r="B1738" s="16" t="s">
        <v>7149</v>
      </c>
      <c r="C1738" s="17" t="s">
        <v>5636</v>
      </c>
      <c r="D1738" s="18">
        <v>21.07</v>
      </c>
      <c r="E1738" s="18">
        <v>28.93</v>
      </c>
      <c r="F1738" s="18">
        <v>12.0</v>
      </c>
    </row>
    <row r="1739">
      <c r="A1739" s="15">
        <v>40.0</v>
      </c>
      <c r="B1739" s="16" t="s">
        <v>7150</v>
      </c>
      <c r="C1739" s="17" t="s">
        <v>5636</v>
      </c>
      <c r="D1739" s="18">
        <v>36.23</v>
      </c>
      <c r="E1739" s="18">
        <v>49.75</v>
      </c>
      <c r="F1739" s="18">
        <v>12.0</v>
      </c>
    </row>
    <row r="1740">
      <c r="A1740" s="15">
        <v>41.0</v>
      </c>
      <c r="B1740" s="16" t="s">
        <v>1394</v>
      </c>
      <c r="C1740" s="16" t="s">
        <v>5558</v>
      </c>
      <c r="D1740" s="18">
        <v>62.63</v>
      </c>
      <c r="E1740" s="18">
        <v>86.0</v>
      </c>
      <c r="F1740" s="18">
        <v>12.0</v>
      </c>
    </row>
    <row r="1741">
      <c r="A1741" s="6"/>
      <c r="B1741" s="7"/>
      <c r="C1741" s="7"/>
      <c r="D1741" s="7"/>
      <c r="E1741" s="7"/>
      <c r="F1741" s="8"/>
    </row>
    <row r="1742">
      <c r="A1742" s="9" t="s">
        <v>7151</v>
      </c>
      <c r="B1742" s="10"/>
      <c r="C1742" s="10"/>
      <c r="D1742" s="10"/>
      <c r="E1742" s="10"/>
      <c r="F1742" s="10"/>
    </row>
    <row r="1743">
      <c r="A1743" s="11">
        <v>1.0</v>
      </c>
      <c r="B1743" s="12" t="s">
        <v>7152</v>
      </c>
      <c r="C1743" s="13" t="s">
        <v>5546</v>
      </c>
      <c r="D1743" s="14">
        <v>13.52</v>
      </c>
      <c r="E1743" s="14">
        <v>18.93</v>
      </c>
      <c r="F1743" s="14">
        <v>12.0</v>
      </c>
    </row>
    <row r="1744">
      <c r="A1744" s="15">
        <v>2.0</v>
      </c>
      <c r="B1744" s="16" t="s">
        <v>7153</v>
      </c>
      <c r="C1744" s="17" t="s">
        <v>5546</v>
      </c>
      <c r="D1744" s="18">
        <v>32.35</v>
      </c>
      <c r="E1744" s="18">
        <v>45.29</v>
      </c>
      <c r="F1744" s="18">
        <v>12.0</v>
      </c>
    </row>
    <row r="1745">
      <c r="A1745" s="15">
        <v>3.0</v>
      </c>
      <c r="B1745" s="16" t="s">
        <v>7154</v>
      </c>
      <c r="C1745" s="17" t="s">
        <v>7155</v>
      </c>
      <c r="D1745" s="18">
        <v>33.5</v>
      </c>
      <c r="E1745" s="18">
        <v>46.9</v>
      </c>
      <c r="F1745" s="18">
        <v>12.0</v>
      </c>
    </row>
    <row r="1746">
      <c r="A1746" s="15">
        <v>4.0</v>
      </c>
      <c r="B1746" s="16" t="s">
        <v>7154</v>
      </c>
      <c r="C1746" s="17" t="s">
        <v>6043</v>
      </c>
      <c r="D1746" s="18">
        <v>64.16</v>
      </c>
      <c r="E1746" s="18">
        <v>89.83</v>
      </c>
      <c r="F1746" s="18">
        <v>12.0</v>
      </c>
    </row>
    <row r="1747">
      <c r="A1747" s="15">
        <v>5.0</v>
      </c>
      <c r="B1747" s="16" t="s">
        <v>7156</v>
      </c>
      <c r="C1747" s="17" t="s">
        <v>5546</v>
      </c>
      <c r="D1747" s="18">
        <v>60.43</v>
      </c>
      <c r="E1747" s="18">
        <v>84.6</v>
      </c>
      <c r="F1747" s="18">
        <v>12.0</v>
      </c>
    </row>
    <row r="1748">
      <c r="A1748" s="15">
        <v>6.0</v>
      </c>
      <c r="B1748" s="16" t="s">
        <v>7157</v>
      </c>
      <c r="C1748" s="17" t="s">
        <v>7158</v>
      </c>
      <c r="D1748" s="18">
        <v>50.99</v>
      </c>
      <c r="E1748" s="18">
        <v>71.39</v>
      </c>
      <c r="F1748" s="18">
        <v>12.0</v>
      </c>
    </row>
    <row r="1749">
      <c r="A1749" s="15">
        <v>7.0</v>
      </c>
      <c r="B1749" s="16" t="s">
        <v>7157</v>
      </c>
      <c r="C1749" s="17" t="s">
        <v>7159</v>
      </c>
      <c r="D1749" s="18">
        <v>55.61</v>
      </c>
      <c r="E1749" s="18">
        <v>77.85</v>
      </c>
      <c r="F1749" s="18">
        <v>12.0</v>
      </c>
    </row>
    <row r="1750">
      <c r="A1750" s="15">
        <v>8.0</v>
      </c>
      <c r="B1750" s="16" t="s">
        <v>7160</v>
      </c>
      <c r="C1750" s="17" t="s">
        <v>5536</v>
      </c>
      <c r="D1750" s="18">
        <v>126.19</v>
      </c>
      <c r="E1750" s="18">
        <v>176.66</v>
      </c>
      <c r="F1750" s="18">
        <v>12.0</v>
      </c>
    </row>
    <row r="1751">
      <c r="A1751" s="15">
        <v>9.0</v>
      </c>
      <c r="B1751" s="16" t="s">
        <v>7161</v>
      </c>
      <c r="C1751" s="17" t="s">
        <v>5818</v>
      </c>
      <c r="D1751" s="18">
        <v>412.5</v>
      </c>
      <c r="E1751" s="18">
        <v>550.0</v>
      </c>
      <c r="F1751" s="18">
        <v>12.0</v>
      </c>
    </row>
    <row r="1752">
      <c r="A1752" s="15">
        <v>10.0</v>
      </c>
      <c r="B1752" s="16" t="s">
        <v>7162</v>
      </c>
      <c r="C1752" s="17" t="s">
        <v>5536</v>
      </c>
      <c r="D1752" s="18">
        <v>84.1</v>
      </c>
      <c r="E1752" s="18">
        <v>115.5</v>
      </c>
      <c r="F1752" s="18">
        <v>12.0</v>
      </c>
    </row>
    <row r="1753">
      <c r="A1753" s="15">
        <v>11.0</v>
      </c>
      <c r="B1753" s="16" t="s">
        <v>7162</v>
      </c>
      <c r="C1753" s="17" t="s">
        <v>5546</v>
      </c>
      <c r="D1753" s="18">
        <v>180.71</v>
      </c>
      <c r="E1753" s="18">
        <v>253.0</v>
      </c>
      <c r="F1753" s="18">
        <v>12.0</v>
      </c>
    </row>
    <row r="1754">
      <c r="A1754" s="15">
        <v>12.0</v>
      </c>
      <c r="B1754" s="16" t="s">
        <v>7163</v>
      </c>
      <c r="C1754" s="17" t="s">
        <v>5636</v>
      </c>
      <c r="D1754" s="18">
        <v>183.66</v>
      </c>
      <c r="E1754" s="18">
        <v>257.12</v>
      </c>
      <c r="F1754" s="18">
        <v>12.0</v>
      </c>
    </row>
    <row r="1755">
      <c r="A1755" s="15">
        <v>13.0</v>
      </c>
      <c r="B1755" s="16" t="s">
        <v>7164</v>
      </c>
      <c r="C1755" s="17" t="s">
        <v>5536</v>
      </c>
      <c r="D1755" s="18">
        <v>259.29</v>
      </c>
      <c r="E1755" s="18">
        <v>363.0</v>
      </c>
      <c r="F1755" s="18">
        <v>12.0</v>
      </c>
    </row>
    <row r="1756">
      <c r="A1756" s="15">
        <v>14.0</v>
      </c>
      <c r="B1756" s="16" t="s">
        <v>7165</v>
      </c>
      <c r="C1756" s="17" t="s">
        <v>5536</v>
      </c>
      <c r="D1756" s="18">
        <v>48.05</v>
      </c>
      <c r="E1756" s="18">
        <v>66.0</v>
      </c>
      <c r="F1756" s="18">
        <v>12.0</v>
      </c>
    </row>
    <row r="1757">
      <c r="A1757" s="15">
        <v>15.0</v>
      </c>
      <c r="B1757" s="16" t="s">
        <v>7165</v>
      </c>
      <c r="C1757" s="17" t="s">
        <v>5546</v>
      </c>
      <c r="D1757" s="18">
        <v>102.85</v>
      </c>
      <c r="E1757" s="18">
        <v>143.99</v>
      </c>
      <c r="F1757" s="18">
        <v>12.0</v>
      </c>
    </row>
    <row r="1758">
      <c r="A1758" s="15">
        <v>16.0</v>
      </c>
      <c r="B1758" s="16" t="s">
        <v>7166</v>
      </c>
      <c r="C1758" s="17" t="s">
        <v>5632</v>
      </c>
      <c r="D1758" s="18">
        <v>43.69</v>
      </c>
      <c r="E1758" s="18">
        <v>60.0</v>
      </c>
      <c r="F1758" s="18">
        <v>12.0</v>
      </c>
    </row>
    <row r="1759">
      <c r="A1759" s="15">
        <v>17.0</v>
      </c>
      <c r="B1759" s="16" t="s">
        <v>7166</v>
      </c>
      <c r="C1759" s="17" t="s">
        <v>5633</v>
      </c>
      <c r="D1759" s="18">
        <v>39.29</v>
      </c>
      <c r="E1759" s="18">
        <v>55.0</v>
      </c>
      <c r="F1759" s="18">
        <v>12.0</v>
      </c>
    </row>
    <row r="1760">
      <c r="A1760" s="15">
        <v>18.0</v>
      </c>
      <c r="B1760" s="16" t="s">
        <v>7166</v>
      </c>
      <c r="C1760" s="17" t="s">
        <v>6012</v>
      </c>
      <c r="D1760" s="18">
        <v>78.21</v>
      </c>
      <c r="E1760" s="18">
        <v>109.5</v>
      </c>
      <c r="F1760" s="18">
        <v>12.0</v>
      </c>
    </row>
    <row r="1761">
      <c r="A1761" s="15">
        <v>19.0</v>
      </c>
      <c r="B1761" s="16" t="s">
        <v>7167</v>
      </c>
      <c r="C1761" s="17" t="s">
        <v>7168</v>
      </c>
      <c r="D1761" s="18">
        <v>110.0</v>
      </c>
      <c r="E1761" s="18">
        <v>154.0</v>
      </c>
      <c r="F1761" s="18">
        <v>12.0</v>
      </c>
    </row>
    <row r="1762">
      <c r="A1762" s="15">
        <v>20.0</v>
      </c>
      <c r="B1762" s="16" t="s">
        <v>7167</v>
      </c>
      <c r="C1762" s="17" t="s">
        <v>7169</v>
      </c>
      <c r="D1762" s="18">
        <v>144.31</v>
      </c>
      <c r="E1762" s="18">
        <v>202.04</v>
      </c>
      <c r="F1762" s="18">
        <v>12.0</v>
      </c>
    </row>
    <row r="1763">
      <c r="A1763" s="15">
        <v>21.0</v>
      </c>
      <c r="B1763" s="16" t="s">
        <v>7170</v>
      </c>
      <c r="C1763" s="17" t="s">
        <v>5653</v>
      </c>
      <c r="D1763" s="18">
        <v>162.49</v>
      </c>
      <c r="E1763" s="18">
        <v>227.48</v>
      </c>
      <c r="F1763" s="18">
        <v>12.0</v>
      </c>
    </row>
    <row r="1764">
      <c r="A1764" s="15">
        <v>22.0</v>
      </c>
      <c r="B1764" s="16" t="s">
        <v>7171</v>
      </c>
      <c r="C1764" s="17" t="s">
        <v>5536</v>
      </c>
      <c r="D1764" s="18">
        <v>111.49</v>
      </c>
      <c r="E1764" s="18">
        <v>156.09</v>
      </c>
      <c r="F1764" s="18">
        <v>12.0</v>
      </c>
    </row>
    <row r="1765">
      <c r="A1765" s="15">
        <v>23.0</v>
      </c>
      <c r="B1765" s="16" t="s">
        <v>7172</v>
      </c>
      <c r="C1765" s="17" t="s">
        <v>7173</v>
      </c>
      <c r="D1765" s="18">
        <v>101.46</v>
      </c>
      <c r="E1765" s="18">
        <v>142.04</v>
      </c>
      <c r="F1765" s="18">
        <v>12.0</v>
      </c>
    </row>
    <row r="1766">
      <c r="A1766" s="15">
        <v>24.0</v>
      </c>
      <c r="B1766" s="16" t="s">
        <v>7172</v>
      </c>
      <c r="C1766" s="17" t="s">
        <v>7174</v>
      </c>
      <c r="D1766" s="18">
        <v>143.04</v>
      </c>
      <c r="E1766" s="18">
        <v>200.25</v>
      </c>
      <c r="F1766" s="18">
        <v>12.0</v>
      </c>
    </row>
    <row r="1767">
      <c r="A1767" s="15">
        <v>25.0</v>
      </c>
      <c r="B1767" s="16" t="s">
        <v>7175</v>
      </c>
      <c r="C1767" s="17" t="s">
        <v>5636</v>
      </c>
      <c r="D1767" s="18">
        <v>91.79</v>
      </c>
      <c r="E1767" s="18">
        <v>128.5</v>
      </c>
      <c r="F1767" s="18">
        <v>12.0</v>
      </c>
    </row>
    <row r="1768">
      <c r="A1768" s="15">
        <v>26.0</v>
      </c>
      <c r="B1768" s="16" t="s">
        <v>7176</v>
      </c>
      <c r="C1768" s="17" t="s">
        <v>5536</v>
      </c>
      <c r="D1768" s="18">
        <v>56.43</v>
      </c>
      <c r="E1768" s="18">
        <v>79.0</v>
      </c>
      <c r="F1768" s="18">
        <v>12.0</v>
      </c>
    </row>
    <row r="1769">
      <c r="A1769" s="15">
        <v>27.0</v>
      </c>
      <c r="B1769" s="16" t="s">
        <v>7177</v>
      </c>
      <c r="C1769" s="17" t="s">
        <v>5536</v>
      </c>
      <c r="D1769" s="18">
        <v>103.57</v>
      </c>
      <c r="E1769" s="18">
        <v>145.0</v>
      </c>
      <c r="F1769" s="18">
        <v>12.0</v>
      </c>
    </row>
    <row r="1770">
      <c r="A1770" s="6"/>
      <c r="B1770" s="7"/>
      <c r="C1770" s="7"/>
      <c r="D1770" s="7"/>
      <c r="E1770" s="7"/>
      <c r="F1770" s="8"/>
    </row>
    <row r="1771">
      <c r="A1771" s="9" t="s">
        <v>7178</v>
      </c>
      <c r="B1771" s="10"/>
      <c r="C1771" s="10"/>
      <c r="D1771" s="10"/>
      <c r="E1771" s="10"/>
      <c r="F1771" s="10"/>
    </row>
    <row r="1772">
      <c r="A1772" s="11">
        <v>1.0</v>
      </c>
      <c r="B1772" s="12" t="s">
        <v>7179</v>
      </c>
      <c r="C1772" s="13" t="s">
        <v>5546</v>
      </c>
      <c r="D1772" s="14">
        <v>41.03</v>
      </c>
      <c r="E1772" s="14">
        <v>57.44</v>
      </c>
      <c r="F1772" s="14">
        <v>12.0</v>
      </c>
    </row>
    <row r="1773">
      <c r="A1773" s="15">
        <v>2.0</v>
      </c>
      <c r="B1773" s="16" t="s">
        <v>7180</v>
      </c>
      <c r="C1773" s="17" t="s">
        <v>5546</v>
      </c>
      <c r="D1773" s="18">
        <v>78.84</v>
      </c>
      <c r="E1773" s="18">
        <v>110.37</v>
      </c>
      <c r="F1773" s="18">
        <v>12.0</v>
      </c>
    </row>
    <row r="1774">
      <c r="A1774" s="15">
        <v>3.0</v>
      </c>
      <c r="B1774" s="16" t="s">
        <v>7181</v>
      </c>
      <c r="C1774" s="17" t="s">
        <v>5536</v>
      </c>
      <c r="D1774" s="18">
        <v>80.11</v>
      </c>
      <c r="E1774" s="18">
        <v>112.16</v>
      </c>
      <c r="F1774" s="18">
        <v>12.0</v>
      </c>
    </row>
    <row r="1775">
      <c r="A1775" s="15">
        <v>4.0</v>
      </c>
      <c r="B1775" s="16" t="s">
        <v>7182</v>
      </c>
      <c r="C1775" s="17" t="s">
        <v>5831</v>
      </c>
      <c r="D1775" s="18">
        <v>148.89</v>
      </c>
      <c r="E1775" s="18">
        <v>208.45</v>
      </c>
      <c r="F1775" s="18">
        <v>12.0</v>
      </c>
    </row>
    <row r="1776">
      <c r="A1776" s="15">
        <v>5.0</v>
      </c>
      <c r="B1776" s="16" t="s">
        <v>7182</v>
      </c>
      <c r="C1776" s="17" t="s">
        <v>5603</v>
      </c>
      <c r="D1776" s="18">
        <v>65.46</v>
      </c>
      <c r="E1776" s="18">
        <v>91.65</v>
      </c>
      <c r="F1776" s="18">
        <v>12.0</v>
      </c>
    </row>
    <row r="1777">
      <c r="A1777" s="15">
        <v>6.0</v>
      </c>
      <c r="B1777" s="16" t="s">
        <v>7183</v>
      </c>
      <c r="C1777" s="17" t="s">
        <v>5830</v>
      </c>
      <c r="D1777" s="18">
        <v>47.14</v>
      </c>
      <c r="E1777" s="18">
        <v>66.0</v>
      </c>
      <c r="F1777" s="18">
        <v>12.0</v>
      </c>
    </row>
    <row r="1778">
      <c r="A1778" s="15">
        <v>7.0</v>
      </c>
      <c r="B1778" s="16" t="s">
        <v>7183</v>
      </c>
      <c r="C1778" s="17" t="s">
        <v>7184</v>
      </c>
      <c r="D1778" s="18">
        <v>32.14</v>
      </c>
      <c r="E1778" s="18">
        <v>45.0</v>
      </c>
      <c r="F1778" s="18">
        <v>12.0</v>
      </c>
    </row>
    <row r="1779">
      <c r="A1779" s="15">
        <v>8.0</v>
      </c>
      <c r="B1779" s="16" t="s">
        <v>7185</v>
      </c>
      <c r="C1779" s="17" t="s">
        <v>5536</v>
      </c>
      <c r="D1779" s="18">
        <v>157.73</v>
      </c>
      <c r="E1779" s="18">
        <v>220.82</v>
      </c>
      <c r="F1779" s="18">
        <v>12.0</v>
      </c>
    </row>
    <row r="1780">
      <c r="A1780" s="15">
        <v>9.0</v>
      </c>
      <c r="B1780" s="16" t="s">
        <v>7186</v>
      </c>
      <c r="C1780" s="17" t="s">
        <v>5603</v>
      </c>
      <c r="D1780" s="18">
        <v>143.25</v>
      </c>
      <c r="E1780" s="18">
        <v>200.55</v>
      </c>
      <c r="F1780" s="18">
        <v>12.0</v>
      </c>
    </row>
    <row r="1781">
      <c r="A1781" s="6"/>
      <c r="B1781" s="7"/>
      <c r="C1781" s="7"/>
      <c r="D1781" s="7"/>
      <c r="E1781" s="8"/>
      <c r="F1781" s="16" t="s">
        <v>7187</v>
      </c>
    </row>
    <row r="1782">
      <c r="A1782" s="6"/>
      <c r="B1782" s="7"/>
      <c r="C1782" s="7"/>
      <c r="D1782" s="7"/>
      <c r="E1782" s="7"/>
      <c r="F1782" s="8"/>
    </row>
    <row r="1783">
      <c r="A1783" s="6"/>
      <c r="B1783" s="7"/>
      <c r="C1783" s="7"/>
      <c r="D1783" s="7"/>
      <c r="E1783" s="7"/>
      <c r="F1783" s="8"/>
    </row>
    <row r="1784">
      <c r="A1784" s="6"/>
      <c r="B1784" s="7"/>
      <c r="C1784" s="7"/>
      <c r="D1784" s="7"/>
      <c r="E1784" s="7"/>
      <c r="F1784" s="8"/>
    </row>
    <row r="1785">
      <c r="A1785" s="6"/>
      <c r="B1785" s="7"/>
      <c r="C1785" s="7"/>
      <c r="D1785" s="7"/>
      <c r="E1785" s="7"/>
      <c r="F1785" s="8"/>
    </row>
    <row r="1786">
      <c r="A1786" s="9" t="s">
        <v>5582</v>
      </c>
      <c r="B1786" s="10"/>
      <c r="C1786" s="10"/>
      <c r="D1786" s="10"/>
      <c r="E1786" s="10"/>
      <c r="F1786" s="10"/>
    </row>
    <row r="1787">
      <c r="A1787" s="19" t="s">
        <v>5583</v>
      </c>
    </row>
    <row r="1788">
      <c r="A1788" s="6"/>
      <c r="B1788" s="7"/>
      <c r="C1788" s="7"/>
      <c r="D1788" s="8"/>
      <c r="E1788" s="12" t="s">
        <v>5584</v>
      </c>
      <c r="F1788" s="12" t="s">
        <v>7188</v>
      </c>
    </row>
    <row r="1789">
      <c r="A1789" s="20" t="s">
        <v>5522</v>
      </c>
      <c r="B1789" s="16" t="s">
        <v>5523</v>
      </c>
      <c r="C1789" s="16" t="s">
        <v>5524</v>
      </c>
      <c r="D1789" s="16" t="s">
        <v>5525</v>
      </c>
      <c r="E1789" s="16" t="s">
        <v>5526</v>
      </c>
      <c r="F1789" s="16" t="s">
        <v>5586</v>
      </c>
    </row>
    <row r="1790">
      <c r="A1790" s="15">
        <v>10.0</v>
      </c>
      <c r="B1790" s="16" t="s">
        <v>7189</v>
      </c>
      <c r="C1790" s="17" t="s">
        <v>5636</v>
      </c>
      <c r="D1790" s="18">
        <v>120.14</v>
      </c>
      <c r="E1790" s="18">
        <v>168.19</v>
      </c>
      <c r="F1790" s="18">
        <v>12.0</v>
      </c>
    </row>
    <row r="1791">
      <c r="A1791" s="15">
        <v>11.0</v>
      </c>
      <c r="B1791" s="16" t="s">
        <v>7190</v>
      </c>
      <c r="C1791" s="17" t="s">
        <v>7191</v>
      </c>
      <c r="D1791" s="18">
        <v>42.78</v>
      </c>
      <c r="E1791" s="18">
        <v>59.89</v>
      </c>
      <c r="F1791" s="18">
        <v>12.0</v>
      </c>
    </row>
    <row r="1792">
      <c r="A1792" s="15">
        <v>12.0</v>
      </c>
      <c r="B1792" s="16" t="s">
        <v>7192</v>
      </c>
      <c r="C1792" s="17" t="s">
        <v>5546</v>
      </c>
      <c r="D1792" s="18">
        <v>42.78</v>
      </c>
      <c r="E1792" s="18">
        <v>59.89</v>
      </c>
      <c r="F1792" s="18">
        <v>12.0</v>
      </c>
    </row>
    <row r="1793">
      <c r="A1793" s="15">
        <v>13.0</v>
      </c>
      <c r="B1793" s="16" t="s">
        <v>7193</v>
      </c>
      <c r="C1793" s="17" t="s">
        <v>5546</v>
      </c>
      <c r="D1793" s="18">
        <v>39.64</v>
      </c>
      <c r="E1793" s="18">
        <v>55.5</v>
      </c>
      <c r="F1793" s="18">
        <v>12.0</v>
      </c>
    </row>
    <row r="1794">
      <c r="A1794" s="15">
        <v>14.0</v>
      </c>
      <c r="B1794" s="16" t="s">
        <v>7194</v>
      </c>
      <c r="C1794" s="17" t="s">
        <v>5886</v>
      </c>
      <c r="D1794" s="18">
        <v>34.29</v>
      </c>
      <c r="E1794" s="18">
        <v>48.0</v>
      </c>
      <c r="F1794" s="18">
        <v>12.0</v>
      </c>
    </row>
    <row r="1795">
      <c r="A1795" s="15">
        <v>15.0</v>
      </c>
      <c r="B1795" s="16" t="s">
        <v>7194</v>
      </c>
      <c r="C1795" s="17" t="s">
        <v>7195</v>
      </c>
      <c r="D1795" s="18">
        <v>74.64</v>
      </c>
      <c r="E1795" s="18">
        <v>104.5</v>
      </c>
      <c r="F1795" s="18">
        <v>12.0</v>
      </c>
    </row>
    <row r="1796">
      <c r="A1796" s="15">
        <v>16.0</v>
      </c>
      <c r="B1796" s="16" t="s">
        <v>7194</v>
      </c>
      <c r="C1796" s="17" t="s">
        <v>7196</v>
      </c>
      <c r="D1796" s="18">
        <v>102.66</v>
      </c>
      <c r="E1796" s="18">
        <v>144.0</v>
      </c>
      <c r="F1796" s="18">
        <v>12.0</v>
      </c>
    </row>
    <row r="1797">
      <c r="A1797" s="15">
        <v>17.0</v>
      </c>
      <c r="B1797" s="16" t="s">
        <v>7194</v>
      </c>
      <c r="C1797" s="17" t="s">
        <v>5982</v>
      </c>
      <c r="D1797" s="18">
        <v>57.14</v>
      </c>
      <c r="E1797" s="18">
        <v>80.0</v>
      </c>
      <c r="F1797" s="18">
        <v>12.0</v>
      </c>
    </row>
    <row r="1798">
      <c r="A1798" s="15">
        <v>18.0</v>
      </c>
      <c r="B1798" s="16" t="s">
        <v>7194</v>
      </c>
      <c r="C1798" s="17" t="s">
        <v>5983</v>
      </c>
      <c r="D1798" s="18">
        <v>77.5</v>
      </c>
      <c r="E1798" s="18">
        <v>108.5</v>
      </c>
      <c r="F1798" s="18">
        <v>12.0</v>
      </c>
    </row>
    <row r="1799">
      <c r="A1799" s="15">
        <v>19.0</v>
      </c>
      <c r="B1799" s="16" t="s">
        <v>7197</v>
      </c>
      <c r="C1799" s="17" t="s">
        <v>5553</v>
      </c>
      <c r="D1799" s="18">
        <v>21.05</v>
      </c>
      <c r="E1799" s="18">
        <v>29.47</v>
      </c>
      <c r="F1799" s="18">
        <v>12.0</v>
      </c>
    </row>
    <row r="1800">
      <c r="A1800" s="15">
        <v>20.0</v>
      </c>
      <c r="B1800" s="16" t="s">
        <v>7198</v>
      </c>
      <c r="C1800" s="17" t="s">
        <v>5536</v>
      </c>
      <c r="D1800" s="18">
        <v>60.71</v>
      </c>
      <c r="E1800" s="18">
        <v>85.0</v>
      </c>
      <c r="F1800" s="18">
        <v>12.0</v>
      </c>
    </row>
    <row r="1801">
      <c r="A1801" s="15">
        <v>21.0</v>
      </c>
      <c r="B1801" s="16" t="s">
        <v>7199</v>
      </c>
      <c r="C1801" s="17" t="s">
        <v>5633</v>
      </c>
      <c r="D1801" s="18">
        <v>84.29</v>
      </c>
      <c r="E1801" s="18">
        <v>118.0</v>
      </c>
      <c r="F1801" s="18">
        <v>12.0</v>
      </c>
    </row>
    <row r="1802">
      <c r="A1802" s="15">
        <v>22.0</v>
      </c>
      <c r="B1802" s="16" t="s">
        <v>7200</v>
      </c>
      <c r="C1802" s="17" t="s">
        <v>5562</v>
      </c>
      <c r="D1802" s="18">
        <v>79.03</v>
      </c>
      <c r="E1802" s="18">
        <v>108.5</v>
      </c>
      <c r="F1802" s="18">
        <v>12.0</v>
      </c>
    </row>
    <row r="1803">
      <c r="A1803" s="15">
        <v>23.0</v>
      </c>
      <c r="B1803" s="16" t="s">
        <v>7201</v>
      </c>
      <c r="C1803" s="17" t="s">
        <v>7202</v>
      </c>
      <c r="D1803" s="18">
        <v>69.18</v>
      </c>
      <c r="E1803" s="18">
        <v>95.0</v>
      </c>
      <c r="F1803" s="18">
        <v>12.0</v>
      </c>
    </row>
    <row r="1804">
      <c r="A1804" s="15">
        <v>24.0</v>
      </c>
      <c r="B1804" s="16" t="s">
        <v>7201</v>
      </c>
      <c r="C1804" s="17" t="s">
        <v>5536</v>
      </c>
      <c r="D1804" s="18">
        <v>82.54</v>
      </c>
      <c r="E1804" s="18">
        <v>115.55</v>
      </c>
      <c r="F1804" s="18">
        <v>12.0</v>
      </c>
    </row>
    <row r="1805">
      <c r="A1805" s="15">
        <v>25.0</v>
      </c>
      <c r="B1805" s="16" t="s">
        <v>7203</v>
      </c>
      <c r="C1805" s="17" t="s">
        <v>7202</v>
      </c>
      <c r="D1805" s="18">
        <v>91.02</v>
      </c>
      <c r="E1805" s="18">
        <v>125.0</v>
      </c>
      <c r="F1805" s="18">
        <v>12.0</v>
      </c>
    </row>
    <row r="1806">
      <c r="A1806" s="15">
        <v>26.0</v>
      </c>
      <c r="B1806" s="16" t="s">
        <v>7203</v>
      </c>
      <c r="C1806" s="17" t="s">
        <v>5536</v>
      </c>
      <c r="D1806" s="18">
        <v>126.44</v>
      </c>
      <c r="E1806" s="18">
        <v>146.3</v>
      </c>
      <c r="F1806" s="18">
        <v>12.0</v>
      </c>
    </row>
    <row r="1807">
      <c r="A1807" s="15">
        <v>27.0</v>
      </c>
      <c r="B1807" s="16" t="s">
        <v>7204</v>
      </c>
      <c r="C1807" s="17" t="s">
        <v>5536</v>
      </c>
      <c r="D1807" s="18">
        <v>115.5</v>
      </c>
      <c r="E1807" s="18">
        <v>161.7</v>
      </c>
      <c r="F1807" s="18">
        <v>12.0</v>
      </c>
    </row>
    <row r="1808">
      <c r="A1808" s="15">
        <v>28.0</v>
      </c>
      <c r="B1808" s="16" t="s">
        <v>7205</v>
      </c>
      <c r="C1808" s="17" t="s">
        <v>5887</v>
      </c>
      <c r="D1808" s="18">
        <v>28.21</v>
      </c>
      <c r="E1808" s="18">
        <v>39.5</v>
      </c>
      <c r="F1808" s="18">
        <v>12.0</v>
      </c>
    </row>
    <row r="1809">
      <c r="A1809" s="15">
        <v>29.0</v>
      </c>
      <c r="B1809" s="16" t="s">
        <v>7205</v>
      </c>
      <c r="C1809" s="17" t="s">
        <v>6118</v>
      </c>
      <c r="D1809" s="18">
        <v>34.29</v>
      </c>
      <c r="E1809" s="18">
        <v>48.0</v>
      </c>
      <c r="F1809" s="18">
        <v>12.0</v>
      </c>
    </row>
    <row r="1810">
      <c r="A1810" s="15">
        <v>30.0</v>
      </c>
      <c r="B1810" s="16" t="s">
        <v>7206</v>
      </c>
      <c r="C1810" s="17" t="s">
        <v>5603</v>
      </c>
      <c r="D1810" s="18">
        <v>96.43</v>
      </c>
      <c r="E1810" s="18">
        <v>135.0</v>
      </c>
      <c r="F1810" s="18">
        <v>12.0</v>
      </c>
    </row>
    <row r="1811">
      <c r="A1811" s="15">
        <v>31.0</v>
      </c>
      <c r="B1811" s="16" t="s">
        <v>7207</v>
      </c>
      <c r="C1811" s="17" t="s">
        <v>6099</v>
      </c>
      <c r="D1811" s="18">
        <v>189.43</v>
      </c>
      <c r="E1811" s="18">
        <v>265.2</v>
      </c>
      <c r="F1811" s="18">
        <v>12.0</v>
      </c>
    </row>
    <row r="1812">
      <c r="A1812" s="15">
        <v>32.0</v>
      </c>
      <c r="B1812" s="16" t="s">
        <v>7207</v>
      </c>
      <c r="C1812" s="17" t="s">
        <v>7208</v>
      </c>
      <c r="D1812" s="18">
        <v>107.14</v>
      </c>
      <c r="E1812" s="18">
        <v>150.0</v>
      </c>
      <c r="F1812" s="18">
        <v>12.0</v>
      </c>
    </row>
    <row r="1813">
      <c r="A1813" s="15">
        <v>33.0</v>
      </c>
      <c r="B1813" s="16" t="s">
        <v>7207</v>
      </c>
      <c r="C1813" s="17" t="s">
        <v>6100</v>
      </c>
      <c r="D1813" s="18">
        <v>184.5</v>
      </c>
      <c r="E1813" s="18">
        <v>258.3</v>
      </c>
      <c r="F1813" s="18">
        <v>12.0</v>
      </c>
    </row>
    <row r="1814">
      <c r="A1814" s="15">
        <v>34.0</v>
      </c>
      <c r="B1814" s="16" t="s">
        <v>7207</v>
      </c>
      <c r="C1814" s="17" t="s">
        <v>5595</v>
      </c>
      <c r="D1814" s="18">
        <v>101.79</v>
      </c>
      <c r="E1814" s="18">
        <v>142.5</v>
      </c>
      <c r="F1814" s="18">
        <v>12.0</v>
      </c>
    </row>
    <row r="1815">
      <c r="A1815" s="15">
        <v>35.0</v>
      </c>
      <c r="B1815" s="16" t="s">
        <v>7207</v>
      </c>
      <c r="C1815" s="17" t="s">
        <v>7209</v>
      </c>
      <c r="D1815" s="18">
        <v>185.29</v>
      </c>
      <c r="E1815" s="18">
        <v>259.4</v>
      </c>
      <c r="F1815" s="18">
        <v>12.0</v>
      </c>
    </row>
    <row r="1816">
      <c r="A1816" s="6"/>
      <c r="B1816" s="7"/>
      <c r="C1816" s="7"/>
      <c r="D1816" s="7"/>
      <c r="E1816" s="7"/>
      <c r="F1816" s="8"/>
    </row>
    <row r="1817">
      <c r="A1817" s="9" t="s">
        <v>7210</v>
      </c>
      <c r="B1817" s="10"/>
      <c r="C1817" s="10"/>
      <c r="D1817" s="10"/>
      <c r="E1817" s="10"/>
      <c r="F1817" s="10"/>
    </row>
    <row r="1818">
      <c r="A1818" s="11">
        <v>1.0</v>
      </c>
      <c r="B1818" s="12" t="s">
        <v>7211</v>
      </c>
      <c r="C1818" s="13" t="s">
        <v>5536</v>
      </c>
      <c r="D1818" s="14">
        <v>39.68</v>
      </c>
      <c r="E1818" s="14">
        <v>55.55</v>
      </c>
      <c r="F1818" s="14">
        <v>12.0</v>
      </c>
    </row>
    <row r="1819">
      <c r="A1819" s="15">
        <v>2.0</v>
      </c>
      <c r="B1819" s="16" t="s">
        <v>7212</v>
      </c>
      <c r="C1819" s="17" t="s">
        <v>7213</v>
      </c>
      <c r="D1819" s="18">
        <v>18.15</v>
      </c>
      <c r="E1819" s="18">
        <v>25.41</v>
      </c>
      <c r="F1819" s="18">
        <v>12.0</v>
      </c>
    </row>
    <row r="1820">
      <c r="A1820" s="15">
        <v>3.0</v>
      </c>
      <c r="B1820" s="16" t="s">
        <v>7214</v>
      </c>
      <c r="C1820" s="17" t="s">
        <v>5598</v>
      </c>
      <c r="D1820" s="18">
        <v>62.35</v>
      </c>
      <c r="E1820" s="18">
        <v>87.29</v>
      </c>
      <c r="F1820" s="18">
        <v>12.0</v>
      </c>
    </row>
    <row r="1821">
      <c r="A1821" s="15">
        <v>4.0</v>
      </c>
      <c r="B1821" s="16" t="s">
        <v>7215</v>
      </c>
      <c r="C1821" s="17" t="s">
        <v>6019</v>
      </c>
      <c r="D1821" s="18">
        <v>65.25</v>
      </c>
      <c r="E1821" s="18">
        <v>91.35</v>
      </c>
      <c r="F1821" s="18">
        <v>12.0</v>
      </c>
    </row>
    <row r="1822">
      <c r="A1822" s="15">
        <v>5.0</v>
      </c>
      <c r="B1822" s="16" t="s">
        <v>7215</v>
      </c>
      <c r="C1822" s="17" t="s">
        <v>5603</v>
      </c>
      <c r="D1822" s="18">
        <v>87.72</v>
      </c>
      <c r="E1822" s="18">
        <v>122.81</v>
      </c>
      <c r="F1822" s="18">
        <v>12.0</v>
      </c>
    </row>
    <row r="1823">
      <c r="A1823" s="15">
        <v>6.0</v>
      </c>
      <c r="B1823" s="16" t="s">
        <v>7215</v>
      </c>
      <c r="C1823" s="17" t="s">
        <v>5565</v>
      </c>
      <c r="D1823" s="18">
        <v>162.49</v>
      </c>
      <c r="E1823" s="18">
        <v>227.48</v>
      </c>
      <c r="F1823" s="18">
        <v>12.0</v>
      </c>
    </row>
    <row r="1824">
      <c r="A1824" s="15">
        <v>7.0</v>
      </c>
      <c r="B1824" s="16" t="s">
        <v>7216</v>
      </c>
      <c r="C1824" s="17" t="s">
        <v>7217</v>
      </c>
      <c r="D1824" s="18">
        <v>106.79</v>
      </c>
      <c r="E1824" s="18">
        <v>149.5</v>
      </c>
      <c r="F1824" s="18">
        <v>12.0</v>
      </c>
    </row>
    <row r="1825">
      <c r="A1825" s="15">
        <v>8.0</v>
      </c>
      <c r="B1825" s="16" t="s">
        <v>7218</v>
      </c>
      <c r="C1825" s="17" t="s">
        <v>5546</v>
      </c>
      <c r="D1825" s="18">
        <v>65.61</v>
      </c>
      <c r="E1825" s="18">
        <v>91.86</v>
      </c>
      <c r="F1825" s="18">
        <v>12.0</v>
      </c>
    </row>
    <row r="1826">
      <c r="A1826" s="15">
        <v>9.0</v>
      </c>
      <c r="B1826" s="16" t="s">
        <v>7219</v>
      </c>
      <c r="C1826" s="17" t="s">
        <v>5546</v>
      </c>
      <c r="D1826" s="18">
        <v>158.94</v>
      </c>
      <c r="E1826" s="18">
        <v>222.51</v>
      </c>
      <c r="F1826" s="18">
        <v>12.0</v>
      </c>
    </row>
    <row r="1827">
      <c r="A1827" s="15">
        <v>10.0</v>
      </c>
      <c r="B1827" s="16" t="s">
        <v>7220</v>
      </c>
      <c r="C1827" s="17" t="s">
        <v>5536</v>
      </c>
      <c r="D1827" s="18">
        <v>153.88</v>
      </c>
      <c r="E1827" s="18">
        <v>196.11</v>
      </c>
      <c r="F1827" s="18">
        <v>12.0</v>
      </c>
    </row>
    <row r="1828">
      <c r="A1828" s="15">
        <v>11.0</v>
      </c>
      <c r="B1828" s="16" t="s">
        <v>7221</v>
      </c>
      <c r="C1828" s="17" t="s">
        <v>5536</v>
      </c>
      <c r="D1828" s="18">
        <v>36.93</v>
      </c>
      <c r="E1828" s="18">
        <v>51.7</v>
      </c>
      <c r="F1828" s="18">
        <v>12.0</v>
      </c>
    </row>
    <row r="1829">
      <c r="A1829" s="15">
        <v>12.0</v>
      </c>
      <c r="B1829" s="16" t="s">
        <v>7222</v>
      </c>
      <c r="C1829" s="17" t="s">
        <v>7223</v>
      </c>
      <c r="D1829" s="18">
        <v>152.5</v>
      </c>
      <c r="E1829" s="18">
        <v>213.5</v>
      </c>
      <c r="F1829" s="18">
        <v>12.0</v>
      </c>
    </row>
    <row r="1830">
      <c r="A1830" s="15">
        <v>13.0</v>
      </c>
      <c r="B1830" s="16" t="s">
        <v>7224</v>
      </c>
      <c r="C1830" s="17" t="s">
        <v>7168</v>
      </c>
      <c r="D1830" s="18">
        <v>21.61</v>
      </c>
      <c r="E1830" s="18">
        <v>30.25</v>
      </c>
      <c r="F1830" s="18">
        <v>12.0</v>
      </c>
    </row>
    <row r="1831">
      <c r="A1831" s="15">
        <v>14.0</v>
      </c>
      <c r="B1831" s="16" t="s">
        <v>7225</v>
      </c>
      <c r="C1831" s="17" t="s">
        <v>5562</v>
      </c>
      <c r="D1831" s="18">
        <v>109.33</v>
      </c>
      <c r="E1831" s="18">
        <v>153.06</v>
      </c>
      <c r="F1831" s="18">
        <v>12.0</v>
      </c>
    </row>
    <row r="1832">
      <c r="A1832" s="15">
        <v>15.0</v>
      </c>
      <c r="B1832" s="16" t="s">
        <v>7226</v>
      </c>
      <c r="C1832" s="17" t="s">
        <v>7173</v>
      </c>
      <c r="D1832" s="18">
        <v>30.4</v>
      </c>
      <c r="E1832" s="18">
        <v>42.56</v>
      </c>
      <c r="F1832" s="18">
        <v>12.0</v>
      </c>
    </row>
    <row r="1833">
      <c r="A1833" s="15">
        <v>16.0</v>
      </c>
      <c r="B1833" s="16" t="s">
        <v>7226</v>
      </c>
      <c r="C1833" s="17" t="s">
        <v>7174</v>
      </c>
      <c r="D1833" s="18">
        <v>42.16</v>
      </c>
      <c r="E1833" s="18">
        <v>59.02</v>
      </c>
      <c r="F1833" s="18">
        <v>12.0</v>
      </c>
    </row>
    <row r="1834">
      <c r="A1834" s="15">
        <v>17.0</v>
      </c>
      <c r="B1834" s="16" t="s">
        <v>7227</v>
      </c>
      <c r="C1834" s="17" t="s">
        <v>5536</v>
      </c>
      <c r="D1834" s="18">
        <v>248.05</v>
      </c>
      <c r="E1834" s="18">
        <v>347.27</v>
      </c>
      <c r="F1834" s="18">
        <v>12.0</v>
      </c>
    </row>
    <row r="1835">
      <c r="A1835" s="15">
        <v>18.0</v>
      </c>
      <c r="B1835" s="16" t="s">
        <v>7228</v>
      </c>
      <c r="C1835" s="17" t="s">
        <v>5603</v>
      </c>
      <c r="D1835" s="18">
        <v>50.13</v>
      </c>
      <c r="E1835" s="18">
        <v>70.18</v>
      </c>
      <c r="F1835" s="18">
        <v>12.0</v>
      </c>
    </row>
    <row r="1836">
      <c r="A1836" s="15">
        <v>19.0</v>
      </c>
      <c r="B1836" s="16" t="s">
        <v>7229</v>
      </c>
      <c r="C1836" s="17" t="s">
        <v>5603</v>
      </c>
      <c r="D1836" s="18">
        <v>98.96</v>
      </c>
      <c r="E1836" s="18">
        <v>138.54</v>
      </c>
      <c r="F1836" s="18">
        <v>12.0</v>
      </c>
    </row>
    <row r="1837">
      <c r="A1837" s="15">
        <v>20.0</v>
      </c>
      <c r="B1837" s="16" t="s">
        <v>7230</v>
      </c>
      <c r="C1837" s="17" t="s">
        <v>5636</v>
      </c>
      <c r="D1837" s="18">
        <v>128.34</v>
      </c>
      <c r="E1837" s="18">
        <v>179.68</v>
      </c>
      <c r="F1837" s="18">
        <v>12.0</v>
      </c>
    </row>
    <row r="1838">
      <c r="A1838" s="15">
        <v>21.0</v>
      </c>
      <c r="B1838" s="16" t="s">
        <v>7231</v>
      </c>
      <c r="C1838" s="17" t="s">
        <v>5603</v>
      </c>
      <c r="D1838" s="18">
        <v>35.0</v>
      </c>
      <c r="E1838" s="18">
        <v>49.0</v>
      </c>
      <c r="F1838" s="18">
        <v>12.0</v>
      </c>
    </row>
    <row r="1839">
      <c r="A1839" s="15">
        <v>22.0</v>
      </c>
      <c r="B1839" s="16" t="s">
        <v>7232</v>
      </c>
      <c r="C1839" s="17" t="s">
        <v>5536</v>
      </c>
      <c r="D1839" s="18">
        <v>148.57</v>
      </c>
      <c r="E1839" s="18">
        <v>208.0</v>
      </c>
      <c r="F1839" s="18">
        <v>12.0</v>
      </c>
    </row>
    <row r="1840">
      <c r="A1840" s="15">
        <v>23.0</v>
      </c>
      <c r="B1840" s="16" t="s">
        <v>7233</v>
      </c>
      <c r="C1840" s="17" t="s">
        <v>5536</v>
      </c>
      <c r="D1840" s="18">
        <v>172.14</v>
      </c>
      <c r="E1840" s="18">
        <v>241.0</v>
      </c>
      <c r="F1840" s="18">
        <v>12.0</v>
      </c>
    </row>
    <row r="1841">
      <c r="A1841" s="15">
        <v>24.0</v>
      </c>
      <c r="B1841" s="16" t="s">
        <v>7234</v>
      </c>
      <c r="C1841" s="17" t="s">
        <v>7235</v>
      </c>
      <c r="D1841" s="18">
        <v>12.96</v>
      </c>
      <c r="E1841" s="18">
        <v>18.15</v>
      </c>
      <c r="F1841" s="18">
        <v>12.0</v>
      </c>
    </row>
    <row r="1842">
      <c r="A1842" s="15">
        <v>25.0</v>
      </c>
      <c r="B1842" s="16" t="s">
        <v>7236</v>
      </c>
      <c r="C1842" s="17" t="s">
        <v>7237</v>
      </c>
      <c r="D1842" s="18">
        <v>52.72</v>
      </c>
      <c r="E1842" s="18">
        <v>73.81</v>
      </c>
      <c r="F1842" s="18">
        <v>12.0</v>
      </c>
    </row>
    <row r="1843">
      <c r="A1843" s="15">
        <v>26.0</v>
      </c>
      <c r="B1843" s="16" t="s">
        <v>7236</v>
      </c>
      <c r="C1843" s="17" t="s">
        <v>7155</v>
      </c>
      <c r="D1843" s="18">
        <v>62.46</v>
      </c>
      <c r="E1843" s="18">
        <v>87.45</v>
      </c>
      <c r="F1843" s="18">
        <v>12.0</v>
      </c>
    </row>
    <row r="1844">
      <c r="A1844" s="15">
        <v>27.0</v>
      </c>
      <c r="B1844" s="16" t="s">
        <v>7236</v>
      </c>
      <c r="C1844" s="17" t="s">
        <v>7238</v>
      </c>
      <c r="D1844" s="18">
        <v>46.67</v>
      </c>
      <c r="E1844" s="18">
        <v>65.34</v>
      </c>
      <c r="F1844" s="18">
        <v>12.0</v>
      </c>
    </row>
    <row r="1845">
      <c r="A1845" s="15">
        <v>28.0</v>
      </c>
      <c r="B1845" s="16" t="s">
        <v>7236</v>
      </c>
      <c r="C1845" s="17" t="s">
        <v>6664</v>
      </c>
      <c r="D1845" s="18">
        <v>22.39</v>
      </c>
      <c r="E1845" s="18">
        <v>31.35</v>
      </c>
      <c r="F1845" s="18">
        <v>12.0</v>
      </c>
    </row>
    <row r="1846">
      <c r="A1846" s="15">
        <v>29.0</v>
      </c>
      <c r="B1846" s="16" t="s">
        <v>7236</v>
      </c>
      <c r="C1846" s="17" t="s">
        <v>7239</v>
      </c>
      <c r="D1846" s="18">
        <v>36.94</v>
      </c>
      <c r="E1846" s="18">
        <v>51.72</v>
      </c>
      <c r="F1846" s="18">
        <v>12.0</v>
      </c>
    </row>
    <row r="1847">
      <c r="A1847" s="15">
        <v>30.0</v>
      </c>
      <c r="B1847" s="16" t="s">
        <v>7240</v>
      </c>
      <c r="C1847" s="17" t="s">
        <v>5536</v>
      </c>
      <c r="D1847" s="18">
        <v>128.57</v>
      </c>
      <c r="E1847" s="18">
        <v>180.0</v>
      </c>
      <c r="F1847" s="18">
        <v>12.0</v>
      </c>
    </row>
    <row r="1848">
      <c r="A1848" s="15">
        <v>31.0</v>
      </c>
      <c r="B1848" s="16" t="s">
        <v>7241</v>
      </c>
      <c r="C1848" s="17" t="s">
        <v>5536</v>
      </c>
      <c r="D1848" s="18">
        <v>232.14</v>
      </c>
      <c r="E1848" s="18">
        <v>325.0</v>
      </c>
      <c r="F1848" s="18">
        <v>12.0</v>
      </c>
    </row>
    <row r="1849">
      <c r="A1849" s="15">
        <v>32.0</v>
      </c>
      <c r="B1849" s="16" t="s">
        <v>7242</v>
      </c>
      <c r="C1849" s="17" t="s">
        <v>5536</v>
      </c>
      <c r="D1849" s="18">
        <v>97.57</v>
      </c>
      <c r="E1849" s="18">
        <v>134.0</v>
      </c>
      <c r="F1849" s="18">
        <v>12.0</v>
      </c>
    </row>
    <row r="1850">
      <c r="A1850" s="15">
        <v>33.0</v>
      </c>
      <c r="B1850" s="16" t="s">
        <v>7243</v>
      </c>
      <c r="C1850" s="17" t="s">
        <v>7244</v>
      </c>
      <c r="D1850" s="18">
        <v>30.64</v>
      </c>
      <c r="E1850" s="18">
        <v>42.9</v>
      </c>
      <c r="F1850" s="18">
        <v>12.0</v>
      </c>
    </row>
    <row r="1851">
      <c r="A1851" s="6"/>
      <c r="B1851" s="7"/>
      <c r="C1851" s="7"/>
      <c r="D1851" s="7"/>
      <c r="E1851" s="8"/>
      <c r="F1851" s="16" t="s">
        <v>7245</v>
      </c>
    </row>
    <row r="1852">
      <c r="A1852" s="6"/>
      <c r="B1852" s="7"/>
      <c r="C1852" s="7"/>
      <c r="D1852" s="7"/>
      <c r="E1852" s="7"/>
      <c r="F1852" s="8"/>
    </row>
    <row r="1853">
      <c r="A1853" s="6"/>
      <c r="B1853" s="7"/>
      <c r="C1853" s="7"/>
      <c r="D1853" s="7"/>
      <c r="E1853" s="7"/>
      <c r="F1853" s="8"/>
    </row>
    <row r="1854">
      <c r="A1854" s="6"/>
      <c r="B1854" s="7"/>
      <c r="C1854" s="7"/>
      <c r="D1854" s="7"/>
      <c r="E1854" s="7"/>
      <c r="F1854" s="8"/>
    </row>
    <row r="1855">
      <c r="A1855" s="6"/>
      <c r="B1855" s="7"/>
      <c r="C1855" s="7"/>
      <c r="D1855" s="7"/>
      <c r="E1855" s="7"/>
      <c r="F1855" s="8"/>
    </row>
    <row r="1856">
      <c r="A1856" s="9" t="s">
        <v>5582</v>
      </c>
      <c r="B1856" s="10"/>
      <c r="C1856" s="10"/>
      <c r="D1856" s="10"/>
      <c r="E1856" s="10"/>
      <c r="F1856" s="10"/>
    </row>
    <row r="1857">
      <c r="A1857" s="19" t="s">
        <v>5583</v>
      </c>
    </row>
    <row r="1858">
      <c r="A1858" s="6"/>
      <c r="B1858" s="7"/>
      <c r="C1858" s="7"/>
      <c r="D1858" s="8"/>
      <c r="E1858" s="12" t="s">
        <v>5584</v>
      </c>
      <c r="F1858" s="12" t="s">
        <v>7246</v>
      </c>
    </row>
    <row r="1859">
      <c r="A1859" s="20" t="s">
        <v>5522</v>
      </c>
      <c r="B1859" s="16" t="s">
        <v>5523</v>
      </c>
      <c r="C1859" s="16" t="s">
        <v>5524</v>
      </c>
      <c r="D1859" s="16" t="s">
        <v>5525</v>
      </c>
      <c r="E1859" s="16" t="s">
        <v>5526</v>
      </c>
      <c r="F1859" s="16" t="s">
        <v>5586</v>
      </c>
    </row>
    <row r="1860">
      <c r="A1860" s="15">
        <v>34.0</v>
      </c>
      <c r="B1860" s="16" t="s">
        <v>7243</v>
      </c>
      <c r="C1860" s="17" t="s">
        <v>5833</v>
      </c>
      <c r="D1860" s="18">
        <v>39.61</v>
      </c>
      <c r="E1860" s="18">
        <v>55.46</v>
      </c>
      <c r="F1860" s="18">
        <v>12.0</v>
      </c>
    </row>
    <row r="1861">
      <c r="A1861" s="15">
        <v>35.0</v>
      </c>
      <c r="B1861" s="16" t="s">
        <v>7247</v>
      </c>
      <c r="C1861" s="17" t="s">
        <v>5536</v>
      </c>
      <c r="D1861" s="18">
        <v>61.36</v>
      </c>
      <c r="E1861" s="18">
        <v>85.9</v>
      </c>
      <c r="F1861" s="18">
        <v>12.0</v>
      </c>
    </row>
    <row r="1862">
      <c r="A1862" s="15">
        <v>36.0</v>
      </c>
      <c r="B1862" s="16" t="s">
        <v>7248</v>
      </c>
      <c r="C1862" s="17" t="s">
        <v>5636</v>
      </c>
      <c r="D1862" s="18">
        <v>59.64</v>
      </c>
      <c r="E1862" s="18">
        <v>83.5</v>
      </c>
      <c r="F1862" s="18">
        <v>12.0</v>
      </c>
    </row>
    <row r="1863">
      <c r="A1863" s="6"/>
      <c r="B1863" s="7"/>
      <c r="C1863" s="7"/>
      <c r="D1863" s="7"/>
      <c r="E1863" s="7"/>
      <c r="F1863" s="8"/>
    </row>
    <row r="1864">
      <c r="A1864" s="9" t="s">
        <v>7249</v>
      </c>
      <c r="B1864" s="10"/>
      <c r="C1864" s="10"/>
      <c r="D1864" s="10"/>
      <c r="E1864" s="10"/>
      <c r="F1864" s="10"/>
    </row>
    <row r="1865">
      <c r="A1865" s="11">
        <v>1.0</v>
      </c>
      <c r="B1865" s="12" t="s">
        <v>7250</v>
      </c>
      <c r="C1865" s="13" t="s">
        <v>5603</v>
      </c>
      <c r="D1865" s="14">
        <v>65.46</v>
      </c>
      <c r="E1865" s="14">
        <v>91.65</v>
      </c>
      <c r="F1865" s="14">
        <v>12.0</v>
      </c>
    </row>
    <row r="1866">
      <c r="A1866" s="15">
        <v>2.0</v>
      </c>
      <c r="B1866" s="16" t="s">
        <v>7251</v>
      </c>
      <c r="C1866" s="17" t="s">
        <v>7252</v>
      </c>
      <c r="D1866" s="18">
        <v>307.85</v>
      </c>
      <c r="E1866" s="18">
        <v>440.09</v>
      </c>
      <c r="F1866" s="18">
        <v>5.0</v>
      </c>
    </row>
    <row r="1867">
      <c r="A1867" s="15">
        <v>3.0</v>
      </c>
      <c r="B1867" s="16" t="s">
        <v>7253</v>
      </c>
      <c r="C1867" s="17" t="s">
        <v>7254</v>
      </c>
      <c r="D1867" s="18">
        <v>442.74</v>
      </c>
      <c r="E1867" s="18">
        <v>581.1</v>
      </c>
      <c r="F1867" s="18">
        <v>5.0</v>
      </c>
    </row>
    <row r="1868">
      <c r="A1868" s="15">
        <v>4.0</v>
      </c>
      <c r="B1868" s="16" t="s">
        <v>7255</v>
      </c>
      <c r="C1868" s="17" t="s">
        <v>5536</v>
      </c>
      <c r="D1868" s="18">
        <v>169.72</v>
      </c>
      <c r="E1868" s="18">
        <v>237.6</v>
      </c>
      <c r="F1868" s="18">
        <v>12.0</v>
      </c>
    </row>
    <row r="1869">
      <c r="A1869" s="15">
        <v>5.0</v>
      </c>
      <c r="B1869" s="16" t="s">
        <v>7256</v>
      </c>
      <c r="C1869" s="17" t="s">
        <v>5536</v>
      </c>
      <c r="D1869" s="18">
        <v>72.16</v>
      </c>
      <c r="E1869" s="18">
        <v>101.03</v>
      </c>
      <c r="F1869" s="18">
        <v>12.0</v>
      </c>
    </row>
    <row r="1870">
      <c r="A1870" s="15">
        <v>6.0</v>
      </c>
      <c r="B1870" s="16" t="s">
        <v>7257</v>
      </c>
      <c r="C1870" s="17" t="s">
        <v>5536</v>
      </c>
      <c r="D1870" s="18">
        <v>41.39</v>
      </c>
      <c r="E1870" s="18">
        <v>57.95</v>
      </c>
      <c r="F1870" s="18">
        <v>12.0</v>
      </c>
    </row>
    <row r="1871">
      <c r="A1871" s="15">
        <v>7.0</v>
      </c>
      <c r="B1871" s="16" t="s">
        <v>7258</v>
      </c>
      <c r="C1871" s="17" t="s">
        <v>5536</v>
      </c>
      <c r="D1871" s="18">
        <v>74.96</v>
      </c>
      <c r="E1871" s="18">
        <v>104.94</v>
      </c>
      <c r="F1871" s="18">
        <v>12.0</v>
      </c>
    </row>
    <row r="1872">
      <c r="A1872" s="15">
        <v>8.0</v>
      </c>
      <c r="B1872" s="16" t="s">
        <v>7259</v>
      </c>
      <c r="C1872" s="17" t="s">
        <v>7260</v>
      </c>
      <c r="D1872" s="18">
        <v>3131.82</v>
      </c>
      <c r="E1872" s="18">
        <v>4300.0</v>
      </c>
      <c r="F1872" s="18">
        <v>12.0</v>
      </c>
    </row>
    <row r="1873">
      <c r="A1873" s="15">
        <v>9.0</v>
      </c>
      <c r="B1873" s="16" t="s">
        <v>7261</v>
      </c>
      <c r="C1873" s="17" t="s">
        <v>5636</v>
      </c>
      <c r="D1873" s="18">
        <v>16.8</v>
      </c>
      <c r="E1873" s="18">
        <v>23.94</v>
      </c>
      <c r="F1873" s="18">
        <v>12.0</v>
      </c>
    </row>
    <row r="1874">
      <c r="A1874" s="15">
        <v>10.0</v>
      </c>
      <c r="B1874" s="16" t="s">
        <v>7261</v>
      </c>
      <c r="C1874" s="17" t="s">
        <v>5565</v>
      </c>
      <c r="D1874" s="18">
        <v>57.66</v>
      </c>
      <c r="E1874" s="18">
        <v>80.72</v>
      </c>
      <c r="F1874" s="18">
        <v>12.0</v>
      </c>
    </row>
    <row r="1875">
      <c r="A1875" s="15">
        <v>11.0</v>
      </c>
      <c r="B1875" s="16" t="s">
        <v>7262</v>
      </c>
      <c r="C1875" s="17" t="s">
        <v>5603</v>
      </c>
      <c r="D1875" s="18">
        <v>30.0</v>
      </c>
      <c r="E1875" s="18">
        <v>49.5</v>
      </c>
      <c r="F1875" s="18">
        <v>12.0</v>
      </c>
    </row>
    <row r="1876">
      <c r="A1876" s="15">
        <v>12.0</v>
      </c>
      <c r="B1876" s="16" t="s">
        <v>7262</v>
      </c>
      <c r="C1876" s="17" t="s">
        <v>5565</v>
      </c>
      <c r="D1876" s="18">
        <v>63.81</v>
      </c>
      <c r="E1876" s="18">
        <v>89.33</v>
      </c>
      <c r="F1876" s="18">
        <v>12.0</v>
      </c>
    </row>
    <row r="1877">
      <c r="A1877" s="15">
        <v>13.0</v>
      </c>
      <c r="B1877" s="16" t="s">
        <v>7263</v>
      </c>
      <c r="C1877" s="17" t="s">
        <v>5636</v>
      </c>
      <c r="D1877" s="18">
        <v>22.64</v>
      </c>
      <c r="E1877" s="18">
        <v>31.69</v>
      </c>
      <c r="F1877" s="18">
        <v>12.0</v>
      </c>
    </row>
    <row r="1878">
      <c r="A1878" s="15">
        <v>14.0</v>
      </c>
      <c r="B1878" s="16" t="s">
        <v>7263</v>
      </c>
      <c r="C1878" s="17" t="s">
        <v>5565</v>
      </c>
      <c r="D1878" s="18">
        <v>74.58</v>
      </c>
      <c r="E1878" s="18">
        <v>104.41</v>
      </c>
      <c r="F1878" s="18">
        <v>12.0</v>
      </c>
    </row>
    <row r="1879">
      <c r="A1879" s="15">
        <v>15.0</v>
      </c>
      <c r="B1879" s="16" t="s">
        <v>7264</v>
      </c>
      <c r="C1879" s="17" t="s">
        <v>5603</v>
      </c>
      <c r="D1879" s="18">
        <v>27.71</v>
      </c>
      <c r="E1879" s="18">
        <v>36.09</v>
      </c>
      <c r="F1879" s="18">
        <v>12.0</v>
      </c>
    </row>
    <row r="1880">
      <c r="A1880" s="15">
        <v>16.0</v>
      </c>
      <c r="B1880" s="16" t="s">
        <v>7264</v>
      </c>
      <c r="C1880" s="17" t="s">
        <v>5565</v>
      </c>
      <c r="D1880" s="18">
        <v>56.4</v>
      </c>
      <c r="E1880" s="18">
        <v>78.96</v>
      </c>
      <c r="F1880" s="18">
        <v>12.0</v>
      </c>
    </row>
    <row r="1881">
      <c r="A1881" s="6"/>
      <c r="B1881" s="7"/>
      <c r="C1881" s="7"/>
      <c r="D1881" s="7"/>
      <c r="E1881" s="7"/>
      <c r="F1881" s="8"/>
    </row>
    <row r="1882">
      <c r="A1882" s="9" t="s">
        <v>7265</v>
      </c>
      <c r="B1882" s="10"/>
      <c r="C1882" s="10"/>
      <c r="D1882" s="10"/>
      <c r="E1882" s="10"/>
      <c r="F1882" s="10"/>
    </row>
    <row r="1883">
      <c r="A1883" s="11">
        <v>1.0</v>
      </c>
      <c r="B1883" s="12" t="s">
        <v>7266</v>
      </c>
      <c r="C1883" s="12" t="s">
        <v>301</v>
      </c>
      <c r="D1883" s="14">
        <v>132.14</v>
      </c>
      <c r="E1883" s="14">
        <v>185.0</v>
      </c>
      <c r="F1883" s="14">
        <v>12.0</v>
      </c>
    </row>
    <row r="1884">
      <c r="A1884" s="15">
        <v>2.0</v>
      </c>
      <c r="B1884" s="16" t="s">
        <v>7267</v>
      </c>
      <c r="C1884" s="16" t="s">
        <v>6411</v>
      </c>
      <c r="D1884" s="18">
        <v>195.35</v>
      </c>
      <c r="E1884" s="18">
        <v>330.74</v>
      </c>
      <c r="F1884" s="18">
        <v>12.0</v>
      </c>
    </row>
    <row r="1885">
      <c r="A1885" s="15">
        <v>3.0</v>
      </c>
      <c r="B1885" s="16" t="s">
        <v>7268</v>
      </c>
      <c r="C1885" s="16" t="s">
        <v>2290</v>
      </c>
      <c r="D1885" s="18">
        <v>250.76</v>
      </c>
      <c r="E1885" s="18">
        <v>329.12</v>
      </c>
      <c r="F1885" s="18">
        <v>5.0</v>
      </c>
    </row>
    <row r="1886">
      <c r="A1886" s="15">
        <v>4.0</v>
      </c>
      <c r="B1886" s="16" t="s">
        <v>7269</v>
      </c>
      <c r="C1886" s="17" t="s">
        <v>7270</v>
      </c>
      <c r="D1886" s="18">
        <v>243.05</v>
      </c>
      <c r="E1886" s="18">
        <v>319.0</v>
      </c>
      <c r="F1886" s="18">
        <v>5.0</v>
      </c>
    </row>
    <row r="1887">
      <c r="A1887" s="15">
        <v>5.0</v>
      </c>
      <c r="B1887" s="16" t="s">
        <v>1504</v>
      </c>
      <c r="C1887" s="16" t="s">
        <v>5679</v>
      </c>
      <c r="D1887" s="18">
        <v>149.15</v>
      </c>
      <c r="E1887" s="18">
        <v>220.0</v>
      </c>
      <c r="F1887" s="18">
        <v>18.0</v>
      </c>
    </row>
    <row r="1888">
      <c r="A1888" s="15">
        <v>6.0</v>
      </c>
      <c r="B1888" s="16" t="s">
        <v>7271</v>
      </c>
      <c r="C1888" s="17" t="s">
        <v>5562</v>
      </c>
      <c r="D1888" s="18">
        <v>152.88</v>
      </c>
      <c r="E1888" s="18">
        <v>225.5</v>
      </c>
      <c r="F1888" s="18">
        <v>18.0</v>
      </c>
    </row>
    <row r="1889">
      <c r="A1889" s="15">
        <v>7.0</v>
      </c>
      <c r="B1889" s="16" t="s">
        <v>7272</v>
      </c>
      <c r="C1889" s="17" t="s">
        <v>5828</v>
      </c>
      <c r="D1889" s="18">
        <v>132.14</v>
      </c>
      <c r="E1889" s="18">
        <v>185.0</v>
      </c>
      <c r="F1889" s="18">
        <v>12.0</v>
      </c>
    </row>
    <row r="1890">
      <c r="A1890" s="15">
        <v>8.0</v>
      </c>
      <c r="B1890" s="16" t="s">
        <v>7273</v>
      </c>
      <c r="C1890" s="17" t="s">
        <v>5536</v>
      </c>
      <c r="D1890" s="18">
        <v>259.68</v>
      </c>
      <c r="E1890" s="18">
        <v>363.55</v>
      </c>
      <c r="F1890" s="18">
        <v>12.0</v>
      </c>
    </row>
    <row r="1891">
      <c r="A1891" s="15">
        <v>9.0</v>
      </c>
      <c r="B1891" s="16" t="s">
        <v>7274</v>
      </c>
      <c r="C1891" s="17" t="s">
        <v>5536</v>
      </c>
      <c r="D1891" s="18">
        <v>285.5</v>
      </c>
      <c r="E1891" s="18">
        <v>392.0</v>
      </c>
      <c r="F1891" s="18">
        <v>12.0</v>
      </c>
    </row>
    <row r="1892">
      <c r="A1892" s="15">
        <v>10.0</v>
      </c>
      <c r="B1892" s="16" t="s">
        <v>7275</v>
      </c>
      <c r="C1892" s="17" t="s">
        <v>5603</v>
      </c>
      <c r="D1892" s="18">
        <v>78.65</v>
      </c>
      <c r="E1892" s="18">
        <v>110.11</v>
      </c>
      <c r="F1892" s="18">
        <v>12.0</v>
      </c>
    </row>
    <row r="1893">
      <c r="A1893" s="15">
        <v>11.0</v>
      </c>
      <c r="B1893" s="16" t="s">
        <v>7276</v>
      </c>
      <c r="C1893" s="17" t="s">
        <v>5827</v>
      </c>
      <c r="D1893" s="18">
        <v>65.69</v>
      </c>
      <c r="E1893" s="18">
        <v>91.96</v>
      </c>
      <c r="F1893" s="18">
        <v>12.0</v>
      </c>
    </row>
    <row r="1894">
      <c r="A1894" s="15">
        <v>12.0</v>
      </c>
      <c r="B1894" s="16" t="s">
        <v>7276</v>
      </c>
      <c r="C1894" s="17" t="s">
        <v>7277</v>
      </c>
      <c r="D1894" s="18">
        <v>73.46</v>
      </c>
      <c r="E1894" s="18">
        <v>102.85</v>
      </c>
      <c r="F1894" s="18">
        <v>12.0</v>
      </c>
    </row>
    <row r="1895">
      <c r="A1895" s="15">
        <v>13.0</v>
      </c>
      <c r="B1895" s="16" t="s">
        <v>7276</v>
      </c>
      <c r="C1895" s="17" t="s">
        <v>7278</v>
      </c>
      <c r="D1895" s="18">
        <v>64.43</v>
      </c>
      <c r="E1895" s="18">
        <v>90.2</v>
      </c>
      <c r="F1895" s="18">
        <v>12.0</v>
      </c>
    </row>
    <row r="1896">
      <c r="A1896" s="15">
        <v>14.0</v>
      </c>
      <c r="B1896" s="16" t="s">
        <v>7279</v>
      </c>
      <c r="C1896" s="17" t="s">
        <v>7280</v>
      </c>
      <c r="D1896" s="18">
        <v>257.12</v>
      </c>
      <c r="E1896" s="18">
        <v>359.97</v>
      </c>
      <c r="F1896" s="18">
        <v>12.0</v>
      </c>
    </row>
    <row r="1897">
      <c r="A1897" s="15">
        <v>15.0</v>
      </c>
      <c r="B1897" s="16" t="s">
        <v>7281</v>
      </c>
      <c r="C1897" s="17" t="s">
        <v>7280</v>
      </c>
      <c r="D1897" s="18">
        <v>245.46</v>
      </c>
      <c r="E1897" s="18">
        <v>343.64</v>
      </c>
      <c r="F1897" s="18">
        <v>12.0</v>
      </c>
    </row>
    <row r="1898">
      <c r="A1898" s="15">
        <v>16.0</v>
      </c>
      <c r="B1898" s="16" t="s">
        <v>7282</v>
      </c>
      <c r="C1898" s="17" t="s">
        <v>5827</v>
      </c>
      <c r="D1898" s="18">
        <v>93.21</v>
      </c>
      <c r="E1898" s="18">
        <v>130.5</v>
      </c>
      <c r="F1898" s="18">
        <v>12.0</v>
      </c>
    </row>
    <row r="1899">
      <c r="A1899" s="15">
        <v>17.0</v>
      </c>
      <c r="B1899" s="16" t="s">
        <v>7283</v>
      </c>
      <c r="C1899" s="17" t="s">
        <v>5827</v>
      </c>
      <c r="D1899" s="18">
        <v>83.21</v>
      </c>
      <c r="E1899" s="18">
        <v>116.5</v>
      </c>
      <c r="F1899" s="18">
        <v>12.0</v>
      </c>
    </row>
    <row r="1900">
      <c r="A1900" s="15">
        <v>18.0</v>
      </c>
      <c r="B1900" s="16" t="s">
        <v>7283</v>
      </c>
      <c r="C1900" s="17" t="s">
        <v>5828</v>
      </c>
      <c r="D1900" s="18">
        <v>198.19</v>
      </c>
      <c r="E1900" s="18">
        <v>275.0</v>
      </c>
      <c r="F1900" s="18">
        <v>12.0</v>
      </c>
    </row>
    <row r="1901">
      <c r="A1901" s="15">
        <v>19.0</v>
      </c>
      <c r="B1901" s="16" t="s">
        <v>7284</v>
      </c>
      <c r="C1901" s="17" t="s">
        <v>5731</v>
      </c>
      <c r="D1901" s="18">
        <v>135.93</v>
      </c>
      <c r="E1901" s="18">
        <v>190.3</v>
      </c>
      <c r="F1901" s="18">
        <v>12.0</v>
      </c>
    </row>
    <row r="1902">
      <c r="A1902" s="15">
        <v>20.0</v>
      </c>
      <c r="B1902" s="16" t="s">
        <v>7285</v>
      </c>
      <c r="C1902" s="17" t="s">
        <v>7286</v>
      </c>
      <c r="D1902" s="18">
        <v>720.71</v>
      </c>
      <c r="E1902" s="18">
        <v>1009.0</v>
      </c>
      <c r="F1902" s="18">
        <v>12.0</v>
      </c>
    </row>
    <row r="1903">
      <c r="A1903" s="15">
        <v>21.0</v>
      </c>
      <c r="B1903" s="16" t="s">
        <v>7285</v>
      </c>
      <c r="C1903" s="17" t="s">
        <v>7287</v>
      </c>
      <c r="D1903" s="18">
        <v>726.86</v>
      </c>
      <c r="E1903" s="18">
        <v>1017.61</v>
      </c>
      <c r="F1903" s="18">
        <v>12.0</v>
      </c>
    </row>
    <row r="1904">
      <c r="A1904" s="15">
        <v>22.0</v>
      </c>
      <c r="B1904" s="16" t="s">
        <v>7288</v>
      </c>
      <c r="C1904" s="17" t="s">
        <v>7289</v>
      </c>
      <c r="D1904" s="18">
        <v>231.41</v>
      </c>
      <c r="E1904" s="18">
        <v>314.5</v>
      </c>
      <c r="F1904" s="18">
        <v>12.0</v>
      </c>
    </row>
    <row r="1905">
      <c r="A1905" s="15">
        <v>23.0</v>
      </c>
      <c r="B1905" s="16" t="s">
        <v>7288</v>
      </c>
      <c r="C1905" s="17" t="s">
        <v>5999</v>
      </c>
      <c r="D1905" s="18">
        <v>215.22</v>
      </c>
      <c r="E1905" s="18">
        <v>301.31</v>
      </c>
      <c r="F1905" s="18">
        <v>12.0</v>
      </c>
    </row>
    <row r="1906">
      <c r="A1906" s="15">
        <v>24.0</v>
      </c>
      <c r="B1906" s="16" t="s">
        <v>7290</v>
      </c>
      <c r="C1906" s="17" t="s">
        <v>7289</v>
      </c>
      <c r="D1906" s="18">
        <v>665.43</v>
      </c>
      <c r="E1906" s="18">
        <v>931.61</v>
      </c>
      <c r="F1906" s="18">
        <v>12.0</v>
      </c>
    </row>
    <row r="1907">
      <c r="A1907" s="15">
        <v>25.0</v>
      </c>
      <c r="B1907" s="16" t="s">
        <v>7290</v>
      </c>
      <c r="C1907" s="17" t="s">
        <v>7291</v>
      </c>
      <c r="D1907" s="18">
        <v>507.21</v>
      </c>
      <c r="E1907" s="18">
        <v>689.5</v>
      </c>
      <c r="F1907" s="18">
        <v>12.0</v>
      </c>
    </row>
    <row r="1908">
      <c r="A1908" s="15">
        <v>26.0</v>
      </c>
      <c r="B1908" s="16" t="s">
        <v>7290</v>
      </c>
      <c r="C1908" s="17" t="s">
        <v>5999</v>
      </c>
      <c r="D1908" s="18">
        <v>517.27</v>
      </c>
      <c r="E1908" s="18">
        <v>724.18</v>
      </c>
      <c r="F1908" s="18">
        <v>12.0</v>
      </c>
    </row>
    <row r="1909">
      <c r="A1909" s="15">
        <v>27.0</v>
      </c>
      <c r="B1909" s="16" t="s">
        <v>7292</v>
      </c>
      <c r="C1909" s="17" t="s">
        <v>7293</v>
      </c>
      <c r="D1909" s="18">
        <v>556.87</v>
      </c>
      <c r="E1909" s="18">
        <v>779.62</v>
      </c>
      <c r="F1909" s="18">
        <v>12.0</v>
      </c>
    </row>
    <row r="1910">
      <c r="A1910" s="15">
        <v>28.0</v>
      </c>
      <c r="B1910" s="16" t="s">
        <v>7294</v>
      </c>
      <c r="C1910" s="16" t="s">
        <v>6399</v>
      </c>
      <c r="D1910" s="18">
        <v>1443.77</v>
      </c>
      <c r="E1910" s="18">
        <v>2129.5</v>
      </c>
      <c r="F1910" s="18">
        <v>18.0</v>
      </c>
    </row>
    <row r="1911">
      <c r="A1911" s="15">
        <v>29.0</v>
      </c>
      <c r="B1911" s="16" t="s">
        <v>7295</v>
      </c>
      <c r="C1911" s="16" t="s">
        <v>6287</v>
      </c>
      <c r="D1911" s="18">
        <v>529.37</v>
      </c>
      <c r="E1911" s="18">
        <v>780.82</v>
      </c>
      <c r="F1911" s="18">
        <v>18.0</v>
      </c>
    </row>
    <row r="1912">
      <c r="A1912" s="15">
        <v>30.0</v>
      </c>
      <c r="B1912" s="16" t="s">
        <v>7296</v>
      </c>
      <c r="C1912" s="17" t="s">
        <v>7297</v>
      </c>
      <c r="D1912" s="18">
        <v>254.1</v>
      </c>
      <c r="E1912" s="18">
        <v>374.79</v>
      </c>
      <c r="F1912" s="18">
        <v>18.0</v>
      </c>
    </row>
    <row r="1913">
      <c r="A1913" s="15">
        <v>31.0</v>
      </c>
      <c r="B1913" s="16" t="s">
        <v>7298</v>
      </c>
      <c r="C1913" s="17" t="s">
        <v>7299</v>
      </c>
      <c r="D1913" s="18">
        <v>185.93</v>
      </c>
      <c r="E1913" s="18">
        <v>274.25</v>
      </c>
      <c r="F1913" s="18">
        <v>18.0</v>
      </c>
    </row>
    <row r="1914">
      <c r="A1914" s="15">
        <v>32.0</v>
      </c>
      <c r="B1914" s="16" t="s">
        <v>7298</v>
      </c>
      <c r="C1914" s="17" t="s">
        <v>7300</v>
      </c>
      <c r="D1914" s="18">
        <v>394.84</v>
      </c>
      <c r="E1914" s="18">
        <v>582.39</v>
      </c>
      <c r="F1914" s="18">
        <v>18.0</v>
      </c>
    </row>
    <row r="1915">
      <c r="A1915" s="6"/>
      <c r="B1915" s="7"/>
      <c r="C1915" s="7"/>
      <c r="D1915" s="7"/>
      <c r="E1915" s="7"/>
      <c r="F1915" s="8"/>
    </row>
    <row r="1916">
      <c r="A1916" s="9" t="s">
        <v>7301</v>
      </c>
      <c r="B1916" s="10"/>
      <c r="C1916" s="10"/>
      <c r="D1916" s="10"/>
      <c r="E1916" s="10"/>
      <c r="F1916" s="10"/>
    </row>
    <row r="1917">
      <c r="A1917" s="11">
        <v>1.0</v>
      </c>
      <c r="B1917" s="12" t="s">
        <v>7302</v>
      </c>
      <c r="C1917" s="13" t="s">
        <v>7303</v>
      </c>
      <c r="D1917" s="14">
        <v>644.07</v>
      </c>
      <c r="E1917" s="14">
        <v>950.0</v>
      </c>
      <c r="F1917" s="14">
        <v>18.0</v>
      </c>
    </row>
    <row r="1918">
      <c r="A1918" s="15">
        <v>2.0</v>
      </c>
      <c r="B1918" s="16" t="s">
        <v>6465</v>
      </c>
      <c r="C1918" s="17" t="s">
        <v>7304</v>
      </c>
      <c r="D1918" s="18">
        <v>381.89</v>
      </c>
      <c r="E1918" s="18">
        <v>563.29</v>
      </c>
      <c r="F1918" s="18">
        <v>18.0</v>
      </c>
    </row>
    <row r="1919">
      <c r="A1919" s="15">
        <v>3.0</v>
      </c>
      <c r="B1919" s="16" t="s">
        <v>7305</v>
      </c>
      <c r="C1919" s="16" t="s">
        <v>7306</v>
      </c>
      <c r="D1919" s="18">
        <v>1508.71</v>
      </c>
      <c r="E1919" s="18">
        <v>2225.35</v>
      </c>
      <c r="F1919" s="18">
        <v>18.0</v>
      </c>
    </row>
    <row r="1920">
      <c r="A1920" s="6"/>
      <c r="B1920" s="7"/>
      <c r="C1920" s="7"/>
      <c r="D1920" s="7"/>
      <c r="E1920" s="7"/>
      <c r="F1920" s="8"/>
    </row>
    <row r="1921">
      <c r="A1921" s="6"/>
      <c r="B1921" s="7"/>
      <c r="C1921" s="7"/>
      <c r="D1921" s="7"/>
      <c r="E1921" s="8"/>
      <c r="F1921" s="16" t="s">
        <v>7307</v>
      </c>
    </row>
    <row r="1922">
      <c r="A1922" s="6"/>
      <c r="B1922" s="7"/>
      <c r="C1922" s="7"/>
      <c r="D1922" s="7"/>
      <c r="E1922" s="7"/>
      <c r="F1922" s="8"/>
    </row>
    <row r="1923">
      <c r="A1923" s="6"/>
      <c r="B1923" s="7"/>
      <c r="C1923" s="7"/>
      <c r="D1923" s="7"/>
      <c r="E1923" s="7"/>
      <c r="F1923" s="8"/>
    </row>
    <row r="1924">
      <c r="A1924" s="6"/>
      <c r="B1924" s="7"/>
      <c r="C1924" s="7"/>
      <c r="D1924" s="7"/>
      <c r="E1924" s="7"/>
      <c r="F1924" s="8"/>
    </row>
    <row r="1925">
      <c r="A1925" s="6"/>
      <c r="B1925" s="7"/>
      <c r="C1925" s="7"/>
      <c r="D1925" s="7"/>
      <c r="E1925" s="7"/>
      <c r="F1925" s="8"/>
    </row>
    <row r="1926">
      <c r="A1926" s="9" t="s">
        <v>5582</v>
      </c>
      <c r="B1926" s="10"/>
      <c r="C1926" s="10"/>
      <c r="D1926" s="10"/>
      <c r="E1926" s="10"/>
      <c r="F1926" s="10"/>
    </row>
    <row r="1927">
      <c r="A1927" s="19" t="s">
        <v>5583</v>
      </c>
    </row>
    <row r="1928">
      <c r="A1928" s="6"/>
      <c r="B1928" s="7"/>
      <c r="C1928" s="7"/>
      <c r="D1928" s="8"/>
      <c r="E1928" s="12" t="s">
        <v>5584</v>
      </c>
      <c r="F1928" s="12" t="s">
        <v>7308</v>
      </c>
    </row>
    <row r="1929">
      <c r="A1929" s="20" t="s">
        <v>5522</v>
      </c>
      <c r="B1929" s="16" t="s">
        <v>5523</v>
      </c>
      <c r="C1929" s="16" t="s">
        <v>5524</v>
      </c>
      <c r="D1929" s="16" t="s">
        <v>5525</v>
      </c>
      <c r="E1929" s="16" t="s">
        <v>5526</v>
      </c>
      <c r="F1929" s="16" t="s">
        <v>5586</v>
      </c>
    </row>
    <row r="1930">
      <c r="A1930" s="9" t="s">
        <v>1536</v>
      </c>
      <c r="B1930" s="10"/>
      <c r="C1930" s="10"/>
      <c r="D1930" s="10"/>
      <c r="E1930" s="10"/>
      <c r="F1930" s="10"/>
    </row>
    <row r="1931">
      <c r="A1931" s="11">
        <v>1.0</v>
      </c>
      <c r="B1931" s="12" t="s">
        <v>7309</v>
      </c>
      <c r="C1931" s="13" t="s">
        <v>5636</v>
      </c>
      <c r="D1931" s="14">
        <v>33.8</v>
      </c>
      <c r="E1931" s="14">
        <v>47.32</v>
      </c>
      <c r="F1931" s="14">
        <v>12.0</v>
      </c>
    </row>
    <row r="1932">
      <c r="A1932" s="15">
        <v>2.0</v>
      </c>
      <c r="B1932" s="16" t="s">
        <v>7310</v>
      </c>
      <c r="C1932" s="17" t="s">
        <v>5536</v>
      </c>
      <c r="D1932" s="18">
        <v>58.57</v>
      </c>
      <c r="E1932" s="18">
        <v>82.0</v>
      </c>
      <c r="F1932" s="18">
        <v>12.0</v>
      </c>
    </row>
    <row r="1933">
      <c r="A1933" s="15">
        <v>3.0</v>
      </c>
      <c r="B1933" s="16" t="s">
        <v>7311</v>
      </c>
      <c r="C1933" s="17" t="s">
        <v>5536</v>
      </c>
      <c r="D1933" s="18">
        <v>78.57</v>
      </c>
      <c r="E1933" s="18">
        <v>110.0</v>
      </c>
      <c r="F1933" s="18">
        <v>12.0</v>
      </c>
    </row>
    <row r="1934">
      <c r="A1934" s="15">
        <v>4.0</v>
      </c>
      <c r="B1934" s="16" t="s">
        <v>7312</v>
      </c>
      <c r="C1934" s="17" t="s">
        <v>5536</v>
      </c>
      <c r="D1934" s="18">
        <v>76.47</v>
      </c>
      <c r="E1934" s="18">
        <v>105.0</v>
      </c>
      <c r="F1934" s="18">
        <v>12.0</v>
      </c>
    </row>
    <row r="1935">
      <c r="A1935" s="15">
        <v>5.0</v>
      </c>
      <c r="B1935" s="16" t="s">
        <v>7313</v>
      </c>
      <c r="C1935" s="17" t="s">
        <v>5536</v>
      </c>
      <c r="D1935" s="18">
        <v>94.67</v>
      </c>
      <c r="E1935" s="18">
        <v>130.0</v>
      </c>
      <c r="F1935" s="18">
        <v>12.0</v>
      </c>
    </row>
    <row r="1936">
      <c r="A1936" s="15">
        <v>6.0</v>
      </c>
      <c r="B1936" s="16" t="s">
        <v>1541</v>
      </c>
      <c r="C1936" s="16" t="s">
        <v>5558</v>
      </c>
      <c r="D1936" s="18">
        <v>19.0</v>
      </c>
      <c r="E1936" s="18">
        <v>26.6</v>
      </c>
      <c r="F1936" s="18">
        <v>12.0</v>
      </c>
    </row>
    <row r="1937">
      <c r="A1937" s="15">
        <v>7.0</v>
      </c>
      <c r="B1937" s="16" t="s">
        <v>7314</v>
      </c>
      <c r="C1937" s="17" t="s">
        <v>5536</v>
      </c>
      <c r="D1937" s="18">
        <v>71.43</v>
      </c>
      <c r="E1937" s="18">
        <v>100.0</v>
      </c>
      <c r="F1937" s="18">
        <v>12.0</v>
      </c>
    </row>
    <row r="1938">
      <c r="A1938" s="15">
        <v>8.0</v>
      </c>
      <c r="B1938" s="16" t="s">
        <v>7315</v>
      </c>
      <c r="C1938" s="17" t="s">
        <v>5536</v>
      </c>
      <c r="D1938" s="18">
        <v>90.48</v>
      </c>
      <c r="E1938" s="18">
        <v>126.67</v>
      </c>
      <c r="F1938" s="18">
        <v>12.0</v>
      </c>
    </row>
    <row r="1939">
      <c r="A1939" s="15">
        <v>9.0</v>
      </c>
      <c r="B1939" s="16" t="s">
        <v>7316</v>
      </c>
      <c r="C1939" s="17" t="s">
        <v>5562</v>
      </c>
      <c r="D1939" s="18">
        <v>85.71</v>
      </c>
      <c r="E1939" s="18">
        <v>120.0</v>
      </c>
      <c r="F1939" s="18">
        <v>12.0</v>
      </c>
    </row>
    <row r="1940">
      <c r="A1940" s="15">
        <v>10.0</v>
      </c>
      <c r="B1940" s="16" t="s">
        <v>7317</v>
      </c>
      <c r="C1940" s="17" t="s">
        <v>5536</v>
      </c>
      <c r="D1940" s="18">
        <v>177.14</v>
      </c>
      <c r="E1940" s="18">
        <v>248.0</v>
      </c>
      <c r="F1940" s="18">
        <v>12.0</v>
      </c>
    </row>
    <row r="1941">
      <c r="A1941" s="15">
        <v>11.0</v>
      </c>
      <c r="B1941" s="16" t="s">
        <v>7318</v>
      </c>
      <c r="C1941" s="17" t="s">
        <v>5536</v>
      </c>
      <c r="D1941" s="18">
        <v>53.57</v>
      </c>
      <c r="E1941" s="18">
        <v>75.0</v>
      </c>
      <c r="F1941" s="18">
        <v>12.0</v>
      </c>
    </row>
    <row r="1942">
      <c r="A1942" s="15">
        <v>12.0</v>
      </c>
      <c r="B1942" s="16" t="s">
        <v>1547</v>
      </c>
      <c r="C1942" s="16" t="s">
        <v>5558</v>
      </c>
      <c r="D1942" s="18">
        <v>98.57</v>
      </c>
      <c r="E1942" s="18">
        <v>138.0</v>
      </c>
      <c r="F1942" s="18">
        <v>12.0</v>
      </c>
    </row>
    <row r="1943">
      <c r="A1943" s="15">
        <v>13.0</v>
      </c>
      <c r="B1943" s="16" t="s">
        <v>7319</v>
      </c>
      <c r="C1943" s="17" t="s">
        <v>5636</v>
      </c>
      <c r="D1943" s="18">
        <v>83.57</v>
      </c>
      <c r="E1943" s="18">
        <v>117.0</v>
      </c>
      <c r="F1943" s="18">
        <v>12.0</v>
      </c>
    </row>
    <row r="1944">
      <c r="A1944" s="15">
        <v>14.0</v>
      </c>
      <c r="B1944" s="16" t="s">
        <v>1549</v>
      </c>
      <c r="C1944" s="16" t="s">
        <v>5558</v>
      </c>
      <c r="D1944" s="18">
        <v>70.71</v>
      </c>
      <c r="E1944" s="18">
        <v>99.0</v>
      </c>
      <c r="F1944" s="18">
        <v>12.0</v>
      </c>
    </row>
    <row r="1945">
      <c r="A1945" s="15">
        <v>15.0</v>
      </c>
      <c r="B1945" s="16" t="s">
        <v>7320</v>
      </c>
      <c r="C1945" s="17" t="s">
        <v>6659</v>
      </c>
      <c r="D1945" s="18">
        <v>66.34</v>
      </c>
      <c r="E1945" s="18">
        <v>92.88</v>
      </c>
      <c r="F1945" s="18">
        <v>12.0</v>
      </c>
    </row>
    <row r="1946">
      <c r="A1946" s="15">
        <v>16.0</v>
      </c>
      <c r="B1946" s="16" t="s">
        <v>7321</v>
      </c>
      <c r="C1946" s="17" t="s">
        <v>5636</v>
      </c>
      <c r="D1946" s="18">
        <v>70.0</v>
      </c>
      <c r="E1946" s="18">
        <v>98.0</v>
      </c>
      <c r="F1946" s="18">
        <v>12.0</v>
      </c>
    </row>
    <row r="1947">
      <c r="A1947" s="6"/>
      <c r="B1947" s="7"/>
      <c r="C1947" s="7"/>
      <c r="D1947" s="7"/>
      <c r="E1947" s="7"/>
      <c r="F1947" s="8"/>
    </row>
    <row r="1948">
      <c r="A1948" s="9" t="s">
        <v>7322</v>
      </c>
      <c r="B1948" s="10"/>
      <c r="C1948" s="10"/>
      <c r="D1948" s="10"/>
      <c r="E1948" s="10"/>
      <c r="F1948" s="10"/>
    </row>
    <row r="1949">
      <c r="A1949" s="11">
        <v>1.0</v>
      </c>
      <c r="B1949" s="12" t="s">
        <v>7323</v>
      </c>
      <c r="C1949" s="13" t="s">
        <v>7324</v>
      </c>
      <c r="D1949" s="14">
        <v>113.45</v>
      </c>
      <c r="E1949" s="14">
        <v>157.39</v>
      </c>
      <c r="F1949" s="14">
        <v>12.0</v>
      </c>
    </row>
    <row r="1950">
      <c r="A1950" s="15">
        <v>2.0</v>
      </c>
      <c r="B1950" s="16" t="s">
        <v>7323</v>
      </c>
      <c r="C1950" s="17" t="s">
        <v>7325</v>
      </c>
      <c r="D1950" s="18">
        <v>199.86</v>
      </c>
      <c r="E1950" s="18">
        <v>262.31</v>
      </c>
      <c r="F1950" s="18">
        <v>5.0</v>
      </c>
    </row>
    <row r="1951">
      <c r="A1951" s="15">
        <v>3.0</v>
      </c>
      <c r="B1951" s="16" t="s">
        <v>7326</v>
      </c>
      <c r="C1951" s="17" t="s">
        <v>5653</v>
      </c>
      <c r="D1951" s="18">
        <v>368.21</v>
      </c>
      <c r="E1951" s="18">
        <v>505.5</v>
      </c>
      <c r="F1951" s="18">
        <v>12.0</v>
      </c>
    </row>
    <row r="1952">
      <c r="A1952" s="15">
        <v>4.0</v>
      </c>
      <c r="B1952" s="16" t="s">
        <v>7327</v>
      </c>
      <c r="C1952" s="17" t="s">
        <v>7328</v>
      </c>
      <c r="D1952" s="18">
        <v>64.44</v>
      </c>
      <c r="E1952" s="18">
        <v>88.5</v>
      </c>
      <c r="F1952" s="18">
        <v>12.0</v>
      </c>
    </row>
    <row r="1953">
      <c r="A1953" s="15">
        <v>5.0</v>
      </c>
      <c r="B1953" s="16" t="s">
        <v>7329</v>
      </c>
      <c r="C1953" s="17" t="s">
        <v>7330</v>
      </c>
      <c r="D1953" s="18">
        <v>71.36</v>
      </c>
      <c r="E1953" s="18">
        <v>99.0</v>
      </c>
      <c r="F1953" s="18">
        <v>12.0</v>
      </c>
    </row>
    <row r="1954">
      <c r="A1954" s="15">
        <v>6.0</v>
      </c>
      <c r="B1954" s="16" t="s">
        <v>7331</v>
      </c>
      <c r="C1954" s="17" t="s">
        <v>6104</v>
      </c>
      <c r="D1954" s="18">
        <v>14.17</v>
      </c>
      <c r="E1954" s="18">
        <v>18.5</v>
      </c>
      <c r="F1954" s="18">
        <v>12.0</v>
      </c>
    </row>
    <row r="1955">
      <c r="A1955" s="15">
        <v>7.0</v>
      </c>
      <c r="B1955" s="16" t="s">
        <v>7332</v>
      </c>
      <c r="C1955" s="17" t="s">
        <v>7333</v>
      </c>
      <c r="D1955" s="18">
        <v>14.17</v>
      </c>
      <c r="E1955" s="18">
        <v>18.5</v>
      </c>
      <c r="F1955" s="18">
        <v>12.0</v>
      </c>
    </row>
    <row r="1956">
      <c r="A1956" s="15">
        <v>8.0</v>
      </c>
      <c r="B1956" s="16" t="s">
        <v>1560</v>
      </c>
      <c r="C1956" s="16" t="s">
        <v>5558</v>
      </c>
      <c r="D1956" s="18">
        <v>67.39</v>
      </c>
      <c r="E1956" s="18">
        <v>93.5</v>
      </c>
      <c r="F1956" s="18">
        <v>12.0</v>
      </c>
    </row>
    <row r="1957">
      <c r="A1957" s="15">
        <v>9.0</v>
      </c>
      <c r="B1957" s="16" t="s">
        <v>7334</v>
      </c>
      <c r="C1957" s="17" t="s">
        <v>5536</v>
      </c>
      <c r="D1957" s="18">
        <v>118.2</v>
      </c>
      <c r="E1957" s="18">
        <v>164.0</v>
      </c>
      <c r="F1957" s="18">
        <v>12.0</v>
      </c>
    </row>
    <row r="1958">
      <c r="A1958" s="15">
        <v>10.0</v>
      </c>
      <c r="B1958" s="16" t="s">
        <v>7335</v>
      </c>
      <c r="C1958" s="17" t="s">
        <v>5536</v>
      </c>
      <c r="D1958" s="18">
        <v>188.47</v>
      </c>
      <c r="E1958" s="18">
        <v>261.5</v>
      </c>
      <c r="F1958" s="18">
        <v>12.0</v>
      </c>
    </row>
    <row r="1959">
      <c r="A1959" s="15">
        <v>11.0</v>
      </c>
      <c r="B1959" s="16" t="s">
        <v>7336</v>
      </c>
      <c r="C1959" s="17" t="s">
        <v>5536</v>
      </c>
      <c r="D1959" s="18">
        <v>283.26</v>
      </c>
      <c r="E1959" s="18">
        <v>393.0</v>
      </c>
      <c r="F1959" s="18">
        <v>12.0</v>
      </c>
    </row>
    <row r="1960">
      <c r="A1960" s="6"/>
      <c r="B1960" s="7"/>
      <c r="C1960" s="7"/>
      <c r="D1960" s="7"/>
      <c r="E1960" s="7"/>
      <c r="F1960" s="8"/>
    </row>
    <row r="1961">
      <c r="A1961" s="9" t="s">
        <v>7337</v>
      </c>
      <c r="B1961" s="10"/>
      <c r="C1961" s="10"/>
      <c r="D1961" s="10"/>
      <c r="E1961" s="10"/>
      <c r="F1961" s="10"/>
    </row>
    <row r="1962">
      <c r="A1962" s="11">
        <v>1.0</v>
      </c>
      <c r="B1962" s="12" t="s">
        <v>7338</v>
      </c>
      <c r="C1962" s="13" t="s">
        <v>5636</v>
      </c>
      <c r="D1962" s="14">
        <v>67.72</v>
      </c>
      <c r="E1962" s="14">
        <v>93.0</v>
      </c>
      <c r="F1962" s="14">
        <v>12.0</v>
      </c>
    </row>
    <row r="1963">
      <c r="A1963" s="15">
        <v>2.0</v>
      </c>
      <c r="B1963" s="16" t="s">
        <v>7339</v>
      </c>
      <c r="C1963" s="17" t="s">
        <v>7340</v>
      </c>
      <c r="D1963" s="18">
        <v>203.51</v>
      </c>
      <c r="E1963" s="18">
        <v>279.5</v>
      </c>
      <c r="F1963" s="18">
        <v>12.0</v>
      </c>
    </row>
    <row r="1964">
      <c r="A1964" s="15">
        <v>3.0</v>
      </c>
      <c r="B1964" s="16" t="s">
        <v>7341</v>
      </c>
      <c r="C1964" s="17" t="s">
        <v>5536</v>
      </c>
      <c r="D1964" s="18">
        <v>86.13</v>
      </c>
      <c r="E1964" s="18">
        <v>119.5</v>
      </c>
      <c r="F1964" s="18">
        <v>12.0</v>
      </c>
    </row>
    <row r="1965">
      <c r="A1965" s="15">
        <v>4.0</v>
      </c>
      <c r="B1965" s="16" t="s">
        <v>7342</v>
      </c>
      <c r="C1965" s="17" t="s">
        <v>5536</v>
      </c>
      <c r="D1965" s="18">
        <v>123.61</v>
      </c>
      <c r="E1965" s="18">
        <v>171.5</v>
      </c>
      <c r="F1965" s="18">
        <v>12.0</v>
      </c>
    </row>
    <row r="1966">
      <c r="A1966" s="15">
        <v>5.0</v>
      </c>
      <c r="B1966" s="16" t="s">
        <v>7343</v>
      </c>
      <c r="C1966" s="17" t="s">
        <v>5636</v>
      </c>
      <c r="D1966" s="18">
        <v>47.93</v>
      </c>
      <c r="E1966" s="18">
        <v>66.5</v>
      </c>
      <c r="F1966" s="18">
        <v>12.0</v>
      </c>
    </row>
    <row r="1967">
      <c r="A1967" s="15">
        <v>6.0</v>
      </c>
      <c r="B1967" s="16" t="s">
        <v>7344</v>
      </c>
      <c r="C1967" s="17" t="s">
        <v>7345</v>
      </c>
      <c r="D1967" s="18">
        <v>96.48</v>
      </c>
      <c r="E1967" s="18">
        <v>132.5</v>
      </c>
      <c r="F1967" s="18">
        <v>12.0</v>
      </c>
    </row>
    <row r="1968">
      <c r="A1968" s="15">
        <v>7.0</v>
      </c>
      <c r="B1968" s="16" t="s">
        <v>7344</v>
      </c>
      <c r="C1968" s="17" t="s">
        <v>6186</v>
      </c>
      <c r="D1968" s="18">
        <v>134.91</v>
      </c>
      <c r="E1968" s="18">
        <v>185.28</v>
      </c>
      <c r="F1968" s="18">
        <v>12.0</v>
      </c>
    </row>
    <row r="1969">
      <c r="A1969" s="6"/>
      <c r="B1969" s="7"/>
      <c r="C1969" s="7"/>
      <c r="D1969" s="7"/>
      <c r="E1969" s="7"/>
      <c r="F1969" s="8"/>
    </row>
    <row r="1970">
      <c r="A1970" s="9" t="s">
        <v>7346</v>
      </c>
      <c r="B1970" s="10"/>
      <c r="C1970" s="10"/>
      <c r="D1970" s="10"/>
      <c r="E1970" s="10"/>
      <c r="F1970" s="10"/>
    </row>
    <row r="1971">
      <c r="A1971" s="11">
        <v>1.0</v>
      </c>
      <c r="B1971" s="12" t="s">
        <v>7347</v>
      </c>
      <c r="C1971" s="13" t="s">
        <v>5536</v>
      </c>
      <c r="D1971" s="14">
        <v>40.04</v>
      </c>
      <c r="E1971" s="14">
        <v>54.95</v>
      </c>
      <c r="F1971" s="14">
        <v>12.0</v>
      </c>
    </row>
    <row r="1972">
      <c r="A1972" s="15">
        <v>2.0</v>
      </c>
      <c r="B1972" s="16" t="s">
        <v>7348</v>
      </c>
      <c r="C1972" s="17" t="s">
        <v>7349</v>
      </c>
      <c r="D1972" s="18">
        <v>41.08</v>
      </c>
      <c r="E1972" s="18">
        <v>57.0</v>
      </c>
      <c r="F1972" s="18">
        <v>12.0</v>
      </c>
    </row>
    <row r="1973">
      <c r="A1973" s="15">
        <v>3.0</v>
      </c>
      <c r="B1973" s="16" t="s">
        <v>7348</v>
      </c>
      <c r="C1973" s="17" t="s">
        <v>7350</v>
      </c>
      <c r="D1973" s="18">
        <v>51.9</v>
      </c>
      <c r="E1973" s="18">
        <v>72.0</v>
      </c>
      <c r="F1973" s="18">
        <v>12.0</v>
      </c>
    </row>
    <row r="1974">
      <c r="A1974" s="15">
        <v>4.0</v>
      </c>
      <c r="B1974" s="16" t="s">
        <v>7351</v>
      </c>
      <c r="C1974" s="17" t="s">
        <v>5536</v>
      </c>
      <c r="D1974" s="18">
        <v>46.08</v>
      </c>
      <c r="E1974" s="18">
        <v>63.95</v>
      </c>
      <c r="F1974" s="18">
        <v>12.0</v>
      </c>
    </row>
    <row r="1975">
      <c r="A1975" s="15">
        <v>5.0</v>
      </c>
      <c r="B1975" s="16" t="s">
        <v>7352</v>
      </c>
      <c r="C1975" s="17" t="s">
        <v>5536</v>
      </c>
      <c r="D1975" s="18">
        <v>61.98</v>
      </c>
      <c r="E1975" s="18">
        <v>86.0</v>
      </c>
      <c r="F1975" s="18">
        <v>12.0</v>
      </c>
    </row>
    <row r="1976">
      <c r="A1976" s="15">
        <v>6.0</v>
      </c>
      <c r="B1976" s="16" t="s">
        <v>7353</v>
      </c>
      <c r="C1976" s="17" t="s">
        <v>7142</v>
      </c>
      <c r="D1976" s="18">
        <v>60.0</v>
      </c>
      <c r="E1976" s="18">
        <v>83.3</v>
      </c>
      <c r="F1976" s="18">
        <v>12.0</v>
      </c>
    </row>
    <row r="1977">
      <c r="A1977" s="6"/>
      <c r="B1977" s="7"/>
      <c r="C1977" s="7"/>
      <c r="D1977" s="7"/>
      <c r="E1977" s="7"/>
      <c r="F1977" s="8"/>
    </row>
    <row r="1978">
      <c r="A1978" s="9" t="s">
        <v>7354</v>
      </c>
      <c r="B1978" s="10"/>
      <c r="C1978" s="10"/>
      <c r="D1978" s="10"/>
      <c r="E1978" s="10"/>
      <c r="F1978" s="10"/>
    </row>
    <row r="1979">
      <c r="A1979" s="11">
        <v>1.0</v>
      </c>
      <c r="B1979" s="12" t="s">
        <v>7355</v>
      </c>
      <c r="C1979" s="13" t="s">
        <v>6803</v>
      </c>
      <c r="D1979" s="14">
        <v>73.71</v>
      </c>
      <c r="E1979" s="14">
        <v>103.2</v>
      </c>
      <c r="F1979" s="14">
        <v>12.0</v>
      </c>
    </row>
    <row r="1980">
      <c r="A1980" s="15">
        <v>2.0</v>
      </c>
      <c r="B1980" s="16" t="s">
        <v>7355</v>
      </c>
      <c r="C1980" s="17" t="s">
        <v>7356</v>
      </c>
      <c r="D1980" s="18">
        <v>102.54</v>
      </c>
      <c r="E1980" s="18">
        <v>140.8</v>
      </c>
      <c r="F1980" s="18">
        <v>12.0</v>
      </c>
    </row>
    <row r="1981">
      <c r="A1981" s="15">
        <v>3.0</v>
      </c>
      <c r="B1981" s="16" t="s">
        <v>7357</v>
      </c>
      <c r="C1981" s="17" t="s">
        <v>5960</v>
      </c>
      <c r="D1981" s="18">
        <v>128.57</v>
      </c>
      <c r="E1981" s="18">
        <v>180.0</v>
      </c>
      <c r="F1981" s="18">
        <v>12.0</v>
      </c>
    </row>
    <row r="1982">
      <c r="A1982" s="15">
        <v>4.0</v>
      </c>
      <c r="B1982" s="16" t="s">
        <v>7355</v>
      </c>
      <c r="C1982" s="17" t="s">
        <v>5636</v>
      </c>
      <c r="D1982" s="18">
        <v>102.0</v>
      </c>
      <c r="E1982" s="18">
        <v>142.8</v>
      </c>
      <c r="F1982" s="18">
        <v>12.0</v>
      </c>
    </row>
    <row r="1983">
      <c r="A1983" s="15">
        <v>5.0</v>
      </c>
      <c r="B1983" s="16" t="s">
        <v>7358</v>
      </c>
      <c r="C1983" s="17" t="s">
        <v>7359</v>
      </c>
      <c r="D1983" s="18">
        <v>249.29</v>
      </c>
      <c r="E1983" s="18">
        <v>349.0</v>
      </c>
      <c r="F1983" s="18">
        <v>12.0</v>
      </c>
    </row>
    <row r="1984">
      <c r="A1984" s="15">
        <v>6.0</v>
      </c>
      <c r="B1984" s="16" t="s">
        <v>7360</v>
      </c>
      <c r="C1984" s="17" t="s">
        <v>5536</v>
      </c>
      <c r="D1984" s="18">
        <v>121.9</v>
      </c>
      <c r="E1984" s="18">
        <v>170.65</v>
      </c>
      <c r="F1984" s="18">
        <v>12.0</v>
      </c>
    </row>
    <row r="1985">
      <c r="A1985" s="15">
        <v>7.0</v>
      </c>
      <c r="B1985" s="16" t="s">
        <v>7361</v>
      </c>
      <c r="C1985" s="17" t="s">
        <v>5536</v>
      </c>
      <c r="D1985" s="18">
        <v>213.07</v>
      </c>
      <c r="E1985" s="18">
        <v>298.3</v>
      </c>
      <c r="F1985" s="18">
        <v>12.0</v>
      </c>
    </row>
    <row r="1986">
      <c r="A1986" s="15">
        <v>8.0</v>
      </c>
      <c r="B1986" s="16" t="s">
        <v>7362</v>
      </c>
      <c r="C1986" s="17" t="s">
        <v>5636</v>
      </c>
      <c r="D1986" s="18">
        <v>153.84</v>
      </c>
      <c r="E1986" s="18">
        <v>211.3</v>
      </c>
      <c r="F1986" s="18">
        <v>12.0</v>
      </c>
    </row>
    <row r="1987">
      <c r="A1987" s="15">
        <v>9.0</v>
      </c>
      <c r="B1987" s="16" t="s">
        <v>7363</v>
      </c>
      <c r="C1987" s="16" t="s">
        <v>6871</v>
      </c>
      <c r="D1987" s="18">
        <v>50.97</v>
      </c>
      <c r="E1987" s="18">
        <v>59.1</v>
      </c>
      <c r="F1987" s="18">
        <v>12.0</v>
      </c>
    </row>
    <row r="1988">
      <c r="A1988" s="15">
        <v>10.0</v>
      </c>
      <c r="B1988" s="16" t="s">
        <v>7364</v>
      </c>
      <c r="C1988" s="17" t="s">
        <v>5665</v>
      </c>
      <c r="D1988" s="18">
        <v>181.64</v>
      </c>
      <c r="E1988" s="18">
        <v>254.3</v>
      </c>
      <c r="F1988" s="18">
        <v>12.0</v>
      </c>
    </row>
    <row r="1989">
      <c r="A1989" s="15">
        <v>11.0</v>
      </c>
      <c r="B1989" s="16" t="s">
        <v>7365</v>
      </c>
      <c r="C1989" s="17" t="s">
        <v>5665</v>
      </c>
      <c r="D1989" s="18">
        <v>202.78</v>
      </c>
      <c r="E1989" s="18">
        <v>283.9</v>
      </c>
      <c r="F1989" s="18">
        <v>12.0</v>
      </c>
    </row>
    <row r="1990">
      <c r="A1990" s="6"/>
      <c r="B1990" s="7"/>
      <c r="C1990" s="7"/>
      <c r="D1990" s="7"/>
      <c r="E1990" s="7"/>
      <c r="F1990" s="8"/>
    </row>
    <row r="1991">
      <c r="A1991" s="6"/>
      <c r="B1991" s="7"/>
      <c r="C1991" s="7"/>
      <c r="D1991" s="7"/>
      <c r="E1991" s="8"/>
      <c r="F1991" s="16" t="s">
        <v>7366</v>
      </c>
    </row>
    <row r="1992">
      <c r="A1992" s="6"/>
      <c r="B1992" s="7"/>
      <c r="C1992" s="7"/>
      <c r="D1992" s="7"/>
      <c r="E1992" s="7"/>
      <c r="F1992" s="8"/>
    </row>
    <row r="1993">
      <c r="A1993" s="6"/>
      <c r="B1993" s="7"/>
      <c r="C1993" s="7"/>
      <c r="D1993" s="7"/>
      <c r="E1993" s="7"/>
      <c r="F1993" s="8"/>
    </row>
    <row r="1994">
      <c r="A1994" s="6"/>
      <c r="B1994" s="7"/>
      <c r="C1994" s="7"/>
      <c r="D1994" s="7"/>
      <c r="E1994" s="7"/>
      <c r="F1994" s="8"/>
    </row>
    <row r="1995">
      <c r="A1995" s="6"/>
      <c r="B1995" s="7"/>
      <c r="C1995" s="7"/>
      <c r="D1995" s="7"/>
      <c r="E1995" s="7"/>
      <c r="F1995" s="8"/>
    </row>
    <row r="1996">
      <c r="A1996" s="9" t="s">
        <v>5582</v>
      </c>
      <c r="B1996" s="10"/>
      <c r="C1996" s="10"/>
      <c r="D1996" s="10"/>
      <c r="E1996" s="10"/>
      <c r="F1996" s="10"/>
    </row>
    <row r="1997">
      <c r="A1997" s="19" t="s">
        <v>5583</v>
      </c>
    </row>
    <row r="1998">
      <c r="A1998" s="6"/>
      <c r="B1998" s="7"/>
      <c r="C1998" s="7"/>
      <c r="D1998" s="8"/>
      <c r="E1998" s="12" t="s">
        <v>5584</v>
      </c>
      <c r="F1998" s="12" t="s">
        <v>7367</v>
      </c>
    </row>
    <row r="1999">
      <c r="A1999" s="20" t="s">
        <v>5522</v>
      </c>
      <c r="B1999" s="16" t="s">
        <v>5523</v>
      </c>
      <c r="C1999" s="16" t="s">
        <v>5524</v>
      </c>
      <c r="D1999" s="16" t="s">
        <v>5525</v>
      </c>
      <c r="E1999" s="16" t="s">
        <v>5526</v>
      </c>
      <c r="F1999" s="16" t="s">
        <v>5586</v>
      </c>
    </row>
    <row r="2000">
      <c r="A2000" s="9" t="s">
        <v>7368</v>
      </c>
      <c r="B2000" s="10"/>
      <c r="C2000" s="10"/>
      <c r="D2000" s="10"/>
      <c r="E2000" s="10"/>
      <c r="F2000" s="10"/>
    </row>
    <row r="2001">
      <c r="A2001" s="11">
        <v>1.0</v>
      </c>
      <c r="B2001" s="12" t="s">
        <v>7369</v>
      </c>
      <c r="C2001" s="13" t="s">
        <v>5536</v>
      </c>
      <c r="D2001" s="14">
        <v>62.61</v>
      </c>
      <c r="E2001" s="14">
        <v>87.65</v>
      </c>
      <c r="F2001" s="14">
        <v>12.0</v>
      </c>
    </row>
    <row r="2002">
      <c r="A2002" s="15">
        <v>2.0</v>
      </c>
      <c r="B2002" s="16" t="s">
        <v>7370</v>
      </c>
      <c r="C2002" s="17" t="s">
        <v>5536</v>
      </c>
      <c r="D2002" s="18">
        <v>91.32</v>
      </c>
      <c r="E2002" s="18">
        <v>116.35</v>
      </c>
      <c r="F2002" s="18">
        <v>12.0</v>
      </c>
    </row>
    <row r="2003">
      <c r="A2003" s="15">
        <v>3.0</v>
      </c>
      <c r="B2003" s="16" t="s">
        <v>7371</v>
      </c>
      <c r="C2003" s="17" t="s">
        <v>5536</v>
      </c>
      <c r="D2003" s="18">
        <v>187.18</v>
      </c>
      <c r="E2003" s="18">
        <v>262.05</v>
      </c>
      <c r="F2003" s="18">
        <v>12.0</v>
      </c>
    </row>
    <row r="2004">
      <c r="A2004" s="15">
        <v>4.0</v>
      </c>
      <c r="B2004" s="16" t="s">
        <v>7372</v>
      </c>
      <c r="C2004" s="17" t="s">
        <v>5536</v>
      </c>
      <c r="D2004" s="18">
        <v>37.43</v>
      </c>
      <c r="E2004" s="18">
        <v>52.4</v>
      </c>
      <c r="F2004" s="18">
        <v>12.0</v>
      </c>
    </row>
    <row r="2005">
      <c r="A2005" s="15">
        <v>5.0</v>
      </c>
      <c r="B2005" s="16" t="s">
        <v>7373</v>
      </c>
      <c r="C2005" s="17" t="s">
        <v>7374</v>
      </c>
      <c r="D2005" s="18">
        <v>48.82</v>
      </c>
      <c r="E2005" s="18">
        <v>68.35</v>
      </c>
      <c r="F2005" s="18">
        <v>12.0</v>
      </c>
    </row>
    <row r="2006">
      <c r="A2006" s="15">
        <v>6.0</v>
      </c>
      <c r="B2006" s="16" t="s">
        <v>7375</v>
      </c>
      <c r="C2006" s="17" t="s">
        <v>7376</v>
      </c>
      <c r="D2006" s="18">
        <v>164.29</v>
      </c>
      <c r="E2006" s="18">
        <v>230.0</v>
      </c>
      <c r="F2006" s="18">
        <v>12.0</v>
      </c>
    </row>
    <row r="2007">
      <c r="A2007" s="15">
        <v>7.0</v>
      </c>
      <c r="B2007" s="16" t="s">
        <v>7375</v>
      </c>
      <c r="C2007" s="17" t="s">
        <v>5636</v>
      </c>
      <c r="D2007" s="18">
        <v>158.1</v>
      </c>
      <c r="E2007" s="18">
        <v>221.35</v>
      </c>
      <c r="F2007" s="18">
        <v>12.0</v>
      </c>
    </row>
    <row r="2008">
      <c r="A2008" s="15">
        <v>8.0</v>
      </c>
      <c r="B2008" s="16" t="s">
        <v>7373</v>
      </c>
      <c r="C2008" s="17" t="s">
        <v>7173</v>
      </c>
      <c r="D2008" s="18">
        <v>70.71</v>
      </c>
      <c r="E2008" s="18">
        <v>99.0</v>
      </c>
      <c r="F2008" s="18">
        <v>12.0</v>
      </c>
    </row>
    <row r="2009">
      <c r="A2009" s="15">
        <v>9.0</v>
      </c>
      <c r="B2009" s="16" t="s">
        <v>7373</v>
      </c>
      <c r="C2009" s="17" t="s">
        <v>7174</v>
      </c>
      <c r="D2009" s="18">
        <v>99.29</v>
      </c>
      <c r="E2009" s="18">
        <v>139.0</v>
      </c>
      <c r="F2009" s="18">
        <v>12.0</v>
      </c>
    </row>
    <row r="2010">
      <c r="A2010" s="15">
        <v>10.0</v>
      </c>
      <c r="B2010" s="16" t="s">
        <v>7377</v>
      </c>
      <c r="C2010" s="17" t="s">
        <v>7378</v>
      </c>
      <c r="D2010" s="18">
        <v>83.5</v>
      </c>
      <c r="E2010" s="18">
        <v>116.9</v>
      </c>
      <c r="F2010" s="18">
        <v>12.0</v>
      </c>
    </row>
    <row r="2011">
      <c r="A2011" s="15">
        <v>11.0</v>
      </c>
      <c r="B2011" s="16" t="s">
        <v>7379</v>
      </c>
      <c r="C2011" s="17" t="s">
        <v>7378</v>
      </c>
      <c r="D2011" s="18">
        <v>90.23</v>
      </c>
      <c r="E2011" s="18">
        <v>125.2</v>
      </c>
      <c r="F2011" s="18">
        <v>12.0</v>
      </c>
    </row>
    <row r="2012">
      <c r="A2012" s="15">
        <v>12.0</v>
      </c>
      <c r="B2012" s="16" t="s">
        <v>7380</v>
      </c>
      <c r="C2012" s="17" t="s">
        <v>5636</v>
      </c>
      <c r="D2012" s="18">
        <v>177.82</v>
      </c>
      <c r="E2012" s="18">
        <v>248.95</v>
      </c>
      <c r="F2012" s="18">
        <v>12.0</v>
      </c>
    </row>
    <row r="2013">
      <c r="A2013" s="15">
        <v>13.0</v>
      </c>
      <c r="B2013" s="16" t="s">
        <v>7381</v>
      </c>
      <c r="C2013" s="17" t="s">
        <v>7382</v>
      </c>
      <c r="D2013" s="18">
        <v>139.39</v>
      </c>
      <c r="E2013" s="18">
        <v>195.15</v>
      </c>
      <c r="F2013" s="18">
        <v>12.0</v>
      </c>
    </row>
    <row r="2014">
      <c r="A2014" s="15">
        <v>14.0</v>
      </c>
      <c r="B2014" s="16" t="s">
        <v>7383</v>
      </c>
      <c r="C2014" s="17" t="s">
        <v>7384</v>
      </c>
      <c r="D2014" s="18">
        <v>103.93</v>
      </c>
      <c r="E2014" s="18">
        <v>145.5</v>
      </c>
      <c r="F2014" s="18">
        <v>12.0</v>
      </c>
    </row>
    <row r="2015">
      <c r="A2015" s="15">
        <v>15.0</v>
      </c>
      <c r="B2015" s="16" t="s">
        <v>7383</v>
      </c>
      <c r="C2015" s="17" t="s">
        <v>7385</v>
      </c>
      <c r="D2015" s="18">
        <v>92.93</v>
      </c>
      <c r="E2015" s="18">
        <v>130.1</v>
      </c>
      <c r="F2015" s="18">
        <v>12.0</v>
      </c>
    </row>
    <row r="2016">
      <c r="A2016" s="15">
        <v>16.0</v>
      </c>
      <c r="B2016" s="16" t="s">
        <v>7383</v>
      </c>
      <c r="C2016" s="17" t="s">
        <v>5595</v>
      </c>
      <c r="D2016" s="18">
        <v>139.39</v>
      </c>
      <c r="E2016" s="18">
        <v>195.15</v>
      </c>
      <c r="F2016" s="18">
        <v>12.0</v>
      </c>
    </row>
    <row r="2017">
      <c r="A2017" s="15">
        <v>17.0</v>
      </c>
      <c r="B2017" s="16" t="s">
        <v>1608</v>
      </c>
      <c r="C2017" s="16" t="s">
        <v>5558</v>
      </c>
      <c r="D2017" s="18">
        <v>85.39</v>
      </c>
      <c r="E2017" s="18">
        <v>119.55</v>
      </c>
      <c r="F2017" s="18">
        <v>12.0</v>
      </c>
    </row>
    <row r="2018">
      <c r="A2018" s="15">
        <v>18.0</v>
      </c>
      <c r="B2018" s="16" t="s">
        <v>7386</v>
      </c>
      <c r="C2018" s="17" t="s">
        <v>5636</v>
      </c>
      <c r="D2018" s="18">
        <v>119.71</v>
      </c>
      <c r="E2018" s="18">
        <v>167.6</v>
      </c>
      <c r="F2018" s="18">
        <v>12.0</v>
      </c>
    </row>
    <row r="2019">
      <c r="A2019" s="15">
        <v>19.0</v>
      </c>
      <c r="B2019" s="16" t="s">
        <v>7387</v>
      </c>
      <c r="C2019" s="17" t="s">
        <v>7235</v>
      </c>
      <c r="D2019" s="18">
        <v>14.48</v>
      </c>
      <c r="E2019" s="18">
        <v>19.9</v>
      </c>
      <c r="F2019" s="18">
        <v>12.0</v>
      </c>
    </row>
    <row r="2020">
      <c r="A2020" s="15">
        <v>20.0</v>
      </c>
      <c r="B2020" s="16" t="s">
        <v>7388</v>
      </c>
      <c r="C2020" s="16" t="s">
        <v>5950</v>
      </c>
      <c r="D2020" s="18">
        <v>24.25</v>
      </c>
      <c r="E2020" s="18">
        <v>33.95</v>
      </c>
      <c r="F2020" s="18">
        <v>12.0</v>
      </c>
    </row>
    <row r="2021">
      <c r="A2021" s="15">
        <v>21.0</v>
      </c>
      <c r="B2021" s="16" t="s">
        <v>1612</v>
      </c>
      <c r="C2021" s="16" t="s">
        <v>5558</v>
      </c>
      <c r="D2021" s="18">
        <v>227.9</v>
      </c>
      <c r="E2021" s="18">
        <v>313.0</v>
      </c>
      <c r="F2021" s="18">
        <v>12.0</v>
      </c>
    </row>
    <row r="2022">
      <c r="A2022" s="15">
        <v>22.0</v>
      </c>
      <c r="B2022" s="16" t="s">
        <v>7389</v>
      </c>
      <c r="C2022" s="17" t="s">
        <v>5562</v>
      </c>
      <c r="D2022" s="18">
        <v>132.03</v>
      </c>
      <c r="E2022" s="18">
        <v>184.85</v>
      </c>
      <c r="F2022" s="18">
        <v>12.0</v>
      </c>
    </row>
    <row r="2023">
      <c r="A2023" s="15">
        <v>23.0</v>
      </c>
      <c r="B2023" s="16" t="s">
        <v>1614</v>
      </c>
      <c r="C2023" s="16" t="s">
        <v>5558</v>
      </c>
      <c r="D2023" s="18">
        <v>88.93</v>
      </c>
      <c r="E2023" s="18">
        <v>124.5</v>
      </c>
      <c r="F2023" s="18">
        <v>12.0</v>
      </c>
    </row>
    <row r="2024">
      <c r="A2024" s="15">
        <v>24.0</v>
      </c>
      <c r="B2024" s="16" t="s">
        <v>7390</v>
      </c>
      <c r="C2024" s="17" t="s">
        <v>5562</v>
      </c>
      <c r="D2024" s="18">
        <v>136.61</v>
      </c>
      <c r="E2024" s="18">
        <v>191.25</v>
      </c>
      <c r="F2024" s="18">
        <v>12.0</v>
      </c>
    </row>
    <row r="2025">
      <c r="A2025" s="15">
        <v>25.0</v>
      </c>
      <c r="B2025" s="16" t="s">
        <v>7391</v>
      </c>
      <c r="C2025" s="17" t="s">
        <v>5603</v>
      </c>
      <c r="D2025" s="18">
        <v>124.57</v>
      </c>
      <c r="E2025" s="18">
        <v>174.4</v>
      </c>
      <c r="F2025" s="18">
        <v>12.0</v>
      </c>
    </row>
    <row r="2026">
      <c r="A2026" s="15">
        <v>26.0</v>
      </c>
      <c r="B2026" s="16" t="s">
        <v>7392</v>
      </c>
      <c r="C2026" s="17" t="s">
        <v>5536</v>
      </c>
      <c r="D2026" s="18">
        <v>72.68</v>
      </c>
      <c r="E2026" s="18">
        <v>101.75</v>
      </c>
      <c r="F2026" s="18">
        <v>12.0</v>
      </c>
    </row>
    <row r="2027">
      <c r="A2027" s="15">
        <v>27.0</v>
      </c>
      <c r="B2027" s="16" t="s">
        <v>7392</v>
      </c>
      <c r="C2027" s="17" t="s">
        <v>5546</v>
      </c>
      <c r="D2027" s="18">
        <v>119.78</v>
      </c>
      <c r="E2027" s="18">
        <v>167.7</v>
      </c>
      <c r="F2027" s="18">
        <v>12.0</v>
      </c>
    </row>
    <row r="2028">
      <c r="A2028" s="15">
        <v>28.0</v>
      </c>
      <c r="B2028" s="16" t="s">
        <v>1618</v>
      </c>
      <c r="C2028" s="16" t="s">
        <v>5558</v>
      </c>
      <c r="D2028" s="18">
        <v>74.97</v>
      </c>
      <c r="E2028" s="18">
        <v>104.95</v>
      </c>
      <c r="F2028" s="18">
        <v>12.0</v>
      </c>
    </row>
    <row r="2029">
      <c r="A2029" s="15">
        <v>29.0</v>
      </c>
      <c r="B2029" s="16" t="s">
        <v>1618</v>
      </c>
      <c r="C2029" s="16" t="s">
        <v>5544</v>
      </c>
      <c r="D2029" s="18">
        <v>82.0</v>
      </c>
      <c r="E2029" s="18">
        <v>114.8</v>
      </c>
      <c r="F2029" s="18">
        <v>12.0</v>
      </c>
    </row>
    <row r="2030">
      <c r="A2030" s="15">
        <v>30.0</v>
      </c>
      <c r="B2030" s="16" t="s">
        <v>7393</v>
      </c>
      <c r="C2030" s="17" t="s">
        <v>5536</v>
      </c>
      <c r="D2030" s="18">
        <v>106.57</v>
      </c>
      <c r="E2030" s="18">
        <v>149.2</v>
      </c>
      <c r="F2030" s="18">
        <v>12.0</v>
      </c>
    </row>
    <row r="2031">
      <c r="A2031" s="15">
        <v>31.0</v>
      </c>
      <c r="B2031" s="16" t="s">
        <v>1620</v>
      </c>
      <c r="C2031" s="16" t="s">
        <v>5558</v>
      </c>
      <c r="D2031" s="18">
        <v>96.57</v>
      </c>
      <c r="E2031" s="18">
        <v>135.2</v>
      </c>
      <c r="F2031" s="18">
        <v>12.0</v>
      </c>
    </row>
    <row r="2032">
      <c r="A2032" s="15">
        <v>32.0</v>
      </c>
      <c r="B2032" s="16" t="s">
        <v>7394</v>
      </c>
      <c r="C2032" s="17" t="s">
        <v>5536</v>
      </c>
      <c r="D2032" s="18">
        <v>102.97</v>
      </c>
      <c r="E2032" s="18">
        <v>144.15</v>
      </c>
      <c r="F2032" s="18">
        <v>12.0</v>
      </c>
    </row>
    <row r="2033">
      <c r="A2033" s="15">
        <v>33.0</v>
      </c>
      <c r="B2033" s="16" t="s">
        <v>7394</v>
      </c>
      <c r="C2033" s="17" t="s">
        <v>5546</v>
      </c>
      <c r="D2033" s="18">
        <v>154.43</v>
      </c>
      <c r="E2033" s="18">
        <v>216.2</v>
      </c>
      <c r="F2033" s="18">
        <v>12.0</v>
      </c>
    </row>
    <row r="2034">
      <c r="A2034" s="15">
        <v>34.0</v>
      </c>
      <c r="B2034" s="16" t="s">
        <v>7395</v>
      </c>
      <c r="C2034" s="17" t="s">
        <v>5636</v>
      </c>
      <c r="D2034" s="18">
        <v>46.84</v>
      </c>
      <c r="E2034" s="18">
        <v>65.0</v>
      </c>
      <c r="F2034" s="18">
        <v>12.0</v>
      </c>
    </row>
    <row r="2035">
      <c r="A2035" s="15">
        <v>35.0</v>
      </c>
      <c r="B2035" s="16" t="s">
        <v>7395</v>
      </c>
      <c r="C2035" s="17" t="s">
        <v>5603</v>
      </c>
      <c r="D2035" s="18">
        <v>128.71</v>
      </c>
      <c r="E2035" s="18">
        <v>180.2</v>
      </c>
      <c r="F2035" s="18">
        <v>12.0</v>
      </c>
    </row>
    <row r="2036">
      <c r="A2036" s="15">
        <v>36.0</v>
      </c>
      <c r="B2036" s="16" t="s">
        <v>7396</v>
      </c>
      <c r="C2036" s="17" t="s">
        <v>5636</v>
      </c>
      <c r="D2036" s="18">
        <v>20.39</v>
      </c>
      <c r="E2036" s="18">
        <v>28.0</v>
      </c>
      <c r="F2036" s="18">
        <v>12.0</v>
      </c>
    </row>
    <row r="2037">
      <c r="A2037" s="15">
        <v>37.0</v>
      </c>
      <c r="B2037" s="16" t="s">
        <v>7397</v>
      </c>
      <c r="C2037" s="17" t="s">
        <v>5636</v>
      </c>
      <c r="D2037" s="18">
        <v>37.82</v>
      </c>
      <c r="E2037" s="18">
        <v>52.95</v>
      </c>
      <c r="F2037" s="18">
        <v>12.0</v>
      </c>
    </row>
    <row r="2038">
      <c r="A2038" s="15">
        <v>38.0</v>
      </c>
      <c r="B2038" s="16" t="s">
        <v>7398</v>
      </c>
      <c r="C2038" s="17" t="s">
        <v>5636</v>
      </c>
      <c r="D2038" s="18">
        <v>117.5</v>
      </c>
      <c r="E2038" s="18">
        <v>164.5</v>
      </c>
      <c r="F2038" s="18">
        <v>12.0</v>
      </c>
    </row>
    <row r="2039">
      <c r="A2039" s="15">
        <v>39.0</v>
      </c>
      <c r="B2039" s="16" t="s">
        <v>7399</v>
      </c>
      <c r="C2039" s="17" t="s">
        <v>5636</v>
      </c>
      <c r="D2039" s="18">
        <v>96.71</v>
      </c>
      <c r="E2039" s="18">
        <v>135.4</v>
      </c>
      <c r="F2039" s="18">
        <v>12.0</v>
      </c>
    </row>
    <row r="2040">
      <c r="A2040" s="15">
        <v>40.0</v>
      </c>
      <c r="B2040" s="16" t="s">
        <v>1627</v>
      </c>
      <c r="C2040" s="16" t="s">
        <v>5558</v>
      </c>
      <c r="D2040" s="18">
        <v>107.64</v>
      </c>
      <c r="E2040" s="18">
        <v>150.7</v>
      </c>
      <c r="F2040" s="18">
        <v>12.0</v>
      </c>
    </row>
    <row r="2041">
      <c r="A2041" s="15">
        <v>41.0</v>
      </c>
      <c r="B2041" s="16" t="s">
        <v>7400</v>
      </c>
      <c r="C2041" s="17" t="s">
        <v>5536</v>
      </c>
      <c r="D2041" s="18">
        <v>53.36</v>
      </c>
      <c r="E2041" s="18">
        <v>74.7</v>
      </c>
      <c r="F2041" s="18">
        <v>12.0</v>
      </c>
    </row>
    <row r="2042">
      <c r="A2042" s="15">
        <v>42.0</v>
      </c>
      <c r="B2042" s="16" t="s">
        <v>7401</v>
      </c>
      <c r="C2042" s="17" t="s">
        <v>5536</v>
      </c>
      <c r="D2042" s="18">
        <v>92.57</v>
      </c>
      <c r="E2042" s="18">
        <v>129.6</v>
      </c>
      <c r="F2042" s="18">
        <v>12.0</v>
      </c>
    </row>
    <row r="2043">
      <c r="A2043" s="15">
        <v>43.0</v>
      </c>
      <c r="B2043" s="16" t="s">
        <v>7402</v>
      </c>
      <c r="C2043" s="17" t="s">
        <v>5636</v>
      </c>
      <c r="D2043" s="18">
        <v>67.29</v>
      </c>
      <c r="E2043" s="18">
        <v>93.35</v>
      </c>
      <c r="F2043" s="18">
        <v>12.0</v>
      </c>
    </row>
    <row r="2044">
      <c r="A2044" s="15">
        <v>44.0</v>
      </c>
      <c r="B2044" s="16" t="s">
        <v>7403</v>
      </c>
      <c r="C2044" s="17" t="s">
        <v>5830</v>
      </c>
      <c r="D2044" s="18">
        <v>104.52</v>
      </c>
      <c r="E2044" s="18">
        <v>145.0</v>
      </c>
      <c r="F2044" s="18">
        <v>12.0</v>
      </c>
    </row>
    <row r="2045">
      <c r="A2045" s="15">
        <v>45.0</v>
      </c>
      <c r="B2045" s="16" t="s">
        <v>7403</v>
      </c>
      <c r="C2045" s="17" t="s">
        <v>5636</v>
      </c>
      <c r="D2045" s="18">
        <v>61.27</v>
      </c>
      <c r="E2045" s="18">
        <v>85.0</v>
      </c>
      <c r="F2045" s="18">
        <v>12.0</v>
      </c>
    </row>
    <row r="2046">
      <c r="A2046" s="15">
        <v>46.0</v>
      </c>
      <c r="B2046" s="16" t="s">
        <v>7404</v>
      </c>
      <c r="C2046" s="17" t="s">
        <v>5830</v>
      </c>
      <c r="D2046" s="18">
        <v>99.75</v>
      </c>
      <c r="E2046" s="18">
        <v>138.4</v>
      </c>
      <c r="F2046" s="18">
        <v>12.0</v>
      </c>
    </row>
    <row r="2047">
      <c r="A2047" s="15">
        <v>47.0</v>
      </c>
      <c r="B2047" s="16" t="s">
        <v>7404</v>
      </c>
      <c r="C2047" s="17" t="s">
        <v>5636</v>
      </c>
      <c r="D2047" s="18">
        <v>61.74</v>
      </c>
      <c r="E2047" s="18">
        <v>85.65</v>
      </c>
      <c r="F2047" s="18">
        <v>12.0</v>
      </c>
    </row>
    <row r="2048">
      <c r="A2048" s="15">
        <v>48.0</v>
      </c>
      <c r="B2048" s="16" t="s">
        <v>7405</v>
      </c>
      <c r="C2048" s="17" t="s">
        <v>5546</v>
      </c>
      <c r="D2048" s="18">
        <v>65.14</v>
      </c>
      <c r="E2048" s="18">
        <v>91.2</v>
      </c>
      <c r="F2048" s="18">
        <v>12.0</v>
      </c>
    </row>
    <row r="2049">
      <c r="A2049" s="15">
        <v>49.0</v>
      </c>
      <c r="B2049" s="16" t="s">
        <v>7406</v>
      </c>
      <c r="C2049" s="17" t="s">
        <v>5546</v>
      </c>
      <c r="D2049" s="18">
        <v>101.5</v>
      </c>
      <c r="E2049" s="18">
        <v>142.1</v>
      </c>
      <c r="F2049" s="18">
        <v>12.0</v>
      </c>
    </row>
    <row r="2050">
      <c r="A2050" s="15">
        <v>50.0</v>
      </c>
      <c r="B2050" s="16" t="s">
        <v>7407</v>
      </c>
      <c r="C2050" s="17" t="s">
        <v>5654</v>
      </c>
      <c r="D2050" s="18">
        <v>122.43</v>
      </c>
      <c r="E2050" s="18">
        <v>171.4</v>
      </c>
      <c r="F2050" s="18">
        <v>12.0</v>
      </c>
    </row>
    <row r="2051">
      <c r="A2051" s="15">
        <v>51.0</v>
      </c>
      <c r="B2051" s="16" t="s">
        <v>7407</v>
      </c>
      <c r="C2051" s="17" t="s">
        <v>5830</v>
      </c>
      <c r="D2051" s="18">
        <v>190.5</v>
      </c>
      <c r="E2051" s="18">
        <v>266.7</v>
      </c>
      <c r="F2051" s="18">
        <v>12.0</v>
      </c>
    </row>
    <row r="2052">
      <c r="A2052" s="15">
        <v>52.0</v>
      </c>
      <c r="B2052" s="16" t="s">
        <v>7408</v>
      </c>
      <c r="C2052" s="17" t="s">
        <v>5550</v>
      </c>
      <c r="D2052" s="18">
        <v>99.29</v>
      </c>
      <c r="E2052" s="18">
        <v>139.0</v>
      </c>
      <c r="F2052" s="18">
        <v>12.0</v>
      </c>
    </row>
    <row r="2053">
      <c r="A2053" s="15">
        <v>53.0</v>
      </c>
      <c r="B2053" s="16" t="s">
        <v>7409</v>
      </c>
      <c r="C2053" s="17" t="s">
        <v>5536</v>
      </c>
      <c r="D2053" s="18">
        <v>77.86</v>
      </c>
      <c r="E2053" s="18">
        <v>109.0</v>
      </c>
      <c r="F2053" s="18">
        <v>12.0</v>
      </c>
    </row>
    <row r="2054">
      <c r="A2054" s="15">
        <v>54.0</v>
      </c>
      <c r="B2054" s="16" t="s">
        <v>1641</v>
      </c>
      <c r="C2054" s="16" t="s">
        <v>5544</v>
      </c>
      <c r="D2054" s="18">
        <v>95.71</v>
      </c>
      <c r="E2054" s="18">
        <v>134.0</v>
      </c>
      <c r="F2054" s="18">
        <v>12.0</v>
      </c>
    </row>
    <row r="2055">
      <c r="A2055" s="15">
        <v>55.0</v>
      </c>
      <c r="B2055" s="16" t="s">
        <v>7410</v>
      </c>
      <c r="C2055" s="17" t="s">
        <v>5636</v>
      </c>
      <c r="D2055" s="18">
        <v>22.8</v>
      </c>
      <c r="E2055" s="18">
        <v>31.92</v>
      </c>
      <c r="F2055" s="18">
        <v>12.0</v>
      </c>
    </row>
    <row r="2056">
      <c r="A2056" s="15">
        <v>56.0</v>
      </c>
      <c r="B2056" s="16" t="s">
        <v>7411</v>
      </c>
      <c r="C2056" s="17" t="s">
        <v>5636</v>
      </c>
      <c r="D2056" s="18">
        <v>31.22</v>
      </c>
      <c r="E2056" s="18">
        <v>43.7</v>
      </c>
      <c r="F2056" s="18">
        <v>12.0</v>
      </c>
    </row>
    <row r="2057">
      <c r="A2057" s="15">
        <v>57.0</v>
      </c>
      <c r="B2057" s="16" t="s">
        <v>7412</v>
      </c>
      <c r="C2057" s="17" t="s">
        <v>7413</v>
      </c>
      <c r="D2057" s="18">
        <v>57.22</v>
      </c>
      <c r="E2057" s="18">
        <v>80.1</v>
      </c>
      <c r="F2057" s="18">
        <v>12.0</v>
      </c>
    </row>
    <row r="2058">
      <c r="A2058" s="15">
        <v>58.0</v>
      </c>
      <c r="B2058" s="16" t="s">
        <v>7412</v>
      </c>
      <c r="C2058" s="17" t="s">
        <v>5536</v>
      </c>
      <c r="D2058" s="18">
        <v>79.75</v>
      </c>
      <c r="E2058" s="18">
        <v>111.65</v>
      </c>
      <c r="F2058" s="18">
        <v>12.0</v>
      </c>
    </row>
    <row r="2059">
      <c r="A2059" s="15">
        <v>59.0</v>
      </c>
      <c r="B2059" s="16" t="s">
        <v>7414</v>
      </c>
      <c r="C2059" s="17" t="s">
        <v>7413</v>
      </c>
      <c r="D2059" s="18">
        <v>78.1</v>
      </c>
      <c r="E2059" s="18">
        <v>109.35</v>
      </c>
      <c r="F2059" s="18">
        <v>12.0</v>
      </c>
    </row>
    <row r="2060">
      <c r="A2060" s="15">
        <v>60.0</v>
      </c>
      <c r="B2060" s="16" t="s">
        <v>7414</v>
      </c>
      <c r="C2060" s="17" t="s">
        <v>5536</v>
      </c>
      <c r="D2060" s="18">
        <v>109.22</v>
      </c>
      <c r="E2060" s="18">
        <v>152.9</v>
      </c>
      <c r="F2060" s="18">
        <v>12.0</v>
      </c>
    </row>
    <row r="2061">
      <c r="A2061" s="6"/>
      <c r="B2061" s="7"/>
      <c r="C2061" s="7"/>
      <c r="D2061" s="7"/>
      <c r="E2061" s="8"/>
      <c r="F2061" s="16" t="s">
        <v>7415</v>
      </c>
    </row>
    <row r="2062">
      <c r="A2062" s="6"/>
      <c r="B2062" s="7"/>
      <c r="C2062" s="7"/>
      <c r="D2062" s="7"/>
      <c r="E2062" s="7"/>
      <c r="F2062" s="8"/>
    </row>
    <row r="2063">
      <c r="A2063" s="6"/>
      <c r="B2063" s="7"/>
      <c r="C2063" s="7"/>
      <c r="D2063" s="7"/>
      <c r="E2063" s="7"/>
      <c r="F2063" s="8"/>
    </row>
    <row r="2064">
      <c r="A2064" s="6"/>
      <c r="B2064" s="7"/>
      <c r="C2064" s="7"/>
      <c r="D2064" s="7"/>
      <c r="E2064" s="7"/>
      <c r="F2064" s="8"/>
    </row>
    <row r="2065">
      <c r="A2065" s="6"/>
      <c r="B2065" s="7"/>
      <c r="C2065" s="7"/>
      <c r="D2065" s="7"/>
      <c r="E2065" s="7"/>
      <c r="F2065" s="8"/>
    </row>
    <row r="2066">
      <c r="A2066" s="9" t="s">
        <v>5582</v>
      </c>
      <c r="B2066" s="10"/>
      <c r="C2066" s="10"/>
      <c r="D2066" s="10"/>
      <c r="E2066" s="10"/>
      <c r="F2066" s="10"/>
    </row>
    <row r="2067">
      <c r="A2067" s="19" t="s">
        <v>5583</v>
      </c>
    </row>
    <row r="2068">
      <c r="A2068" s="6"/>
      <c r="B2068" s="7"/>
      <c r="C2068" s="7"/>
      <c r="D2068" s="8"/>
      <c r="E2068" s="12" t="s">
        <v>5584</v>
      </c>
      <c r="F2068" s="12" t="s">
        <v>7416</v>
      </c>
    </row>
    <row r="2069">
      <c r="A2069" s="20" t="s">
        <v>5522</v>
      </c>
      <c r="B2069" s="16" t="s">
        <v>5523</v>
      </c>
      <c r="C2069" s="16" t="s">
        <v>5524</v>
      </c>
      <c r="D2069" s="16" t="s">
        <v>5525</v>
      </c>
      <c r="E2069" s="16" t="s">
        <v>5526</v>
      </c>
      <c r="F2069" s="16" t="s">
        <v>5586</v>
      </c>
    </row>
    <row r="2070">
      <c r="A2070" s="15">
        <v>61.0</v>
      </c>
      <c r="B2070" s="16" t="s">
        <v>7417</v>
      </c>
      <c r="C2070" s="17" t="s">
        <v>5536</v>
      </c>
      <c r="D2070" s="18">
        <v>70.86</v>
      </c>
      <c r="E2070" s="18">
        <v>99.2</v>
      </c>
      <c r="F2070" s="18">
        <v>12.0</v>
      </c>
    </row>
    <row r="2071">
      <c r="A2071" s="15">
        <v>62.0</v>
      </c>
      <c r="B2071" s="16" t="s">
        <v>7418</v>
      </c>
      <c r="C2071" s="17" t="s">
        <v>5536</v>
      </c>
      <c r="D2071" s="18">
        <v>97.36</v>
      </c>
      <c r="E2071" s="18">
        <v>136.3</v>
      </c>
      <c r="F2071" s="18">
        <v>12.0</v>
      </c>
    </row>
    <row r="2072">
      <c r="A2072" s="15">
        <v>63.0</v>
      </c>
      <c r="B2072" s="16" t="s">
        <v>7419</v>
      </c>
      <c r="C2072" s="17" t="s">
        <v>5887</v>
      </c>
      <c r="D2072" s="18">
        <v>98.82</v>
      </c>
      <c r="E2072" s="18">
        <v>138.35</v>
      </c>
      <c r="F2072" s="18">
        <v>12.0</v>
      </c>
    </row>
    <row r="2073">
      <c r="A2073" s="15">
        <v>64.0</v>
      </c>
      <c r="B2073" s="16" t="s">
        <v>7419</v>
      </c>
      <c r="C2073" s="17" t="s">
        <v>6118</v>
      </c>
      <c r="D2073" s="18">
        <v>119.71</v>
      </c>
      <c r="E2073" s="18">
        <v>167.6</v>
      </c>
      <c r="F2073" s="18">
        <v>12.0</v>
      </c>
    </row>
    <row r="2074">
      <c r="A2074" s="15">
        <v>65.0</v>
      </c>
      <c r="B2074" s="16" t="s">
        <v>7420</v>
      </c>
      <c r="C2074" s="17" t="s">
        <v>5536</v>
      </c>
      <c r="D2074" s="18">
        <v>77.61</v>
      </c>
      <c r="E2074" s="18">
        <v>108.65</v>
      </c>
      <c r="F2074" s="18">
        <v>12.0</v>
      </c>
    </row>
    <row r="2075">
      <c r="A2075" s="15">
        <v>66.0</v>
      </c>
      <c r="B2075" s="16" t="s">
        <v>7421</v>
      </c>
      <c r="C2075" s="17" t="s">
        <v>5536</v>
      </c>
      <c r="D2075" s="18">
        <v>129.5</v>
      </c>
      <c r="E2075" s="18">
        <v>181.3</v>
      </c>
      <c r="F2075" s="18">
        <v>12.0</v>
      </c>
    </row>
    <row r="2076">
      <c r="A2076" s="15">
        <v>67.0</v>
      </c>
      <c r="B2076" s="16" t="s">
        <v>7422</v>
      </c>
      <c r="C2076" s="17" t="s">
        <v>7237</v>
      </c>
      <c r="D2076" s="18">
        <v>160.71</v>
      </c>
      <c r="E2076" s="18">
        <v>225.0</v>
      </c>
      <c r="F2076" s="18">
        <v>12.0</v>
      </c>
    </row>
    <row r="2077">
      <c r="A2077" s="15">
        <v>68.0</v>
      </c>
      <c r="B2077" s="16" t="s">
        <v>7422</v>
      </c>
      <c r="C2077" s="17" t="s">
        <v>5603</v>
      </c>
      <c r="D2077" s="18">
        <v>139.29</v>
      </c>
      <c r="E2077" s="18">
        <v>195.0</v>
      </c>
      <c r="F2077" s="18">
        <v>12.0</v>
      </c>
    </row>
    <row r="2078">
      <c r="A2078" s="15">
        <v>69.0</v>
      </c>
      <c r="B2078" s="16" t="s">
        <v>7423</v>
      </c>
      <c r="C2078" s="17" t="s">
        <v>7424</v>
      </c>
      <c r="D2078" s="18">
        <v>101.25</v>
      </c>
      <c r="E2078" s="18">
        <v>141.75</v>
      </c>
      <c r="F2078" s="18">
        <v>12.0</v>
      </c>
    </row>
    <row r="2079">
      <c r="A2079" s="15">
        <v>70.0</v>
      </c>
      <c r="B2079" s="16" t="s">
        <v>7423</v>
      </c>
      <c r="C2079" s="17" t="s">
        <v>5530</v>
      </c>
      <c r="D2079" s="18">
        <v>96.43</v>
      </c>
      <c r="E2079" s="18">
        <v>135.0</v>
      </c>
      <c r="F2079" s="18">
        <v>12.0</v>
      </c>
    </row>
    <row r="2080">
      <c r="A2080" s="6"/>
      <c r="B2080" s="7"/>
      <c r="C2080" s="7"/>
      <c r="D2080" s="7"/>
      <c r="E2080" s="7"/>
      <c r="F2080" s="8"/>
    </row>
    <row r="2081">
      <c r="A2081" s="9" t="s">
        <v>7425</v>
      </c>
      <c r="B2081" s="10"/>
      <c r="C2081" s="10"/>
      <c r="D2081" s="10"/>
      <c r="E2081" s="10"/>
      <c r="F2081" s="10"/>
    </row>
    <row r="2082">
      <c r="A2082" s="11">
        <v>1.0</v>
      </c>
      <c r="B2082" s="12" t="s">
        <v>7426</v>
      </c>
      <c r="C2082" s="13" t="s">
        <v>5536</v>
      </c>
      <c r="D2082" s="14">
        <v>43.7</v>
      </c>
      <c r="E2082" s="14">
        <v>61.19</v>
      </c>
      <c r="F2082" s="14">
        <v>12.0</v>
      </c>
    </row>
    <row r="2083">
      <c r="A2083" s="15">
        <v>2.0</v>
      </c>
      <c r="B2083" s="16" t="s">
        <v>7427</v>
      </c>
      <c r="C2083" s="17" t="s">
        <v>5536</v>
      </c>
      <c r="D2083" s="18">
        <v>104.0</v>
      </c>
      <c r="E2083" s="18">
        <v>135.07</v>
      </c>
      <c r="F2083" s="18">
        <v>12.0</v>
      </c>
    </row>
    <row r="2084">
      <c r="A2084" s="15">
        <v>3.0</v>
      </c>
      <c r="B2084" s="16" t="s">
        <v>7428</v>
      </c>
      <c r="C2084" s="17" t="s">
        <v>5562</v>
      </c>
      <c r="D2084" s="18">
        <v>21.67</v>
      </c>
      <c r="E2084" s="18">
        <v>28.9</v>
      </c>
      <c r="F2084" s="18">
        <v>12.0</v>
      </c>
    </row>
    <row r="2085">
      <c r="A2085" s="15">
        <v>4.0</v>
      </c>
      <c r="B2085" s="16" t="s">
        <v>7429</v>
      </c>
      <c r="C2085" s="17" t="s">
        <v>7430</v>
      </c>
      <c r="D2085" s="18">
        <v>70.64</v>
      </c>
      <c r="E2085" s="18">
        <v>98.9</v>
      </c>
      <c r="F2085" s="18">
        <v>12.0</v>
      </c>
    </row>
    <row r="2086">
      <c r="A2086" s="15">
        <v>5.0</v>
      </c>
      <c r="B2086" s="16" t="s">
        <v>7429</v>
      </c>
      <c r="C2086" s="17" t="s">
        <v>7431</v>
      </c>
      <c r="D2086" s="18">
        <v>74.57</v>
      </c>
      <c r="E2086" s="18">
        <v>104.4</v>
      </c>
      <c r="F2086" s="18">
        <v>12.0</v>
      </c>
    </row>
    <row r="2087">
      <c r="A2087" s="15">
        <v>6.0</v>
      </c>
      <c r="B2087" s="16" t="s">
        <v>7432</v>
      </c>
      <c r="C2087" s="17" t="s">
        <v>5636</v>
      </c>
      <c r="D2087" s="18">
        <v>127.82</v>
      </c>
      <c r="E2087" s="18">
        <v>178.95</v>
      </c>
      <c r="F2087" s="18">
        <v>12.0</v>
      </c>
    </row>
    <row r="2088">
      <c r="A2088" s="15">
        <v>7.0</v>
      </c>
      <c r="B2088" s="16" t="s">
        <v>7433</v>
      </c>
      <c r="C2088" s="17" t="s">
        <v>5636</v>
      </c>
      <c r="D2088" s="18">
        <v>68.43</v>
      </c>
      <c r="E2088" s="18">
        <v>95.8</v>
      </c>
      <c r="F2088" s="18">
        <v>12.0</v>
      </c>
    </row>
    <row r="2089">
      <c r="A2089" s="15">
        <v>8.0</v>
      </c>
      <c r="B2089" s="16" t="s">
        <v>7434</v>
      </c>
      <c r="C2089" s="17" t="s">
        <v>5614</v>
      </c>
      <c r="D2089" s="18">
        <v>171.43</v>
      </c>
      <c r="E2089" s="18">
        <v>240.0</v>
      </c>
      <c r="F2089" s="18">
        <v>12.0</v>
      </c>
    </row>
    <row r="2090">
      <c r="A2090" s="15">
        <v>9.0</v>
      </c>
      <c r="B2090" s="16" t="s">
        <v>7435</v>
      </c>
      <c r="C2090" s="17" t="s">
        <v>5614</v>
      </c>
      <c r="D2090" s="18">
        <v>207.14</v>
      </c>
      <c r="E2090" s="18">
        <v>290.0</v>
      </c>
      <c r="F2090" s="18">
        <v>12.0</v>
      </c>
    </row>
    <row r="2091">
      <c r="A2091" s="15">
        <v>10.0</v>
      </c>
      <c r="B2091" s="16" t="s">
        <v>7436</v>
      </c>
      <c r="C2091" s="17" t="s">
        <v>5636</v>
      </c>
      <c r="D2091" s="18">
        <v>70.71</v>
      </c>
      <c r="E2091" s="18">
        <v>99.0</v>
      </c>
      <c r="F2091" s="18">
        <v>12.0</v>
      </c>
    </row>
    <row r="2092">
      <c r="A2092" s="15">
        <v>11.0</v>
      </c>
      <c r="B2092" s="16" t="s">
        <v>7437</v>
      </c>
      <c r="C2092" s="17" t="s">
        <v>7438</v>
      </c>
      <c r="D2092" s="18">
        <v>3493.25</v>
      </c>
      <c r="E2092" s="18">
        <v>4890.55</v>
      </c>
      <c r="F2092" s="18">
        <v>12.0</v>
      </c>
    </row>
    <row r="2093">
      <c r="A2093" s="15">
        <v>12.0</v>
      </c>
      <c r="B2093" s="16" t="s">
        <v>7439</v>
      </c>
      <c r="C2093" s="17" t="s">
        <v>5636</v>
      </c>
      <c r="D2093" s="18">
        <v>162.03</v>
      </c>
      <c r="E2093" s="18">
        <v>239.0</v>
      </c>
      <c r="F2093" s="18">
        <v>18.0</v>
      </c>
    </row>
    <row r="2094">
      <c r="A2094" s="15">
        <v>13.0</v>
      </c>
      <c r="B2094" s="16" t="s">
        <v>7440</v>
      </c>
      <c r="C2094" s="17" t="s">
        <v>5833</v>
      </c>
      <c r="D2094" s="18">
        <v>96.57</v>
      </c>
      <c r="E2094" s="18">
        <v>135.2</v>
      </c>
      <c r="F2094" s="18">
        <v>12.0</v>
      </c>
    </row>
    <row r="2095">
      <c r="A2095" s="15">
        <v>14.0</v>
      </c>
      <c r="B2095" s="16" t="s">
        <v>7440</v>
      </c>
      <c r="C2095" s="17" t="s">
        <v>5655</v>
      </c>
      <c r="D2095" s="18">
        <v>106.57</v>
      </c>
      <c r="E2095" s="18">
        <v>149.2</v>
      </c>
      <c r="F2095" s="18">
        <v>12.0</v>
      </c>
    </row>
    <row r="2096">
      <c r="A2096" s="15">
        <v>15.0</v>
      </c>
      <c r="B2096" s="16" t="s">
        <v>7441</v>
      </c>
      <c r="C2096" s="17" t="s">
        <v>5531</v>
      </c>
      <c r="D2096" s="18">
        <v>117.93</v>
      </c>
      <c r="E2096" s="18">
        <v>165.1</v>
      </c>
      <c r="F2096" s="18">
        <v>12.0</v>
      </c>
    </row>
    <row r="2097">
      <c r="A2097" s="15">
        <v>16.0</v>
      </c>
      <c r="B2097" s="16" t="s">
        <v>7441</v>
      </c>
      <c r="C2097" s="17" t="s">
        <v>5636</v>
      </c>
      <c r="D2097" s="18">
        <v>88.22</v>
      </c>
      <c r="E2097" s="18">
        <v>123.5</v>
      </c>
      <c r="F2097" s="18">
        <v>12.0</v>
      </c>
    </row>
    <row r="2098">
      <c r="A2098" s="15">
        <v>17.0</v>
      </c>
      <c r="B2098" s="16" t="s">
        <v>7442</v>
      </c>
      <c r="C2098" s="17" t="s">
        <v>5654</v>
      </c>
      <c r="D2098" s="18">
        <v>82.9</v>
      </c>
      <c r="E2098" s="18">
        <v>116.05</v>
      </c>
      <c r="F2098" s="18">
        <v>12.0</v>
      </c>
    </row>
    <row r="2099">
      <c r="A2099" s="15">
        <v>18.0</v>
      </c>
      <c r="B2099" s="16" t="s">
        <v>7442</v>
      </c>
      <c r="C2099" s="17" t="s">
        <v>5830</v>
      </c>
      <c r="D2099" s="18">
        <v>103.57</v>
      </c>
      <c r="E2099" s="18">
        <v>145.0</v>
      </c>
      <c r="F2099" s="18">
        <v>12.0</v>
      </c>
    </row>
    <row r="2100">
      <c r="A2100" s="15">
        <v>19.0</v>
      </c>
      <c r="B2100" s="16" t="s">
        <v>7443</v>
      </c>
      <c r="C2100" s="17" t="s">
        <v>7424</v>
      </c>
      <c r="D2100" s="18">
        <v>61.5</v>
      </c>
      <c r="E2100" s="18">
        <v>86.1</v>
      </c>
      <c r="F2100" s="18">
        <v>12.0</v>
      </c>
    </row>
    <row r="2101">
      <c r="A2101" s="15">
        <v>20.0</v>
      </c>
      <c r="B2101" s="16" t="s">
        <v>7443</v>
      </c>
      <c r="C2101" s="17" t="s">
        <v>5530</v>
      </c>
      <c r="D2101" s="18">
        <v>83.25</v>
      </c>
      <c r="E2101" s="18">
        <v>116.55</v>
      </c>
      <c r="F2101" s="18">
        <v>12.0</v>
      </c>
    </row>
    <row r="2102">
      <c r="A2102" s="15">
        <v>21.0</v>
      </c>
      <c r="B2102" s="16" t="s">
        <v>7443</v>
      </c>
      <c r="C2102" s="17" t="s">
        <v>5531</v>
      </c>
      <c r="D2102" s="18">
        <v>102.46</v>
      </c>
      <c r="E2102" s="18">
        <v>143.45</v>
      </c>
      <c r="F2102" s="18">
        <v>12.0</v>
      </c>
    </row>
    <row r="2103">
      <c r="A2103" s="15">
        <v>22.0</v>
      </c>
      <c r="B2103" s="16" t="s">
        <v>7444</v>
      </c>
      <c r="C2103" s="17" t="s">
        <v>5665</v>
      </c>
      <c r="D2103" s="18">
        <v>216.93</v>
      </c>
      <c r="E2103" s="18">
        <v>303.7</v>
      </c>
      <c r="F2103" s="18">
        <v>12.0</v>
      </c>
    </row>
    <row r="2104">
      <c r="A2104" s="15">
        <v>23.0</v>
      </c>
      <c r="B2104" s="16" t="s">
        <v>7445</v>
      </c>
      <c r="C2104" s="17" t="s">
        <v>5636</v>
      </c>
      <c r="D2104" s="18">
        <v>308.64</v>
      </c>
      <c r="E2104" s="18">
        <v>432.1</v>
      </c>
      <c r="F2104" s="18">
        <v>12.0</v>
      </c>
    </row>
    <row r="2105">
      <c r="A2105" s="15">
        <v>24.0</v>
      </c>
      <c r="B2105" s="16" t="s">
        <v>7446</v>
      </c>
      <c r="C2105" s="17" t="s">
        <v>5598</v>
      </c>
      <c r="D2105" s="18">
        <v>217.71</v>
      </c>
      <c r="E2105" s="18">
        <v>299.0</v>
      </c>
      <c r="F2105" s="18">
        <v>12.0</v>
      </c>
    </row>
    <row r="2106">
      <c r="A2106" s="15">
        <v>25.0</v>
      </c>
      <c r="B2106" s="16" t="s">
        <v>7447</v>
      </c>
      <c r="C2106" s="17" t="s">
        <v>7448</v>
      </c>
      <c r="D2106" s="18">
        <v>286.03</v>
      </c>
      <c r="E2106" s="18">
        <v>392.85</v>
      </c>
      <c r="F2106" s="18">
        <v>12.0</v>
      </c>
    </row>
    <row r="2107">
      <c r="A2107" s="15">
        <v>26.0</v>
      </c>
      <c r="B2107" s="16" t="s">
        <v>7449</v>
      </c>
      <c r="C2107" s="17" t="s">
        <v>5536</v>
      </c>
      <c r="D2107" s="18">
        <v>16.64</v>
      </c>
      <c r="E2107" s="18">
        <v>23.3</v>
      </c>
      <c r="F2107" s="18">
        <v>12.0</v>
      </c>
    </row>
    <row r="2108">
      <c r="A2108" s="15">
        <v>27.0</v>
      </c>
      <c r="B2108" s="16" t="s">
        <v>7449</v>
      </c>
      <c r="C2108" s="17" t="s">
        <v>5546</v>
      </c>
      <c r="D2108" s="18">
        <v>28.61</v>
      </c>
      <c r="E2108" s="18">
        <v>40.05</v>
      </c>
      <c r="F2108" s="18">
        <v>12.0</v>
      </c>
    </row>
    <row r="2109">
      <c r="A2109" s="15">
        <v>28.0</v>
      </c>
      <c r="B2109" s="16" t="s">
        <v>7450</v>
      </c>
      <c r="C2109" s="17" t="s">
        <v>5536</v>
      </c>
      <c r="D2109" s="18">
        <v>23.38</v>
      </c>
      <c r="E2109" s="18">
        <v>32.1</v>
      </c>
      <c r="F2109" s="18">
        <v>12.0</v>
      </c>
    </row>
    <row r="2110">
      <c r="A2110" s="15">
        <v>29.0</v>
      </c>
      <c r="B2110" s="16" t="s">
        <v>7450</v>
      </c>
      <c r="C2110" s="17" t="s">
        <v>5546</v>
      </c>
      <c r="D2110" s="18">
        <v>39.42</v>
      </c>
      <c r="E2110" s="18">
        <v>55.19</v>
      </c>
      <c r="F2110" s="18">
        <v>12.0</v>
      </c>
    </row>
    <row r="2111">
      <c r="A2111" s="15">
        <v>30.0</v>
      </c>
      <c r="B2111" s="16" t="s">
        <v>7451</v>
      </c>
      <c r="C2111" s="17" t="s">
        <v>5536</v>
      </c>
      <c r="D2111" s="18">
        <v>47.72</v>
      </c>
      <c r="E2111" s="18">
        <v>66.81</v>
      </c>
      <c r="F2111" s="18">
        <v>12.0</v>
      </c>
    </row>
    <row r="2112">
      <c r="A2112" s="15">
        <v>31.0</v>
      </c>
      <c r="B2112" s="16" t="s">
        <v>7451</v>
      </c>
      <c r="C2112" s="17" t="s">
        <v>5546</v>
      </c>
      <c r="D2112" s="18">
        <v>52.43</v>
      </c>
      <c r="E2112" s="18">
        <v>73.4</v>
      </c>
      <c r="F2112" s="18">
        <v>12.0</v>
      </c>
    </row>
    <row r="2113">
      <c r="A2113" s="15">
        <v>32.0</v>
      </c>
      <c r="B2113" s="16" t="s">
        <v>7452</v>
      </c>
      <c r="C2113" s="17" t="s">
        <v>5536</v>
      </c>
      <c r="D2113" s="18">
        <v>82.05</v>
      </c>
      <c r="E2113" s="18">
        <v>113.85</v>
      </c>
      <c r="F2113" s="18">
        <v>12.0</v>
      </c>
    </row>
    <row r="2114">
      <c r="A2114" s="15">
        <v>33.0</v>
      </c>
      <c r="B2114" s="16" t="s">
        <v>7452</v>
      </c>
      <c r="C2114" s="17" t="s">
        <v>5546</v>
      </c>
      <c r="D2114" s="18">
        <v>147.29</v>
      </c>
      <c r="E2114" s="18">
        <v>206.2</v>
      </c>
      <c r="F2114" s="18">
        <v>12.0</v>
      </c>
    </row>
    <row r="2115">
      <c r="A2115" s="15">
        <v>34.0</v>
      </c>
      <c r="B2115" s="16" t="s">
        <v>7453</v>
      </c>
      <c r="C2115" s="17" t="s">
        <v>5636</v>
      </c>
      <c r="D2115" s="18">
        <v>67.71</v>
      </c>
      <c r="E2115" s="18">
        <v>94.8</v>
      </c>
      <c r="F2115" s="18">
        <v>12.0</v>
      </c>
    </row>
    <row r="2116">
      <c r="A2116" s="15">
        <v>35.0</v>
      </c>
      <c r="B2116" s="16" t="s">
        <v>7453</v>
      </c>
      <c r="C2116" s="17" t="s">
        <v>5603</v>
      </c>
      <c r="D2116" s="18">
        <v>128.71</v>
      </c>
      <c r="E2116" s="18">
        <v>171.7</v>
      </c>
      <c r="F2116" s="18">
        <v>12.0</v>
      </c>
    </row>
    <row r="2117">
      <c r="A2117" s="15">
        <v>36.0</v>
      </c>
      <c r="B2117" s="16" t="s">
        <v>7454</v>
      </c>
      <c r="C2117" s="17" t="s">
        <v>5831</v>
      </c>
      <c r="D2117" s="18">
        <v>88.86</v>
      </c>
      <c r="E2117" s="18">
        <v>124.4</v>
      </c>
      <c r="F2117" s="18">
        <v>12.0</v>
      </c>
    </row>
    <row r="2118">
      <c r="A2118" s="15">
        <v>37.0</v>
      </c>
      <c r="B2118" s="16" t="s">
        <v>7454</v>
      </c>
      <c r="C2118" s="17" t="s">
        <v>5636</v>
      </c>
      <c r="D2118" s="18">
        <v>71.86</v>
      </c>
      <c r="E2118" s="18">
        <v>100.6</v>
      </c>
      <c r="F2118" s="18">
        <v>12.0</v>
      </c>
    </row>
    <row r="2119">
      <c r="A2119" s="15">
        <v>38.0</v>
      </c>
      <c r="B2119" s="16" t="s">
        <v>7455</v>
      </c>
      <c r="C2119" s="17" t="s">
        <v>5536</v>
      </c>
      <c r="D2119" s="18">
        <v>42.54</v>
      </c>
      <c r="E2119" s="18">
        <v>59.55</v>
      </c>
      <c r="F2119" s="18">
        <v>12.0</v>
      </c>
    </row>
    <row r="2120">
      <c r="A2120" s="15">
        <v>39.0</v>
      </c>
      <c r="B2120" s="16" t="s">
        <v>7455</v>
      </c>
      <c r="C2120" s="17" t="s">
        <v>5546</v>
      </c>
      <c r="D2120" s="18">
        <v>84.61</v>
      </c>
      <c r="E2120" s="18">
        <v>118.45</v>
      </c>
      <c r="F2120" s="18">
        <v>12.0</v>
      </c>
    </row>
    <row r="2121">
      <c r="A2121" s="15">
        <v>40.0</v>
      </c>
      <c r="B2121" s="16" t="s">
        <v>7456</v>
      </c>
      <c r="C2121" s="17" t="s">
        <v>5636</v>
      </c>
      <c r="D2121" s="18">
        <v>28.83</v>
      </c>
      <c r="E2121" s="18">
        <v>39.6</v>
      </c>
      <c r="F2121" s="18">
        <v>12.0</v>
      </c>
    </row>
    <row r="2122">
      <c r="A2122" s="15">
        <v>41.0</v>
      </c>
      <c r="B2122" s="16" t="s">
        <v>7456</v>
      </c>
      <c r="C2122" s="17" t="s">
        <v>5603</v>
      </c>
      <c r="D2122" s="18">
        <v>56.29</v>
      </c>
      <c r="E2122" s="18">
        <v>78.8</v>
      </c>
      <c r="F2122" s="18">
        <v>12.0</v>
      </c>
    </row>
    <row r="2123">
      <c r="A2123" s="6"/>
      <c r="B2123" s="7"/>
      <c r="C2123" s="7"/>
      <c r="D2123" s="7"/>
      <c r="E2123" s="7"/>
      <c r="F2123" s="8"/>
    </row>
    <row r="2124">
      <c r="A2124" s="9" t="s">
        <v>7457</v>
      </c>
      <c r="B2124" s="10"/>
      <c r="C2124" s="10"/>
      <c r="D2124" s="10"/>
      <c r="E2124" s="10"/>
      <c r="F2124" s="10"/>
    </row>
    <row r="2125">
      <c r="A2125" s="11">
        <v>1.0</v>
      </c>
      <c r="B2125" s="12" t="s">
        <v>7458</v>
      </c>
      <c r="C2125" s="13" t="s">
        <v>5546</v>
      </c>
      <c r="D2125" s="14">
        <v>37.18</v>
      </c>
      <c r="E2125" s="14">
        <v>47.4</v>
      </c>
      <c r="F2125" s="14">
        <v>12.0</v>
      </c>
    </row>
    <row r="2126">
      <c r="A2126" s="15">
        <v>2.0</v>
      </c>
      <c r="B2126" s="16" t="s">
        <v>7459</v>
      </c>
      <c r="C2126" s="17" t="s">
        <v>5546</v>
      </c>
      <c r="D2126" s="18">
        <v>59.32</v>
      </c>
      <c r="E2126" s="18">
        <v>83.05</v>
      </c>
      <c r="F2126" s="18">
        <v>12.0</v>
      </c>
    </row>
    <row r="2127">
      <c r="A2127" s="15">
        <v>3.0</v>
      </c>
      <c r="B2127" s="16" t="s">
        <v>7460</v>
      </c>
      <c r="C2127" s="17" t="s">
        <v>5603</v>
      </c>
      <c r="D2127" s="18">
        <v>101.54</v>
      </c>
      <c r="E2127" s="18">
        <v>142.15</v>
      </c>
      <c r="F2127" s="18">
        <v>12.0</v>
      </c>
    </row>
    <row r="2128">
      <c r="A2128" s="15">
        <v>4.0</v>
      </c>
      <c r="B2128" s="16" t="s">
        <v>7461</v>
      </c>
      <c r="C2128" s="17" t="s">
        <v>7213</v>
      </c>
      <c r="D2128" s="18">
        <v>124.57</v>
      </c>
      <c r="E2128" s="18">
        <v>174.4</v>
      </c>
      <c r="F2128" s="18">
        <v>12.0</v>
      </c>
    </row>
    <row r="2129">
      <c r="A2129" s="15">
        <v>5.0</v>
      </c>
      <c r="B2129" s="16" t="s">
        <v>7462</v>
      </c>
      <c r="C2129" s="17" t="s">
        <v>5536</v>
      </c>
      <c r="D2129" s="18">
        <v>90.33</v>
      </c>
      <c r="E2129" s="18">
        <v>124.05</v>
      </c>
      <c r="F2129" s="18">
        <v>12.0</v>
      </c>
    </row>
    <row r="2130">
      <c r="A2130" s="15">
        <v>6.0</v>
      </c>
      <c r="B2130" s="16" t="s">
        <v>7463</v>
      </c>
      <c r="C2130" s="17" t="s">
        <v>5546</v>
      </c>
      <c r="D2130" s="18">
        <v>124.61</v>
      </c>
      <c r="E2130" s="18">
        <v>174.45</v>
      </c>
      <c r="F2130" s="18">
        <v>12.0</v>
      </c>
    </row>
    <row r="2131">
      <c r="A2131" s="6"/>
      <c r="B2131" s="7"/>
      <c r="C2131" s="7"/>
      <c r="D2131" s="7"/>
      <c r="E2131" s="8"/>
      <c r="F2131" s="16" t="s">
        <v>7464</v>
      </c>
    </row>
    <row r="2132">
      <c r="A2132" s="6"/>
      <c r="B2132" s="7"/>
      <c r="C2132" s="7"/>
      <c r="D2132" s="7"/>
      <c r="E2132" s="7"/>
      <c r="F2132" s="8"/>
    </row>
    <row r="2133">
      <c r="A2133" s="6"/>
      <c r="B2133" s="7"/>
      <c r="C2133" s="7"/>
      <c r="D2133" s="7"/>
      <c r="E2133" s="7"/>
      <c r="F2133" s="8"/>
    </row>
    <row r="2134">
      <c r="A2134" s="6"/>
      <c r="B2134" s="7"/>
      <c r="C2134" s="7"/>
      <c r="D2134" s="7"/>
      <c r="E2134" s="7"/>
      <c r="F2134" s="8"/>
    </row>
    <row r="2135">
      <c r="A2135" s="6"/>
      <c r="B2135" s="7"/>
      <c r="C2135" s="7"/>
      <c r="D2135" s="7"/>
      <c r="E2135" s="7"/>
      <c r="F2135" s="8"/>
    </row>
    <row r="2136">
      <c r="A2136" s="9" t="s">
        <v>5582</v>
      </c>
      <c r="B2136" s="10"/>
      <c r="C2136" s="10"/>
      <c r="D2136" s="10"/>
      <c r="E2136" s="10"/>
      <c r="F2136" s="10"/>
    </row>
    <row r="2137">
      <c r="A2137" s="19" t="s">
        <v>5583</v>
      </c>
    </row>
    <row r="2138">
      <c r="A2138" s="6"/>
      <c r="B2138" s="7"/>
      <c r="C2138" s="7"/>
      <c r="D2138" s="8"/>
      <c r="E2138" s="12" t="s">
        <v>5584</v>
      </c>
      <c r="F2138" s="12" t="s">
        <v>7465</v>
      </c>
    </row>
    <row r="2139">
      <c r="A2139" s="20" t="s">
        <v>5522</v>
      </c>
      <c r="B2139" s="16" t="s">
        <v>5523</v>
      </c>
      <c r="C2139" s="16" t="s">
        <v>5524</v>
      </c>
      <c r="D2139" s="16" t="s">
        <v>5525</v>
      </c>
      <c r="E2139" s="16" t="s">
        <v>5526</v>
      </c>
      <c r="F2139" s="16" t="s">
        <v>5586</v>
      </c>
    </row>
    <row r="2140">
      <c r="A2140" s="15">
        <v>7.0</v>
      </c>
      <c r="B2140" s="16" t="s">
        <v>7466</v>
      </c>
      <c r="C2140" s="17" t="s">
        <v>5603</v>
      </c>
      <c r="D2140" s="18">
        <v>82.0</v>
      </c>
      <c r="E2140" s="18">
        <v>114.8</v>
      </c>
      <c r="F2140" s="18">
        <v>12.0</v>
      </c>
    </row>
    <row r="2141">
      <c r="A2141" s="15">
        <v>8.0</v>
      </c>
      <c r="B2141" s="16" t="s">
        <v>7467</v>
      </c>
      <c r="C2141" s="17" t="s">
        <v>7213</v>
      </c>
      <c r="D2141" s="18">
        <v>193.0</v>
      </c>
      <c r="E2141" s="18">
        <v>270.2</v>
      </c>
      <c r="F2141" s="18">
        <v>12.0</v>
      </c>
    </row>
    <row r="2142">
      <c r="A2142" s="15">
        <v>9.0</v>
      </c>
      <c r="B2142" s="16" t="s">
        <v>7468</v>
      </c>
      <c r="C2142" s="17" t="s">
        <v>5636</v>
      </c>
      <c r="D2142" s="18">
        <v>101.75</v>
      </c>
      <c r="E2142" s="18">
        <v>142.45</v>
      </c>
      <c r="F2142" s="18">
        <v>12.0</v>
      </c>
    </row>
    <row r="2143">
      <c r="A2143" s="15">
        <v>10.0</v>
      </c>
      <c r="B2143" s="16" t="s">
        <v>7469</v>
      </c>
      <c r="C2143" s="17" t="s">
        <v>5603</v>
      </c>
      <c r="D2143" s="18">
        <v>128.71</v>
      </c>
      <c r="E2143" s="18">
        <v>180.2</v>
      </c>
      <c r="F2143" s="18">
        <v>12.0</v>
      </c>
    </row>
    <row r="2144">
      <c r="A2144" s="15">
        <v>11.0</v>
      </c>
      <c r="B2144" s="16" t="s">
        <v>7470</v>
      </c>
      <c r="C2144" s="17" t="s">
        <v>5603</v>
      </c>
      <c r="D2144" s="18">
        <v>160.0</v>
      </c>
      <c r="E2144" s="18">
        <v>224.0</v>
      </c>
      <c r="F2144" s="18">
        <v>12.0</v>
      </c>
    </row>
    <row r="2145">
      <c r="A2145" s="15">
        <v>12.0</v>
      </c>
      <c r="B2145" s="16" t="s">
        <v>7471</v>
      </c>
      <c r="C2145" s="17" t="s">
        <v>5603</v>
      </c>
      <c r="D2145" s="18">
        <v>54.21</v>
      </c>
      <c r="E2145" s="18">
        <v>75.89</v>
      </c>
      <c r="F2145" s="18">
        <v>12.0</v>
      </c>
    </row>
    <row r="2146">
      <c r="A2146" s="15">
        <v>13.0</v>
      </c>
      <c r="B2146" s="16" t="s">
        <v>1706</v>
      </c>
      <c r="C2146" s="16" t="s">
        <v>6716</v>
      </c>
      <c r="D2146" s="18">
        <v>28.79</v>
      </c>
      <c r="E2146" s="18">
        <v>40.31</v>
      </c>
      <c r="F2146" s="18">
        <v>12.0</v>
      </c>
    </row>
    <row r="2147">
      <c r="A2147" s="15">
        <v>14.0</v>
      </c>
      <c r="B2147" s="16" t="s">
        <v>7472</v>
      </c>
      <c r="C2147" s="17" t="s">
        <v>5768</v>
      </c>
      <c r="D2147" s="18">
        <v>50.0</v>
      </c>
      <c r="E2147" s="18">
        <v>70.0</v>
      </c>
      <c r="F2147" s="18">
        <v>12.0</v>
      </c>
    </row>
    <row r="2148">
      <c r="A2148" s="15">
        <v>15.0</v>
      </c>
      <c r="B2148" s="16" t="s">
        <v>7473</v>
      </c>
      <c r="C2148" s="17" t="s">
        <v>5636</v>
      </c>
      <c r="D2148" s="18">
        <v>56.04</v>
      </c>
      <c r="E2148" s="18">
        <v>78.45</v>
      </c>
      <c r="F2148" s="18">
        <v>12.0</v>
      </c>
    </row>
    <row r="2149">
      <c r="A2149" s="15">
        <v>16.0</v>
      </c>
      <c r="B2149" s="16" t="s">
        <v>1709</v>
      </c>
      <c r="C2149" s="16" t="s">
        <v>7474</v>
      </c>
      <c r="D2149" s="18">
        <v>149.14</v>
      </c>
      <c r="E2149" s="18">
        <v>208.8</v>
      </c>
      <c r="F2149" s="18">
        <v>12.0</v>
      </c>
    </row>
    <row r="2150">
      <c r="A2150" s="15">
        <v>17.0</v>
      </c>
      <c r="B2150" s="16" t="s">
        <v>7475</v>
      </c>
      <c r="C2150" s="17" t="s">
        <v>7476</v>
      </c>
      <c r="D2150" s="18">
        <v>105.72</v>
      </c>
      <c r="E2150" s="18">
        <v>160.0</v>
      </c>
      <c r="F2150" s="18">
        <v>28.0</v>
      </c>
    </row>
    <row r="2151">
      <c r="A2151" s="15">
        <v>18.0</v>
      </c>
      <c r="B2151" s="16" t="s">
        <v>1711</v>
      </c>
      <c r="C2151" s="16" t="s">
        <v>5679</v>
      </c>
      <c r="D2151" s="18">
        <v>105.18</v>
      </c>
      <c r="E2151" s="18">
        <v>147.25</v>
      </c>
      <c r="F2151" s="18">
        <v>12.0</v>
      </c>
    </row>
    <row r="2152">
      <c r="A2152" s="15">
        <v>19.0</v>
      </c>
      <c r="B2152" s="16" t="s">
        <v>1712</v>
      </c>
      <c r="C2152" s="16" t="s">
        <v>5679</v>
      </c>
      <c r="D2152" s="18">
        <v>104.14</v>
      </c>
      <c r="E2152" s="18">
        <v>145.8</v>
      </c>
      <c r="F2152" s="18">
        <v>12.0</v>
      </c>
    </row>
    <row r="2153">
      <c r="A2153" s="15">
        <v>20.0</v>
      </c>
      <c r="B2153" s="16" t="s">
        <v>7477</v>
      </c>
      <c r="C2153" s="17" t="s">
        <v>7478</v>
      </c>
      <c r="D2153" s="18">
        <v>3493.25</v>
      </c>
      <c r="E2153" s="18">
        <v>4890.55</v>
      </c>
      <c r="F2153" s="18">
        <v>12.0</v>
      </c>
    </row>
    <row r="2154">
      <c r="A2154" s="15">
        <v>21.0</v>
      </c>
      <c r="B2154" s="16" t="s">
        <v>7477</v>
      </c>
      <c r="C2154" s="17" t="s">
        <v>7479</v>
      </c>
      <c r="D2154" s="18">
        <v>1920.1</v>
      </c>
      <c r="E2154" s="18">
        <v>2688.15</v>
      </c>
      <c r="F2154" s="18">
        <v>12.0</v>
      </c>
    </row>
    <row r="2155">
      <c r="A2155" s="15">
        <v>22.0</v>
      </c>
      <c r="B2155" s="16" t="s">
        <v>7480</v>
      </c>
      <c r="C2155" s="17" t="s">
        <v>7481</v>
      </c>
      <c r="D2155" s="18">
        <v>214.34</v>
      </c>
      <c r="E2155" s="18">
        <v>300.08</v>
      </c>
      <c r="F2155" s="18">
        <v>12.0</v>
      </c>
    </row>
    <row r="2156">
      <c r="A2156" s="15">
        <v>23.0</v>
      </c>
      <c r="B2156" s="16" t="s">
        <v>7480</v>
      </c>
      <c r="C2156" s="17" t="s">
        <v>7482</v>
      </c>
      <c r="D2156" s="18">
        <v>396.98</v>
      </c>
      <c r="E2156" s="18">
        <v>555.77</v>
      </c>
      <c r="F2156" s="18">
        <v>12.0</v>
      </c>
    </row>
    <row r="2157">
      <c r="A2157" s="15">
        <v>24.0</v>
      </c>
      <c r="B2157" s="16" t="s">
        <v>7480</v>
      </c>
      <c r="C2157" s="17" t="s">
        <v>7483</v>
      </c>
      <c r="D2157" s="18">
        <v>100.89</v>
      </c>
      <c r="E2157" s="18">
        <v>141.24</v>
      </c>
      <c r="F2157" s="18">
        <v>12.0</v>
      </c>
    </row>
    <row r="2158">
      <c r="A2158" s="15">
        <v>25.0</v>
      </c>
      <c r="B2158" s="16" t="s">
        <v>7484</v>
      </c>
      <c r="C2158" s="17" t="s">
        <v>7485</v>
      </c>
      <c r="D2158" s="18">
        <v>211.14</v>
      </c>
      <c r="E2158" s="18">
        <v>290.0</v>
      </c>
      <c r="F2158" s="18">
        <v>12.0</v>
      </c>
    </row>
    <row r="2159">
      <c r="A2159" s="15">
        <v>26.0</v>
      </c>
      <c r="B2159" s="16" t="s">
        <v>7484</v>
      </c>
      <c r="C2159" s="17" t="s">
        <v>6803</v>
      </c>
      <c r="D2159" s="18">
        <v>73.71</v>
      </c>
      <c r="E2159" s="18">
        <v>103.2</v>
      </c>
      <c r="F2159" s="18">
        <v>12.0</v>
      </c>
    </row>
    <row r="2160">
      <c r="A2160" s="15">
        <v>27.0</v>
      </c>
      <c r="B2160" s="16" t="s">
        <v>7484</v>
      </c>
      <c r="C2160" s="17" t="s">
        <v>7356</v>
      </c>
      <c r="D2160" s="18">
        <v>110.5</v>
      </c>
      <c r="E2160" s="18">
        <v>140.8</v>
      </c>
      <c r="F2160" s="18">
        <v>12.0</v>
      </c>
    </row>
    <row r="2161">
      <c r="A2161" s="15">
        <v>28.0</v>
      </c>
      <c r="B2161" s="16" t="s">
        <v>7486</v>
      </c>
      <c r="C2161" s="17" t="s">
        <v>6305</v>
      </c>
      <c r="D2161" s="18">
        <v>155.25</v>
      </c>
      <c r="E2161" s="18">
        <v>217.35</v>
      </c>
      <c r="F2161" s="18">
        <v>12.0</v>
      </c>
    </row>
    <row r="2162">
      <c r="A2162" s="15">
        <v>29.0</v>
      </c>
      <c r="B2162" s="16" t="s">
        <v>7484</v>
      </c>
      <c r="C2162" s="17" t="s">
        <v>5636</v>
      </c>
      <c r="D2162" s="18">
        <v>102.0</v>
      </c>
      <c r="E2162" s="18">
        <v>142.8</v>
      </c>
      <c r="F2162" s="18">
        <v>12.0</v>
      </c>
    </row>
    <row r="2163">
      <c r="A2163" s="15">
        <v>30.0</v>
      </c>
      <c r="B2163" s="16" t="s">
        <v>7484</v>
      </c>
      <c r="C2163" s="17" t="s">
        <v>7487</v>
      </c>
      <c r="D2163" s="18">
        <v>122.14</v>
      </c>
      <c r="E2163" s="18">
        <v>141.65</v>
      </c>
      <c r="F2163" s="18">
        <v>12.0</v>
      </c>
    </row>
    <row r="2164">
      <c r="A2164" s="15">
        <v>31.0</v>
      </c>
      <c r="B2164" s="16" t="s">
        <v>7488</v>
      </c>
      <c r="C2164" s="17" t="s">
        <v>5536</v>
      </c>
      <c r="D2164" s="18">
        <v>138.52</v>
      </c>
      <c r="E2164" s="18">
        <v>181.81</v>
      </c>
      <c r="F2164" s="18">
        <v>5.0</v>
      </c>
    </row>
    <row r="2165">
      <c r="A2165" s="15">
        <v>32.0</v>
      </c>
      <c r="B2165" s="16" t="s">
        <v>7489</v>
      </c>
      <c r="C2165" s="17" t="s">
        <v>5636</v>
      </c>
      <c r="D2165" s="18">
        <v>248.79</v>
      </c>
      <c r="E2165" s="18">
        <v>348.3</v>
      </c>
      <c r="F2165" s="18">
        <v>12.0</v>
      </c>
    </row>
    <row r="2166">
      <c r="A2166" s="15">
        <v>33.0</v>
      </c>
      <c r="B2166" s="16" t="s">
        <v>7490</v>
      </c>
      <c r="C2166" s="17" t="s">
        <v>5636</v>
      </c>
      <c r="D2166" s="18">
        <v>280.5</v>
      </c>
      <c r="E2166" s="18">
        <v>392.7</v>
      </c>
      <c r="F2166" s="18">
        <v>12.0</v>
      </c>
    </row>
    <row r="2167">
      <c r="A2167" s="15">
        <v>34.0</v>
      </c>
      <c r="B2167" s="16" t="s">
        <v>7491</v>
      </c>
      <c r="C2167" s="17" t="s">
        <v>5636</v>
      </c>
      <c r="D2167" s="18">
        <v>4.04</v>
      </c>
      <c r="E2167" s="18">
        <v>6.11</v>
      </c>
      <c r="F2167" s="18">
        <v>12.0</v>
      </c>
    </row>
    <row r="2168">
      <c r="A2168" s="15">
        <v>35.0</v>
      </c>
      <c r="B2168" s="16" t="s">
        <v>7492</v>
      </c>
      <c r="C2168" s="17" t="s">
        <v>7424</v>
      </c>
      <c r="D2168" s="18">
        <v>35.64</v>
      </c>
      <c r="E2168" s="18">
        <v>49.45</v>
      </c>
      <c r="F2168" s="18">
        <v>12.0</v>
      </c>
    </row>
    <row r="2169">
      <c r="A2169" s="15">
        <v>36.0</v>
      </c>
      <c r="B2169" s="16" t="s">
        <v>7492</v>
      </c>
      <c r="C2169" s="17" t="s">
        <v>7184</v>
      </c>
      <c r="D2169" s="18">
        <v>30.41</v>
      </c>
      <c r="E2169" s="18">
        <v>42.2</v>
      </c>
      <c r="F2169" s="18">
        <v>12.0</v>
      </c>
    </row>
    <row r="2170">
      <c r="A2170" s="15">
        <v>37.0</v>
      </c>
      <c r="B2170" s="16" t="s">
        <v>7493</v>
      </c>
      <c r="C2170" s="17" t="s">
        <v>7494</v>
      </c>
      <c r="D2170" s="18">
        <v>278.64</v>
      </c>
      <c r="E2170" s="18">
        <v>411.0</v>
      </c>
      <c r="F2170" s="18">
        <v>18.0</v>
      </c>
    </row>
    <row r="2171">
      <c r="A2171" s="15">
        <v>38.0</v>
      </c>
      <c r="B2171" s="16" t="s">
        <v>7495</v>
      </c>
      <c r="C2171" s="17" t="s">
        <v>6602</v>
      </c>
      <c r="D2171" s="18">
        <v>112.1</v>
      </c>
      <c r="E2171" s="18">
        <v>181.0</v>
      </c>
      <c r="F2171" s="18">
        <v>18.0</v>
      </c>
    </row>
    <row r="2172">
      <c r="A2172" s="6"/>
      <c r="B2172" s="7"/>
      <c r="C2172" s="7"/>
      <c r="D2172" s="7"/>
      <c r="E2172" s="7"/>
      <c r="F2172" s="8"/>
    </row>
    <row r="2173">
      <c r="A2173" s="9" t="s">
        <v>7496</v>
      </c>
      <c r="B2173" s="10"/>
      <c r="C2173" s="10"/>
      <c r="D2173" s="10"/>
      <c r="E2173" s="10"/>
      <c r="F2173" s="10"/>
    </row>
    <row r="2174">
      <c r="A2174" s="11">
        <v>1.0</v>
      </c>
      <c r="B2174" s="12" t="s">
        <v>1732</v>
      </c>
      <c r="C2174" s="12" t="s">
        <v>7497</v>
      </c>
      <c r="D2174" s="14">
        <v>185.09</v>
      </c>
      <c r="E2174" s="14">
        <v>256.8</v>
      </c>
      <c r="F2174" s="14">
        <v>12.0</v>
      </c>
    </row>
    <row r="2175">
      <c r="A2175" s="15">
        <v>2.0</v>
      </c>
      <c r="B2175" s="16" t="s">
        <v>7498</v>
      </c>
      <c r="C2175" s="17" t="s">
        <v>5562</v>
      </c>
      <c r="D2175" s="18">
        <v>180.36</v>
      </c>
      <c r="E2175" s="18">
        <v>252.5</v>
      </c>
      <c r="F2175" s="18">
        <v>12.0</v>
      </c>
    </row>
    <row r="2176">
      <c r="A2176" s="15">
        <v>3.0</v>
      </c>
      <c r="B2176" s="16" t="s">
        <v>7499</v>
      </c>
      <c r="C2176" s="17" t="s">
        <v>5636</v>
      </c>
      <c r="D2176" s="18">
        <v>117.75</v>
      </c>
      <c r="E2176" s="18">
        <v>164.85</v>
      </c>
      <c r="F2176" s="18">
        <v>12.0</v>
      </c>
    </row>
    <row r="2177">
      <c r="A2177" s="15">
        <v>4.0</v>
      </c>
      <c r="B2177" s="16" t="s">
        <v>7500</v>
      </c>
      <c r="C2177" s="17" t="s">
        <v>7501</v>
      </c>
      <c r="D2177" s="18">
        <v>135.71</v>
      </c>
      <c r="E2177" s="18">
        <v>190.0</v>
      </c>
      <c r="F2177" s="18">
        <v>12.0</v>
      </c>
    </row>
    <row r="2178">
      <c r="A2178" s="15">
        <v>5.0</v>
      </c>
      <c r="B2178" s="16" t="s">
        <v>7502</v>
      </c>
      <c r="C2178" s="17" t="s">
        <v>6363</v>
      </c>
      <c r="D2178" s="18">
        <v>202.54</v>
      </c>
      <c r="E2178" s="18">
        <v>281.0</v>
      </c>
      <c r="F2178" s="18">
        <v>12.0</v>
      </c>
    </row>
    <row r="2179">
      <c r="A2179" s="15">
        <v>6.0</v>
      </c>
      <c r="B2179" s="16" t="s">
        <v>7503</v>
      </c>
      <c r="C2179" s="17" t="s">
        <v>5636</v>
      </c>
      <c r="D2179" s="18">
        <v>124.71</v>
      </c>
      <c r="E2179" s="18">
        <v>174.6</v>
      </c>
      <c r="F2179" s="18">
        <v>12.0</v>
      </c>
    </row>
    <row r="2180">
      <c r="A2180" s="15">
        <v>7.0</v>
      </c>
      <c r="B2180" s="16" t="s">
        <v>7504</v>
      </c>
      <c r="C2180" s="17" t="s">
        <v>7505</v>
      </c>
      <c r="D2180" s="18">
        <v>72.0</v>
      </c>
      <c r="E2180" s="18">
        <v>100.8</v>
      </c>
      <c r="F2180" s="18">
        <v>12.0</v>
      </c>
    </row>
    <row r="2181">
      <c r="A2181" s="15">
        <v>8.0</v>
      </c>
      <c r="B2181" s="16" t="s">
        <v>7506</v>
      </c>
      <c r="C2181" s="17" t="s">
        <v>7507</v>
      </c>
      <c r="D2181" s="18">
        <v>86.17</v>
      </c>
      <c r="E2181" s="18">
        <v>119.55</v>
      </c>
      <c r="F2181" s="18">
        <v>12.0</v>
      </c>
    </row>
    <row r="2182">
      <c r="A2182" s="15">
        <v>9.0</v>
      </c>
      <c r="B2182" s="16" t="s">
        <v>7504</v>
      </c>
      <c r="C2182" s="17" t="s">
        <v>7508</v>
      </c>
      <c r="D2182" s="18">
        <v>111.18</v>
      </c>
      <c r="E2182" s="18">
        <v>155.65</v>
      </c>
      <c r="F2182" s="18">
        <v>12.0</v>
      </c>
    </row>
    <row r="2183">
      <c r="A2183" s="15">
        <v>10.0</v>
      </c>
      <c r="B2183" s="16" t="s">
        <v>7509</v>
      </c>
      <c r="C2183" s="17" t="s">
        <v>5536</v>
      </c>
      <c r="D2183" s="18">
        <v>98.87</v>
      </c>
      <c r="E2183" s="18">
        <v>135.8</v>
      </c>
      <c r="F2183" s="18">
        <v>12.0</v>
      </c>
    </row>
    <row r="2184">
      <c r="A2184" s="15">
        <v>11.0</v>
      </c>
      <c r="B2184" s="16" t="s">
        <v>7510</v>
      </c>
      <c r="C2184" s="17" t="s">
        <v>5536</v>
      </c>
      <c r="D2184" s="18">
        <v>156.02</v>
      </c>
      <c r="E2184" s="18">
        <v>214.3</v>
      </c>
      <c r="F2184" s="18">
        <v>12.0</v>
      </c>
    </row>
    <row r="2185">
      <c r="A2185" s="15">
        <v>12.0</v>
      </c>
      <c r="B2185" s="16" t="s">
        <v>7511</v>
      </c>
      <c r="C2185" s="17" t="s">
        <v>6127</v>
      </c>
      <c r="D2185" s="18">
        <v>141.36</v>
      </c>
      <c r="E2185" s="18">
        <v>197.9</v>
      </c>
      <c r="F2185" s="18">
        <v>12.0</v>
      </c>
    </row>
    <row r="2186">
      <c r="A2186" s="15">
        <v>13.0</v>
      </c>
      <c r="B2186" s="16" t="s">
        <v>7511</v>
      </c>
      <c r="C2186" s="17" t="s">
        <v>5636</v>
      </c>
      <c r="D2186" s="18">
        <v>184.86</v>
      </c>
      <c r="E2186" s="18">
        <v>258.8</v>
      </c>
      <c r="F2186" s="18">
        <v>12.0</v>
      </c>
    </row>
    <row r="2187">
      <c r="A2187" s="15">
        <v>14.0</v>
      </c>
      <c r="B2187" s="16" t="s">
        <v>7512</v>
      </c>
      <c r="C2187" s="17" t="s">
        <v>5636</v>
      </c>
      <c r="D2187" s="18">
        <v>139.83</v>
      </c>
      <c r="E2187" s="18">
        <v>192.05</v>
      </c>
      <c r="F2187" s="18">
        <v>12.0</v>
      </c>
    </row>
    <row r="2188">
      <c r="A2188" s="15">
        <v>15.0</v>
      </c>
      <c r="B2188" s="16" t="s">
        <v>7513</v>
      </c>
      <c r="C2188" s="17" t="s">
        <v>5562</v>
      </c>
      <c r="D2188" s="18">
        <v>125.48</v>
      </c>
      <c r="E2188" s="18">
        <v>174.1</v>
      </c>
      <c r="F2188" s="18">
        <v>12.0</v>
      </c>
    </row>
    <row r="2189">
      <c r="A2189" s="15">
        <v>16.0</v>
      </c>
      <c r="B2189" s="16" t="s">
        <v>1747</v>
      </c>
      <c r="C2189" s="16" t="s">
        <v>5558</v>
      </c>
      <c r="D2189" s="18">
        <v>110.0</v>
      </c>
      <c r="E2189" s="18">
        <v>154.0</v>
      </c>
      <c r="F2189" s="18">
        <v>12.0</v>
      </c>
    </row>
    <row r="2190">
      <c r="A2190" s="15">
        <v>17.0</v>
      </c>
      <c r="B2190" s="16" t="s">
        <v>7514</v>
      </c>
      <c r="C2190" s="17" t="s">
        <v>5636</v>
      </c>
      <c r="D2190" s="18">
        <v>101.94</v>
      </c>
      <c r="E2190" s="18">
        <v>140.0</v>
      </c>
      <c r="F2190" s="18">
        <v>12.0</v>
      </c>
    </row>
    <row r="2191">
      <c r="A2191" s="15">
        <v>18.0</v>
      </c>
      <c r="B2191" s="16" t="s">
        <v>7515</v>
      </c>
      <c r="C2191" s="17" t="s">
        <v>5636</v>
      </c>
      <c r="D2191" s="18">
        <v>163.83</v>
      </c>
      <c r="E2191" s="18">
        <v>225.0</v>
      </c>
      <c r="F2191" s="18">
        <v>12.0</v>
      </c>
    </row>
    <row r="2192">
      <c r="A2192" s="6"/>
      <c r="B2192" s="7"/>
      <c r="C2192" s="7"/>
      <c r="D2192" s="7"/>
      <c r="E2192" s="7"/>
      <c r="F2192" s="8"/>
    </row>
    <row r="2193">
      <c r="A2193" s="9" t="s">
        <v>7516</v>
      </c>
      <c r="B2193" s="10"/>
      <c r="C2193" s="10"/>
      <c r="D2193" s="10"/>
      <c r="E2193" s="10"/>
      <c r="F2193" s="10"/>
    </row>
    <row r="2194">
      <c r="A2194" s="6"/>
      <c r="B2194" s="7"/>
      <c r="C2194" s="7"/>
      <c r="D2194" s="7"/>
      <c r="E2194" s="7"/>
      <c r="F2194" s="8"/>
    </row>
    <row r="2195">
      <c r="A2195" s="9" t="s">
        <v>7517</v>
      </c>
      <c r="B2195" s="10"/>
      <c r="C2195" s="10"/>
      <c r="D2195" s="10"/>
      <c r="E2195" s="10"/>
      <c r="F2195" s="10"/>
    </row>
    <row r="2196">
      <c r="A2196" s="11">
        <v>1.0</v>
      </c>
      <c r="B2196" s="12" t="s">
        <v>7518</v>
      </c>
      <c r="C2196" s="13" t="s">
        <v>7519</v>
      </c>
      <c r="D2196" s="14">
        <v>27.93</v>
      </c>
      <c r="E2196" s="14">
        <v>39.1</v>
      </c>
      <c r="F2196" s="14">
        <v>12.0</v>
      </c>
    </row>
    <row r="2197">
      <c r="A2197" s="6"/>
      <c r="B2197" s="7"/>
      <c r="C2197" s="7"/>
      <c r="D2197" s="7"/>
      <c r="E2197" s="7"/>
      <c r="F2197" s="8"/>
    </row>
    <row r="2198">
      <c r="A2198" s="9" t="s">
        <v>7520</v>
      </c>
      <c r="B2198" s="10"/>
      <c r="C2198" s="10"/>
      <c r="D2198" s="10"/>
      <c r="E2198" s="10"/>
      <c r="F2198" s="10"/>
    </row>
    <row r="2199">
      <c r="A2199" s="6"/>
      <c r="B2199" s="7"/>
      <c r="C2199" s="7"/>
      <c r="D2199" s="7"/>
      <c r="E2199" s="7"/>
      <c r="F2199" s="8"/>
    </row>
    <row r="2200">
      <c r="A2200" s="9" t="s">
        <v>7521</v>
      </c>
      <c r="B2200" s="10"/>
      <c r="C2200" s="10"/>
      <c r="D2200" s="10"/>
      <c r="E2200" s="10"/>
      <c r="F2200" s="10"/>
    </row>
    <row r="2201">
      <c r="A2201" s="6"/>
      <c r="B2201" s="7"/>
      <c r="C2201" s="7"/>
      <c r="D2201" s="7"/>
      <c r="E2201" s="8"/>
      <c r="F2201" s="12" t="s">
        <v>7522</v>
      </c>
    </row>
    <row r="2202">
      <c r="A2202" s="6"/>
      <c r="B2202" s="7"/>
      <c r="C2202" s="7"/>
      <c r="D2202" s="7"/>
      <c r="E2202" s="7"/>
      <c r="F2202" s="8"/>
    </row>
    <row r="2203">
      <c r="A2203" s="6"/>
      <c r="B2203" s="7"/>
      <c r="C2203" s="7"/>
      <c r="D2203" s="7"/>
      <c r="E2203" s="7"/>
      <c r="F2203" s="8"/>
    </row>
    <row r="2204">
      <c r="A2204" s="6"/>
      <c r="B2204" s="7"/>
      <c r="C2204" s="7"/>
      <c r="D2204" s="7"/>
      <c r="E2204" s="7"/>
      <c r="F2204" s="8"/>
    </row>
    <row r="2205">
      <c r="A2205" s="6"/>
      <c r="B2205" s="7"/>
      <c r="C2205" s="7"/>
      <c r="D2205" s="7"/>
      <c r="E2205" s="7"/>
      <c r="F2205" s="8"/>
    </row>
    <row r="2206">
      <c r="A2206" s="9" t="s">
        <v>5582</v>
      </c>
      <c r="B2206" s="10"/>
      <c r="C2206" s="10"/>
      <c r="D2206" s="10"/>
      <c r="E2206" s="10"/>
      <c r="F2206" s="10"/>
    </row>
    <row r="2207">
      <c r="A2207" s="19" t="s">
        <v>5583</v>
      </c>
    </row>
    <row r="2208">
      <c r="A2208" s="6"/>
      <c r="B2208" s="7"/>
      <c r="C2208" s="7"/>
      <c r="D2208" s="8"/>
      <c r="E2208" s="12" t="s">
        <v>5584</v>
      </c>
      <c r="F2208" s="12" t="s">
        <v>7523</v>
      </c>
    </row>
    <row r="2209">
      <c r="A2209" s="20" t="s">
        <v>5522</v>
      </c>
      <c r="B2209" s="16" t="s">
        <v>5523</v>
      </c>
      <c r="C2209" s="16" t="s">
        <v>5524</v>
      </c>
      <c r="D2209" s="16" t="s">
        <v>5525</v>
      </c>
      <c r="E2209" s="16" t="s">
        <v>5526</v>
      </c>
      <c r="F2209" s="16" t="s">
        <v>5586</v>
      </c>
    </row>
    <row r="2210">
      <c r="A2210" s="15">
        <v>1.0</v>
      </c>
      <c r="B2210" s="16" t="s">
        <v>7524</v>
      </c>
      <c r="C2210" s="17" t="s">
        <v>5546</v>
      </c>
      <c r="D2210" s="18">
        <v>46.43</v>
      </c>
      <c r="E2210" s="18">
        <v>65.0</v>
      </c>
      <c r="F2210" s="18">
        <v>12.0</v>
      </c>
    </row>
    <row r="2211">
      <c r="A2211" s="15">
        <v>2.0</v>
      </c>
      <c r="B2211" s="16" t="s">
        <v>7525</v>
      </c>
      <c r="C2211" s="17" t="s">
        <v>7526</v>
      </c>
      <c r="D2211" s="18">
        <v>220.34</v>
      </c>
      <c r="E2211" s="18">
        <v>325.0</v>
      </c>
      <c r="F2211" s="18">
        <v>18.0</v>
      </c>
    </row>
    <row r="2212">
      <c r="A2212" s="15">
        <v>3.0</v>
      </c>
      <c r="B2212" s="16" t="s">
        <v>7525</v>
      </c>
      <c r="C2212" s="17" t="s">
        <v>5674</v>
      </c>
      <c r="D2212" s="18">
        <v>101.69</v>
      </c>
      <c r="E2212" s="18">
        <v>150.0</v>
      </c>
      <c r="F2212" s="18">
        <v>18.0</v>
      </c>
    </row>
    <row r="2213">
      <c r="A2213" s="15">
        <v>4.0</v>
      </c>
      <c r="B2213" s="16" t="s">
        <v>7525</v>
      </c>
      <c r="C2213" s="17" t="s">
        <v>7527</v>
      </c>
      <c r="D2213" s="18">
        <v>81.36</v>
      </c>
      <c r="E2213" s="18">
        <v>120.0</v>
      </c>
      <c r="F2213" s="18">
        <v>18.0</v>
      </c>
    </row>
    <row r="2214">
      <c r="A2214" s="15">
        <v>5.0</v>
      </c>
      <c r="B2214" s="16" t="s">
        <v>7525</v>
      </c>
      <c r="C2214" s="17" t="s">
        <v>7528</v>
      </c>
      <c r="D2214" s="18">
        <v>81.36</v>
      </c>
      <c r="E2214" s="18">
        <v>120.0</v>
      </c>
      <c r="F2214" s="18">
        <v>18.0</v>
      </c>
    </row>
    <row r="2215">
      <c r="A2215" s="15">
        <v>6.0</v>
      </c>
      <c r="B2215" s="16" t="s">
        <v>7529</v>
      </c>
      <c r="C2215" s="17" t="s">
        <v>5674</v>
      </c>
      <c r="D2215" s="18">
        <v>103.05</v>
      </c>
      <c r="E2215" s="18">
        <v>152.0</v>
      </c>
      <c r="F2215" s="18">
        <v>18.0</v>
      </c>
    </row>
    <row r="2216">
      <c r="A2216" s="15">
        <v>7.0</v>
      </c>
      <c r="B2216" s="21"/>
      <c r="C2216" s="17" t="s">
        <v>7530</v>
      </c>
      <c r="D2216" s="18">
        <v>135.0</v>
      </c>
      <c r="E2216" s="18">
        <v>189.0</v>
      </c>
      <c r="F2216" s="18">
        <v>12.0</v>
      </c>
    </row>
    <row r="2217">
      <c r="A2217" s="15">
        <v>8.0</v>
      </c>
      <c r="B2217" s="16" t="s">
        <v>7531</v>
      </c>
      <c r="C2217" s="17" t="s">
        <v>6456</v>
      </c>
      <c r="D2217" s="18">
        <v>130.0</v>
      </c>
      <c r="E2217" s="18">
        <v>182.0</v>
      </c>
      <c r="F2217" s="18">
        <v>12.0</v>
      </c>
    </row>
    <row r="2218">
      <c r="A2218" s="15">
        <v>9.0</v>
      </c>
      <c r="B2218" s="16" t="s">
        <v>7532</v>
      </c>
      <c r="C2218" s="17" t="s">
        <v>6456</v>
      </c>
      <c r="D2218" s="18">
        <v>154.29</v>
      </c>
      <c r="E2218" s="18">
        <v>216.0</v>
      </c>
      <c r="F2218" s="18">
        <v>12.0</v>
      </c>
    </row>
    <row r="2219">
      <c r="A2219" s="15">
        <v>10.0</v>
      </c>
      <c r="B2219" s="16" t="s">
        <v>7533</v>
      </c>
      <c r="C2219" s="16" t="s">
        <v>2274</v>
      </c>
      <c r="D2219" s="18">
        <v>68.57</v>
      </c>
      <c r="E2219" s="18">
        <v>97.0</v>
      </c>
      <c r="F2219" s="18">
        <v>12.0</v>
      </c>
    </row>
    <row r="2220">
      <c r="A2220" s="15">
        <v>11.0</v>
      </c>
      <c r="B2220" s="16" t="s">
        <v>7534</v>
      </c>
      <c r="C2220" s="17" t="s">
        <v>5725</v>
      </c>
      <c r="D2220" s="18">
        <v>85.71</v>
      </c>
      <c r="E2220" s="18">
        <v>120.0</v>
      </c>
      <c r="F2220" s="18">
        <v>12.0</v>
      </c>
    </row>
    <row r="2221">
      <c r="A2221" s="15">
        <v>12.0</v>
      </c>
      <c r="B2221" s="16" t="s">
        <v>7535</v>
      </c>
      <c r="C2221" s="16" t="s">
        <v>6399</v>
      </c>
      <c r="D2221" s="18">
        <v>47.14</v>
      </c>
      <c r="E2221" s="18">
        <v>66.0</v>
      </c>
      <c r="F2221" s="18">
        <v>12.0</v>
      </c>
    </row>
    <row r="2222">
      <c r="A2222" s="15">
        <v>13.0</v>
      </c>
      <c r="B2222" s="16" t="s">
        <v>7536</v>
      </c>
      <c r="C2222" s="17" t="s">
        <v>6801</v>
      </c>
      <c r="D2222" s="18">
        <v>21.43</v>
      </c>
      <c r="E2222" s="18">
        <v>30.0</v>
      </c>
      <c r="F2222" s="18">
        <v>12.0</v>
      </c>
    </row>
    <row r="2223">
      <c r="A2223" s="15">
        <v>14.0</v>
      </c>
      <c r="B2223" s="16" t="s">
        <v>7537</v>
      </c>
      <c r="C2223" s="17" t="s">
        <v>5641</v>
      </c>
      <c r="D2223" s="18">
        <v>32.14</v>
      </c>
      <c r="E2223" s="18">
        <v>45.0</v>
      </c>
      <c r="F2223" s="18">
        <v>12.0</v>
      </c>
    </row>
    <row r="2224">
      <c r="A2224" s="15">
        <v>15.0</v>
      </c>
      <c r="B2224" s="16" t="s">
        <v>1767</v>
      </c>
      <c r="C2224" s="16" t="s">
        <v>7538</v>
      </c>
      <c r="D2224" s="18">
        <v>67.5</v>
      </c>
      <c r="E2224" s="18">
        <v>94.5</v>
      </c>
      <c r="F2224" s="18">
        <v>12.0</v>
      </c>
    </row>
    <row r="2225">
      <c r="A2225" s="15">
        <v>16.0</v>
      </c>
      <c r="B2225" s="16" t="s">
        <v>7539</v>
      </c>
      <c r="C2225" s="17" t="s">
        <v>7540</v>
      </c>
      <c r="D2225" s="18">
        <v>61.43</v>
      </c>
      <c r="E2225" s="18">
        <v>86.0</v>
      </c>
      <c r="F2225" s="18">
        <v>12.0</v>
      </c>
    </row>
    <row r="2226">
      <c r="A2226" s="15">
        <v>17.0</v>
      </c>
      <c r="B2226" s="16" t="s">
        <v>7539</v>
      </c>
      <c r="C2226" s="17" t="s">
        <v>6289</v>
      </c>
      <c r="D2226" s="18">
        <v>100.0</v>
      </c>
      <c r="E2226" s="18">
        <v>140.0</v>
      </c>
      <c r="F2226" s="18">
        <v>12.0</v>
      </c>
    </row>
    <row r="2227">
      <c r="A2227" s="15">
        <v>18.0</v>
      </c>
      <c r="B2227" s="16" t="s">
        <v>7539</v>
      </c>
      <c r="C2227" s="17" t="s">
        <v>5636</v>
      </c>
      <c r="D2227" s="18">
        <v>107.86</v>
      </c>
      <c r="E2227" s="18">
        <v>151.0</v>
      </c>
      <c r="F2227" s="18">
        <v>12.0</v>
      </c>
    </row>
    <row r="2228">
      <c r="A2228" s="15">
        <v>19.0</v>
      </c>
      <c r="B2228" s="16" t="s">
        <v>7541</v>
      </c>
      <c r="C2228" s="17" t="s">
        <v>7540</v>
      </c>
      <c r="D2228" s="18">
        <v>61.43</v>
      </c>
      <c r="E2228" s="18">
        <v>86.0</v>
      </c>
      <c r="F2228" s="18">
        <v>12.0</v>
      </c>
    </row>
    <row r="2229">
      <c r="A2229" s="15">
        <v>20.0</v>
      </c>
      <c r="B2229" s="16" t="s">
        <v>7542</v>
      </c>
      <c r="C2229" s="17" t="s">
        <v>5747</v>
      </c>
      <c r="D2229" s="18">
        <v>98.57</v>
      </c>
      <c r="E2229" s="18">
        <v>138.0</v>
      </c>
      <c r="F2229" s="18">
        <v>12.0</v>
      </c>
    </row>
    <row r="2230">
      <c r="A2230" s="15">
        <v>21.0</v>
      </c>
      <c r="B2230" s="16" t="s">
        <v>7542</v>
      </c>
      <c r="C2230" s="17" t="s">
        <v>5636</v>
      </c>
      <c r="D2230" s="18">
        <v>85.0</v>
      </c>
      <c r="E2230" s="18">
        <v>119.0</v>
      </c>
      <c r="F2230" s="18">
        <v>12.0</v>
      </c>
    </row>
    <row r="2231">
      <c r="A2231" s="15">
        <v>22.0</v>
      </c>
      <c r="B2231" s="16" t="s">
        <v>7543</v>
      </c>
      <c r="C2231" s="17" t="s">
        <v>5828</v>
      </c>
      <c r="D2231" s="18">
        <v>108.57</v>
      </c>
      <c r="E2231" s="18">
        <v>152.0</v>
      </c>
      <c r="F2231" s="18">
        <v>12.0</v>
      </c>
    </row>
    <row r="2232">
      <c r="A2232" s="15">
        <v>23.0</v>
      </c>
      <c r="B2232" s="16" t="s">
        <v>7544</v>
      </c>
      <c r="C2232" s="17" t="s">
        <v>7545</v>
      </c>
      <c r="D2232" s="18">
        <v>142.14</v>
      </c>
      <c r="E2232" s="18">
        <v>199.0</v>
      </c>
      <c r="F2232" s="18">
        <v>12.0</v>
      </c>
    </row>
    <row r="2233">
      <c r="A2233" s="15">
        <v>24.0</v>
      </c>
      <c r="B2233" s="16" t="s">
        <v>7546</v>
      </c>
      <c r="C2233" s="17" t="s">
        <v>5742</v>
      </c>
      <c r="D2233" s="18">
        <v>237.29</v>
      </c>
      <c r="E2233" s="18">
        <v>350.0</v>
      </c>
      <c r="F2233" s="18">
        <v>18.0</v>
      </c>
    </row>
    <row r="2234">
      <c r="A2234" s="15">
        <v>25.0</v>
      </c>
      <c r="B2234" s="16" t="s">
        <v>7547</v>
      </c>
      <c r="C2234" s="17" t="s">
        <v>7548</v>
      </c>
      <c r="D2234" s="18">
        <v>32.14</v>
      </c>
      <c r="E2234" s="18">
        <v>45.0</v>
      </c>
      <c r="F2234" s="18">
        <v>12.0</v>
      </c>
    </row>
    <row r="2235">
      <c r="A2235" s="15">
        <v>26.0</v>
      </c>
      <c r="B2235" s="16" t="s">
        <v>7547</v>
      </c>
      <c r="C2235" s="17" t="s">
        <v>5768</v>
      </c>
      <c r="D2235" s="18">
        <v>39.29</v>
      </c>
      <c r="E2235" s="18">
        <v>55.0</v>
      </c>
      <c r="F2235" s="18">
        <v>12.0</v>
      </c>
    </row>
    <row r="2236">
      <c r="A2236" s="15">
        <v>27.0</v>
      </c>
      <c r="B2236" s="16" t="s">
        <v>7549</v>
      </c>
      <c r="C2236" s="17" t="s">
        <v>5768</v>
      </c>
      <c r="D2236" s="18">
        <v>45.71</v>
      </c>
      <c r="E2236" s="18">
        <v>64.0</v>
      </c>
      <c r="F2236" s="18">
        <v>12.0</v>
      </c>
    </row>
    <row r="2237">
      <c r="A2237" s="15">
        <v>28.0</v>
      </c>
      <c r="B2237" s="16" t="s">
        <v>7550</v>
      </c>
      <c r="C2237" s="17" t="s">
        <v>5614</v>
      </c>
      <c r="D2237" s="18">
        <v>128.57</v>
      </c>
      <c r="E2237" s="18">
        <v>180.0</v>
      </c>
      <c r="F2237" s="18">
        <v>12.0</v>
      </c>
    </row>
    <row r="2238">
      <c r="A2238" s="15">
        <v>29.0</v>
      </c>
      <c r="B2238" s="16" t="s">
        <v>7551</v>
      </c>
      <c r="C2238" s="17" t="s">
        <v>5614</v>
      </c>
      <c r="D2238" s="18">
        <v>250.0</v>
      </c>
      <c r="E2238" s="18">
        <v>350.0</v>
      </c>
      <c r="F2238" s="18">
        <v>12.0</v>
      </c>
    </row>
    <row r="2239">
      <c r="A2239" s="15">
        <v>30.0</v>
      </c>
      <c r="B2239" s="16" t="s">
        <v>7552</v>
      </c>
      <c r="C2239" s="16" t="s">
        <v>301</v>
      </c>
      <c r="D2239" s="18">
        <v>70.71</v>
      </c>
      <c r="E2239" s="18">
        <v>99.0</v>
      </c>
      <c r="F2239" s="18">
        <v>12.0</v>
      </c>
    </row>
    <row r="2240">
      <c r="A2240" s="15">
        <v>31.0</v>
      </c>
      <c r="B2240" s="16" t="s">
        <v>7553</v>
      </c>
      <c r="C2240" s="17" t="s">
        <v>7554</v>
      </c>
      <c r="D2240" s="18">
        <v>71.43</v>
      </c>
      <c r="E2240" s="18">
        <v>100.0</v>
      </c>
      <c r="F2240" s="18">
        <v>12.0</v>
      </c>
    </row>
    <row r="2241">
      <c r="A2241" s="15">
        <v>32.0</v>
      </c>
      <c r="B2241" s="16" t="s">
        <v>7555</v>
      </c>
      <c r="C2241" s="17" t="s">
        <v>5827</v>
      </c>
      <c r="D2241" s="18">
        <v>50.0</v>
      </c>
      <c r="E2241" s="18">
        <v>70.0</v>
      </c>
      <c r="F2241" s="18">
        <v>12.0</v>
      </c>
    </row>
    <row r="2242">
      <c r="A2242" s="15">
        <v>33.0</v>
      </c>
      <c r="B2242" s="16" t="s">
        <v>7555</v>
      </c>
      <c r="C2242" s="17" t="s">
        <v>5828</v>
      </c>
      <c r="D2242" s="18">
        <v>142.14</v>
      </c>
      <c r="E2242" s="18">
        <v>199.0</v>
      </c>
      <c r="F2242" s="18">
        <v>12.0</v>
      </c>
    </row>
    <row r="2243">
      <c r="A2243" s="15">
        <v>34.0</v>
      </c>
      <c r="B2243" s="16" t="s">
        <v>7556</v>
      </c>
      <c r="C2243" s="17" t="s">
        <v>7557</v>
      </c>
      <c r="D2243" s="18">
        <v>288.14</v>
      </c>
      <c r="E2243" s="18">
        <v>425.0</v>
      </c>
      <c r="F2243" s="18">
        <v>18.0</v>
      </c>
    </row>
    <row r="2244">
      <c r="A2244" s="15">
        <v>35.0</v>
      </c>
      <c r="B2244" s="16" t="s">
        <v>7558</v>
      </c>
      <c r="C2244" s="17" t="s">
        <v>6305</v>
      </c>
      <c r="D2244" s="18">
        <v>82.14</v>
      </c>
      <c r="E2244" s="18">
        <v>115.0</v>
      </c>
      <c r="F2244" s="18">
        <v>12.0</v>
      </c>
    </row>
    <row r="2245">
      <c r="A2245" s="15">
        <v>36.0</v>
      </c>
      <c r="B2245" s="16" t="s">
        <v>1788</v>
      </c>
      <c r="C2245" s="16" t="s">
        <v>5558</v>
      </c>
      <c r="D2245" s="18">
        <v>103.05</v>
      </c>
      <c r="E2245" s="18">
        <v>152.0</v>
      </c>
      <c r="F2245" s="18">
        <v>18.0</v>
      </c>
    </row>
    <row r="2246">
      <c r="A2246" s="15">
        <v>37.0</v>
      </c>
      <c r="B2246" s="16" t="s">
        <v>7559</v>
      </c>
      <c r="C2246" s="17" t="s">
        <v>7560</v>
      </c>
      <c r="D2246" s="18">
        <v>108.47</v>
      </c>
      <c r="E2246" s="18">
        <v>160.0</v>
      </c>
      <c r="F2246" s="18">
        <v>18.0</v>
      </c>
    </row>
    <row r="2247">
      <c r="A2247" s="15">
        <v>38.0</v>
      </c>
      <c r="B2247" s="21"/>
      <c r="C2247" s="17" t="s">
        <v>7561</v>
      </c>
      <c r="D2247" s="18">
        <v>106.43</v>
      </c>
      <c r="E2247" s="18">
        <v>149.0</v>
      </c>
      <c r="F2247" s="18">
        <v>12.0</v>
      </c>
    </row>
    <row r="2248">
      <c r="A2248" s="15">
        <v>39.0</v>
      </c>
      <c r="B2248" s="16" t="s">
        <v>7562</v>
      </c>
      <c r="C2248" s="17" t="s">
        <v>7563</v>
      </c>
      <c r="D2248" s="18">
        <v>356.43</v>
      </c>
      <c r="E2248" s="18">
        <v>499.0</v>
      </c>
      <c r="F2248" s="18">
        <v>12.0</v>
      </c>
    </row>
    <row r="2249">
      <c r="A2249" s="15">
        <v>40.0</v>
      </c>
      <c r="B2249" s="16" t="s">
        <v>7564</v>
      </c>
      <c r="C2249" s="17" t="s">
        <v>5731</v>
      </c>
      <c r="D2249" s="18">
        <v>89.29</v>
      </c>
      <c r="E2249" s="18">
        <v>125.0</v>
      </c>
      <c r="F2249" s="18">
        <v>12.0</v>
      </c>
    </row>
    <row r="2250">
      <c r="A2250" s="15">
        <v>41.0</v>
      </c>
      <c r="B2250" s="16" t="s">
        <v>7565</v>
      </c>
      <c r="C2250" s="17" t="s">
        <v>5731</v>
      </c>
      <c r="D2250" s="18">
        <v>57.14</v>
      </c>
      <c r="E2250" s="18">
        <v>80.0</v>
      </c>
      <c r="F2250" s="18">
        <v>12.0</v>
      </c>
    </row>
    <row r="2251">
      <c r="A2251" s="15">
        <v>42.0</v>
      </c>
      <c r="B2251" s="16" t="s">
        <v>7566</v>
      </c>
      <c r="C2251" s="17" t="s">
        <v>5999</v>
      </c>
      <c r="D2251" s="18">
        <v>69.29</v>
      </c>
      <c r="E2251" s="18">
        <v>97.0</v>
      </c>
      <c r="F2251" s="18">
        <v>12.0</v>
      </c>
    </row>
    <row r="2252">
      <c r="A2252" s="15">
        <v>43.0</v>
      </c>
      <c r="B2252" s="16" t="s">
        <v>1795</v>
      </c>
      <c r="C2252" s="16" t="s">
        <v>7567</v>
      </c>
      <c r="D2252" s="18">
        <v>40.0</v>
      </c>
      <c r="E2252" s="18">
        <v>56.0</v>
      </c>
      <c r="F2252" s="18">
        <v>12.0</v>
      </c>
    </row>
    <row r="2253">
      <c r="A2253" s="15">
        <v>44.0</v>
      </c>
      <c r="B2253" s="16" t="s">
        <v>7568</v>
      </c>
      <c r="C2253" s="17" t="s">
        <v>7223</v>
      </c>
      <c r="D2253" s="18">
        <v>80.0</v>
      </c>
      <c r="E2253" s="18">
        <v>112.0</v>
      </c>
      <c r="F2253" s="18">
        <v>12.0</v>
      </c>
    </row>
    <row r="2254">
      <c r="A2254" s="15">
        <v>45.0</v>
      </c>
      <c r="B2254" s="16" t="s">
        <v>7569</v>
      </c>
      <c r="C2254" s="17" t="s">
        <v>5827</v>
      </c>
      <c r="D2254" s="18">
        <v>37.86</v>
      </c>
      <c r="E2254" s="18">
        <v>53.0</v>
      </c>
      <c r="F2254" s="18">
        <v>12.0</v>
      </c>
    </row>
    <row r="2255">
      <c r="A2255" s="6"/>
      <c r="B2255" s="7"/>
      <c r="C2255" s="7"/>
      <c r="D2255" s="7"/>
      <c r="E2255" s="7"/>
      <c r="F2255" s="8"/>
    </row>
    <row r="2256">
      <c r="A2256" s="9" t="s">
        <v>7570</v>
      </c>
      <c r="B2256" s="10"/>
      <c r="C2256" s="10"/>
      <c r="D2256" s="10"/>
      <c r="E2256" s="10"/>
      <c r="F2256" s="10"/>
    </row>
    <row r="2257">
      <c r="A2257" s="11">
        <v>1.0</v>
      </c>
      <c r="B2257" s="12" t="s">
        <v>7571</v>
      </c>
      <c r="C2257" s="13" t="s">
        <v>5562</v>
      </c>
      <c r="D2257" s="14">
        <v>159.66</v>
      </c>
      <c r="E2257" s="14">
        <v>235.0</v>
      </c>
      <c r="F2257" s="14">
        <v>18.0</v>
      </c>
    </row>
    <row r="2258">
      <c r="A2258" s="15">
        <v>2.0</v>
      </c>
      <c r="B2258" s="16" t="s">
        <v>7572</v>
      </c>
      <c r="C2258" s="17" t="s">
        <v>6476</v>
      </c>
      <c r="D2258" s="18">
        <v>43.2</v>
      </c>
      <c r="E2258" s="18">
        <v>57.6</v>
      </c>
      <c r="F2258" s="18">
        <v>12.0</v>
      </c>
    </row>
    <row r="2259">
      <c r="A2259" s="15">
        <v>3.0</v>
      </c>
      <c r="B2259" s="21"/>
      <c r="C2259" s="17" t="s">
        <v>1801</v>
      </c>
      <c r="D2259" s="18">
        <v>60.71</v>
      </c>
      <c r="E2259" s="18">
        <v>85.0</v>
      </c>
      <c r="F2259" s="18">
        <v>12.0</v>
      </c>
    </row>
    <row r="2260">
      <c r="A2260" s="15">
        <v>4.0</v>
      </c>
      <c r="B2260" s="16" t="s">
        <v>7573</v>
      </c>
      <c r="C2260" s="17" t="s">
        <v>7574</v>
      </c>
      <c r="D2260" s="18">
        <v>40.54</v>
      </c>
      <c r="E2260" s="18">
        <v>56.75</v>
      </c>
      <c r="F2260" s="18">
        <v>12.0</v>
      </c>
    </row>
    <row r="2261">
      <c r="A2261" s="15">
        <v>5.0</v>
      </c>
      <c r="B2261" s="16" t="s">
        <v>7575</v>
      </c>
      <c r="C2261" s="17" t="s">
        <v>7576</v>
      </c>
      <c r="D2261" s="18">
        <v>84.38</v>
      </c>
      <c r="E2261" s="18">
        <v>112.5</v>
      </c>
      <c r="F2261" s="18">
        <v>12.0</v>
      </c>
    </row>
    <row r="2262">
      <c r="A2262" s="15">
        <v>6.0</v>
      </c>
      <c r="B2262" s="16" t="s">
        <v>7577</v>
      </c>
      <c r="C2262" s="17" t="s">
        <v>6127</v>
      </c>
      <c r="D2262" s="18">
        <v>98.57</v>
      </c>
      <c r="E2262" s="18">
        <v>138.0</v>
      </c>
      <c r="F2262" s="18">
        <v>12.0</v>
      </c>
    </row>
    <row r="2263">
      <c r="A2263" s="15">
        <v>7.0</v>
      </c>
      <c r="B2263" s="16" t="s">
        <v>7578</v>
      </c>
      <c r="C2263" s="17" t="s">
        <v>7029</v>
      </c>
      <c r="D2263" s="18">
        <v>48.57</v>
      </c>
      <c r="E2263" s="18">
        <v>68.0</v>
      </c>
      <c r="F2263" s="18">
        <v>12.0</v>
      </c>
    </row>
    <row r="2264">
      <c r="A2264" s="15">
        <v>8.0</v>
      </c>
      <c r="B2264" s="16" t="s">
        <v>7579</v>
      </c>
      <c r="C2264" s="17" t="s">
        <v>5536</v>
      </c>
      <c r="D2264" s="18">
        <v>134.02</v>
      </c>
      <c r="E2264" s="18">
        <v>178.7</v>
      </c>
      <c r="F2264" s="18">
        <v>12.0</v>
      </c>
    </row>
    <row r="2265">
      <c r="A2265" s="15">
        <v>9.0</v>
      </c>
      <c r="B2265" s="16" t="s">
        <v>7580</v>
      </c>
      <c r="C2265" s="17" t="s">
        <v>5636</v>
      </c>
      <c r="D2265" s="18">
        <v>22.18</v>
      </c>
      <c r="E2265" s="18">
        <v>29.57</v>
      </c>
      <c r="F2265" s="18">
        <v>12.0</v>
      </c>
    </row>
    <row r="2266">
      <c r="A2266" s="15">
        <v>10.0</v>
      </c>
      <c r="B2266" s="16" t="s">
        <v>7581</v>
      </c>
      <c r="C2266" s="17" t="s">
        <v>7582</v>
      </c>
      <c r="D2266" s="18">
        <v>78.57</v>
      </c>
      <c r="E2266" s="18">
        <v>110.0</v>
      </c>
      <c r="F2266" s="18">
        <v>12.0</v>
      </c>
    </row>
    <row r="2267">
      <c r="A2267" s="15">
        <v>11.0</v>
      </c>
      <c r="B2267" s="16" t="s">
        <v>7583</v>
      </c>
      <c r="C2267" s="17" t="s">
        <v>7584</v>
      </c>
      <c r="D2267" s="18">
        <v>39.86</v>
      </c>
      <c r="E2267" s="18">
        <v>55.8</v>
      </c>
      <c r="F2267" s="18">
        <v>12.0</v>
      </c>
    </row>
    <row r="2268">
      <c r="A2268" s="15">
        <v>12.0</v>
      </c>
      <c r="B2268" s="16" t="s">
        <v>7585</v>
      </c>
      <c r="C2268" s="17" t="s">
        <v>7586</v>
      </c>
      <c r="D2268" s="18">
        <v>139.29</v>
      </c>
      <c r="E2268" s="18">
        <v>195.0</v>
      </c>
      <c r="F2268" s="18">
        <v>12.0</v>
      </c>
    </row>
    <row r="2269">
      <c r="A2269" s="15">
        <v>13.0</v>
      </c>
      <c r="B2269" s="16" t="s">
        <v>7587</v>
      </c>
      <c r="C2269" s="17" t="s">
        <v>5657</v>
      </c>
      <c r="D2269" s="18">
        <v>78.57</v>
      </c>
      <c r="E2269" s="18">
        <v>110.0</v>
      </c>
      <c r="F2269" s="18">
        <v>12.0</v>
      </c>
    </row>
    <row r="2270">
      <c r="A2270" s="15">
        <v>14.0</v>
      </c>
      <c r="B2270" s="16" t="s">
        <v>7587</v>
      </c>
      <c r="C2270" s="17" t="s">
        <v>5747</v>
      </c>
      <c r="D2270" s="18">
        <v>71.43</v>
      </c>
      <c r="E2270" s="18">
        <v>100.0</v>
      </c>
      <c r="F2270" s="18">
        <v>12.0</v>
      </c>
    </row>
    <row r="2271">
      <c r="A2271" s="6"/>
      <c r="B2271" s="7"/>
      <c r="C2271" s="7"/>
      <c r="D2271" s="7"/>
      <c r="E2271" s="8"/>
      <c r="F2271" s="16" t="s">
        <v>7588</v>
      </c>
    </row>
    <row r="2272">
      <c r="A2272" s="6"/>
      <c r="B2272" s="7"/>
      <c r="C2272" s="7"/>
      <c r="D2272" s="7"/>
      <c r="E2272" s="7"/>
      <c r="F2272" s="8"/>
    </row>
    <row r="2273">
      <c r="A2273" s="6"/>
      <c r="B2273" s="7"/>
      <c r="C2273" s="7"/>
      <c r="D2273" s="7"/>
      <c r="E2273" s="7"/>
      <c r="F2273" s="8"/>
    </row>
    <row r="2274">
      <c r="A2274" s="6"/>
      <c r="B2274" s="7"/>
      <c r="C2274" s="7"/>
      <c r="D2274" s="7"/>
      <c r="E2274" s="7"/>
      <c r="F2274" s="8"/>
    </row>
    <row r="2275">
      <c r="A2275" s="6"/>
      <c r="B2275" s="7"/>
      <c r="C2275" s="7"/>
      <c r="D2275" s="7"/>
      <c r="E2275" s="7"/>
      <c r="F2275" s="8"/>
    </row>
    <row r="2276">
      <c r="A2276" s="9" t="s">
        <v>5582</v>
      </c>
      <c r="B2276" s="10"/>
      <c r="C2276" s="10"/>
      <c r="D2276" s="10"/>
      <c r="E2276" s="10"/>
      <c r="F2276" s="10"/>
    </row>
    <row r="2277">
      <c r="A2277" s="19" t="s">
        <v>5583</v>
      </c>
    </row>
    <row r="2278">
      <c r="A2278" s="6"/>
      <c r="B2278" s="7"/>
      <c r="C2278" s="7"/>
      <c r="D2278" s="8"/>
      <c r="E2278" s="12" t="s">
        <v>5584</v>
      </c>
      <c r="F2278" s="12" t="s">
        <v>7589</v>
      </c>
    </row>
    <row r="2279">
      <c r="A2279" s="20" t="s">
        <v>5522</v>
      </c>
      <c r="B2279" s="16" t="s">
        <v>5523</v>
      </c>
      <c r="C2279" s="16" t="s">
        <v>5524</v>
      </c>
      <c r="D2279" s="16" t="s">
        <v>5525</v>
      </c>
      <c r="E2279" s="16" t="s">
        <v>5526</v>
      </c>
      <c r="F2279" s="16" t="s">
        <v>5586</v>
      </c>
    </row>
    <row r="2280">
      <c r="A2280" s="15">
        <v>15.0</v>
      </c>
      <c r="B2280" s="16" t="s">
        <v>7590</v>
      </c>
      <c r="C2280" s="17" t="s">
        <v>6753</v>
      </c>
      <c r="D2280" s="18">
        <v>41.43</v>
      </c>
      <c r="E2280" s="18">
        <v>58.0</v>
      </c>
      <c r="F2280" s="18">
        <v>12.0</v>
      </c>
    </row>
    <row r="2281">
      <c r="A2281" s="15">
        <v>16.0</v>
      </c>
      <c r="B2281" s="16" t="s">
        <v>7591</v>
      </c>
      <c r="C2281" s="17" t="s">
        <v>5747</v>
      </c>
      <c r="D2281" s="18">
        <v>29.64</v>
      </c>
      <c r="E2281" s="18">
        <v>41.5</v>
      </c>
      <c r="F2281" s="18">
        <v>12.0</v>
      </c>
    </row>
    <row r="2282">
      <c r="A2282" s="15">
        <v>17.0</v>
      </c>
      <c r="B2282" s="16" t="s">
        <v>7590</v>
      </c>
      <c r="C2282" s="17" t="s">
        <v>5747</v>
      </c>
      <c r="D2282" s="18">
        <v>24.41</v>
      </c>
      <c r="E2282" s="18">
        <v>32.55</v>
      </c>
      <c r="F2282" s="18">
        <v>12.0</v>
      </c>
    </row>
    <row r="2283">
      <c r="A2283" s="15">
        <v>18.0</v>
      </c>
      <c r="B2283" s="16" t="s">
        <v>7592</v>
      </c>
      <c r="C2283" s="17" t="s">
        <v>7593</v>
      </c>
      <c r="D2283" s="18">
        <v>26.43</v>
      </c>
      <c r="E2283" s="18">
        <v>37.0</v>
      </c>
      <c r="F2283" s="18">
        <v>12.0</v>
      </c>
    </row>
    <row r="2284">
      <c r="A2284" s="15">
        <v>19.0</v>
      </c>
      <c r="B2284" s="16" t="s">
        <v>7594</v>
      </c>
      <c r="C2284" s="17" t="s">
        <v>7595</v>
      </c>
      <c r="D2284" s="18">
        <v>64.29</v>
      </c>
      <c r="E2284" s="18">
        <v>90.0</v>
      </c>
      <c r="F2284" s="18">
        <v>12.0</v>
      </c>
    </row>
    <row r="2285">
      <c r="A2285" s="15">
        <v>20.0</v>
      </c>
      <c r="B2285" s="16" t="s">
        <v>7596</v>
      </c>
      <c r="C2285" s="17" t="s">
        <v>7595</v>
      </c>
      <c r="D2285" s="18">
        <v>42.86</v>
      </c>
      <c r="E2285" s="18">
        <v>60.0</v>
      </c>
      <c r="F2285" s="18">
        <v>12.0</v>
      </c>
    </row>
    <row r="2286">
      <c r="A2286" s="15">
        <v>21.0</v>
      </c>
      <c r="B2286" s="16" t="s">
        <v>7597</v>
      </c>
      <c r="C2286" s="17" t="s">
        <v>7598</v>
      </c>
      <c r="D2286" s="18">
        <v>50.71</v>
      </c>
      <c r="E2286" s="18">
        <v>71.0</v>
      </c>
      <c r="F2286" s="18">
        <v>12.0</v>
      </c>
    </row>
    <row r="2287">
      <c r="A2287" s="15">
        <v>22.0</v>
      </c>
      <c r="B2287" s="16" t="s">
        <v>7597</v>
      </c>
      <c r="C2287" s="17" t="s">
        <v>7599</v>
      </c>
      <c r="D2287" s="18">
        <v>68.21</v>
      </c>
      <c r="E2287" s="18">
        <v>95.5</v>
      </c>
      <c r="F2287" s="18">
        <v>12.0</v>
      </c>
    </row>
    <row r="2288">
      <c r="A2288" s="15">
        <v>23.0</v>
      </c>
      <c r="B2288" s="16" t="s">
        <v>7597</v>
      </c>
      <c r="C2288" s="17" t="s">
        <v>7600</v>
      </c>
      <c r="D2288" s="18">
        <v>39.64</v>
      </c>
      <c r="E2288" s="18">
        <v>55.5</v>
      </c>
      <c r="F2288" s="18">
        <v>12.0</v>
      </c>
    </row>
    <row r="2289">
      <c r="A2289" s="15">
        <v>24.0</v>
      </c>
      <c r="B2289" s="16" t="s">
        <v>7601</v>
      </c>
      <c r="C2289" s="17" t="s">
        <v>6604</v>
      </c>
      <c r="D2289" s="18">
        <v>77.14</v>
      </c>
      <c r="E2289" s="18">
        <v>108.0</v>
      </c>
      <c r="F2289" s="18">
        <v>12.0</v>
      </c>
    </row>
    <row r="2290">
      <c r="A2290" s="15">
        <v>25.0</v>
      </c>
      <c r="B2290" s="16" t="s">
        <v>7602</v>
      </c>
      <c r="C2290" s="17" t="s">
        <v>7603</v>
      </c>
      <c r="D2290" s="18">
        <v>50.71</v>
      </c>
      <c r="E2290" s="18">
        <v>71.0</v>
      </c>
      <c r="F2290" s="18">
        <v>12.0</v>
      </c>
    </row>
    <row r="2291">
      <c r="A2291" s="15">
        <v>26.0</v>
      </c>
      <c r="B2291" s="16" t="s">
        <v>7604</v>
      </c>
      <c r="C2291" s="17" t="s">
        <v>5707</v>
      </c>
      <c r="D2291" s="18">
        <v>106.07</v>
      </c>
      <c r="E2291" s="18">
        <v>148.5</v>
      </c>
      <c r="F2291" s="18">
        <v>12.0</v>
      </c>
    </row>
    <row r="2292">
      <c r="A2292" s="15">
        <v>27.0</v>
      </c>
      <c r="B2292" s="16" t="s">
        <v>7605</v>
      </c>
      <c r="C2292" s="17" t="s">
        <v>7606</v>
      </c>
      <c r="D2292" s="18">
        <v>79.29</v>
      </c>
      <c r="E2292" s="18">
        <v>111.0</v>
      </c>
      <c r="F2292" s="18">
        <v>12.0</v>
      </c>
    </row>
    <row r="2293">
      <c r="A2293" s="15">
        <v>28.0</v>
      </c>
      <c r="B2293" s="16" t="s">
        <v>7607</v>
      </c>
      <c r="C2293" s="17" t="s">
        <v>7608</v>
      </c>
      <c r="D2293" s="18">
        <v>250.0</v>
      </c>
      <c r="E2293" s="18">
        <v>350.0</v>
      </c>
      <c r="F2293" s="18">
        <v>12.0</v>
      </c>
    </row>
    <row r="2294">
      <c r="A2294" s="15">
        <v>29.0</v>
      </c>
      <c r="B2294" s="16" t="s">
        <v>7609</v>
      </c>
      <c r="C2294" s="17" t="s">
        <v>5665</v>
      </c>
      <c r="D2294" s="18">
        <v>29.86</v>
      </c>
      <c r="E2294" s="18">
        <v>41.8</v>
      </c>
      <c r="F2294" s="18">
        <v>12.0</v>
      </c>
    </row>
    <row r="2295">
      <c r="A2295" s="15">
        <v>30.0</v>
      </c>
      <c r="B2295" s="16" t="s">
        <v>7610</v>
      </c>
      <c r="C2295" s="17" t="s">
        <v>5562</v>
      </c>
      <c r="D2295" s="18">
        <v>210.71</v>
      </c>
      <c r="E2295" s="18">
        <v>295.0</v>
      </c>
      <c r="F2295" s="18">
        <v>12.0</v>
      </c>
    </row>
    <row r="2296">
      <c r="A2296" s="15">
        <v>31.0</v>
      </c>
      <c r="B2296" s="16" t="s">
        <v>7611</v>
      </c>
      <c r="C2296" s="17" t="s">
        <v>7612</v>
      </c>
      <c r="D2296" s="18">
        <v>77.5</v>
      </c>
      <c r="E2296" s="18">
        <v>108.5</v>
      </c>
      <c r="F2296" s="18">
        <v>12.0</v>
      </c>
    </row>
    <row r="2297">
      <c r="A2297" s="15">
        <v>32.0</v>
      </c>
      <c r="B2297" s="16" t="s">
        <v>7613</v>
      </c>
      <c r="C2297" s="17" t="s">
        <v>7603</v>
      </c>
      <c r="D2297" s="18">
        <v>66.36</v>
      </c>
      <c r="E2297" s="18">
        <v>92.9</v>
      </c>
      <c r="F2297" s="18">
        <v>12.0</v>
      </c>
    </row>
    <row r="2298">
      <c r="A2298" s="15">
        <v>33.0</v>
      </c>
      <c r="B2298" s="16" t="s">
        <v>7614</v>
      </c>
      <c r="C2298" s="17" t="s">
        <v>5960</v>
      </c>
      <c r="D2298" s="18">
        <v>80.0</v>
      </c>
      <c r="E2298" s="18">
        <v>118.0</v>
      </c>
      <c r="F2298" s="18">
        <v>18.0</v>
      </c>
    </row>
    <row r="2299">
      <c r="A2299" s="15">
        <v>34.0</v>
      </c>
      <c r="B2299" s="16" t="s">
        <v>7614</v>
      </c>
      <c r="C2299" s="17" t="s">
        <v>5636</v>
      </c>
      <c r="D2299" s="18">
        <v>61.53</v>
      </c>
      <c r="E2299" s="18">
        <v>90.75</v>
      </c>
      <c r="F2299" s="18">
        <v>18.0</v>
      </c>
    </row>
    <row r="2300">
      <c r="A2300" s="6"/>
      <c r="B2300" s="7"/>
      <c r="C2300" s="7"/>
      <c r="D2300" s="7"/>
      <c r="E2300" s="7"/>
      <c r="F2300" s="8"/>
    </row>
    <row r="2301">
      <c r="A2301" s="9" t="s">
        <v>7615</v>
      </c>
      <c r="B2301" s="10"/>
      <c r="C2301" s="10"/>
      <c r="D2301" s="10"/>
      <c r="E2301" s="10"/>
      <c r="F2301" s="10"/>
    </row>
    <row r="2302">
      <c r="A2302" s="11">
        <v>1.0</v>
      </c>
      <c r="B2302" s="12" t="s">
        <v>7616</v>
      </c>
      <c r="C2302" s="13" t="s">
        <v>6614</v>
      </c>
      <c r="D2302" s="14">
        <v>95.0</v>
      </c>
      <c r="E2302" s="14">
        <v>133.0</v>
      </c>
      <c r="F2302" s="14">
        <v>12.0</v>
      </c>
    </row>
    <row r="2303">
      <c r="A2303" s="15">
        <v>2.0</v>
      </c>
      <c r="B2303" s="16" t="s">
        <v>7617</v>
      </c>
      <c r="C2303" s="17" t="s">
        <v>6614</v>
      </c>
      <c r="D2303" s="18">
        <v>54.14</v>
      </c>
      <c r="E2303" s="18">
        <v>75.8</v>
      </c>
      <c r="F2303" s="18">
        <v>12.0</v>
      </c>
    </row>
    <row r="2304">
      <c r="A2304" s="15">
        <v>3.0</v>
      </c>
      <c r="B2304" s="16" t="s">
        <v>7618</v>
      </c>
      <c r="C2304" s="17" t="s">
        <v>7619</v>
      </c>
      <c r="D2304" s="18">
        <v>77.0</v>
      </c>
      <c r="E2304" s="18">
        <v>107.8</v>
      </c>
      <c r="F2304" s="18">
        <v>12.0</v>
      </c>
    </row>
    <row r="2305">
      <c r="A2305" s="15">
        <v>4.0</v>
      </c>
      <c r="B2305" s="16" t="s">
        <v>7620</v>
      </c>
      <c r="C2305" s="17" t="s">
        <v>6614</v>
      </c>
      <c r="D2305" s="18">
        <v>99.29</v>
      </c>
      <c r="E2305" s="18">
        <v>139.0</v>
      </c>
      <c r="F2305" s="18">
        <v>12.0</v>
      </c>
    </row>
    <row r="2306">
      <c r="A2306" s="15">
        <v>5.0</v>
      </c>
      <c r="B2306" s="16" t="s">
        <v>7621</v>
      </c>
      <c r="C2306" s="17" t="s">
        <v>7622</v>
      </c>
      <c r="D2306" s="18">
        <v>139.29</v>
      </c>
      <c r="E2306" s="18">
        <v>195.0</v>
      </c>
      <c r="F2306" s="18">
        <v>12.0</v>
      </c>
    </row>
    <row r="2307">
      <c r="A2307" s="15">
        <v>6.0</v>
      </c>
      <c r="B2307" s="16" t="s">
        <v>7623</v>
      </c>
      <c r="C2307" s="17" t="s">
        <v>5705</v>
      </c>
      <c r="D2307" s="18">
        <v>250.0</v>
      </c>
      <c r="E2307" s="18">
        <v>350.0</v>
      </c>
      <c r="F2307" s="18">
        <v>12.0</v>
      </c>
    </row>
    <row r="2308">
      <c r="A2308" s="15">
        <v>7.0</v>
      </c>
      <c r="B2308" s="16" t="s">
        <v>7624</v>
      </c>
      <c r="C2308" s="17" t="s">
        <v>7625</v>
      </c>
      <c r="D2308" s="18">
        <v>178.57</v>
      </c>
      <c r="E2308" s="18">
        <v>250.0</v>
      </c>
      <c r="F2308" s="18">
        <v>12.0</v>
      </c>
    </row>
    <row r="2309">
      <c r="A2309" s="15">
        <v>8.0</v>
      </c>
      <c r="B2309" s="16" t="s">
        <v>7626</v>
      </c>
      <c r="C2309" s="17" t="s">
        <v>6626</v>
      </c>
      <c r="D2309" s="18">
        <v>292.86</v>
      </c>
      <c r="E2309" s="18">
        <v>410.0</v>
      </c>
      <c r="F2309" s="18">
        <v>12.0</v>
      </c>
    </row>
    <row r="2310">
      <c r="A2310" s="15">
        <v>9.0</v>
      </c>
      <c r="B2310" s="16" t="s">
        <v>7627</v>
      </c>
      <c r="C2310" s="17" t="s">
        <v>6422</v>
      </c>
      <c r="D2310" s="18">
        <v>78.57</v>
      </c>
      <c r="E2310" s="18">
        <v>110.0</v>
      </c>
      <c r="F2310" s="18">
        <v>12.0</v>
      </c>
    </row>
    <row r="2311">
      <c r="A2311" s="15">
        <v>10.0</v>
      </c>
      <c r="B2311" s="16" t="s">
        <v>7628</v>
      </c>
      <c r="C2311" s="17" t="s">
        <v>5707</v>
      </c>
      <c r="D2311" s="18">
        <v>93.07</v>
      </c>
      <c r="E2311" s="18">
        <v>130.3</v>
      </c>
      <c r="F2311" s="18">
        <v>12.0</v>
      </c>
    </row>
    <row r="2312">
      <c r="A2312" s="15">
        <v>11.0</v>
      </c>
      <c r="B2312" s="16" t="s">
        <v>7629</v>
      </c>
      <c r="C2312" s="17" t="s">
        <v>7630</v>
      </c>
      <c r="D2312" s="18">
        <v>128.59</v>
      </c>
      <c r="E2312" s="18">
        <v>171.45</v>
      </c>
      <c r="F2312" s="18">
        <v>12.0</v>
      </c>
    </row>
    <row r="2313">
      <c r="A2313" s="15">
        <v>12.0</v>
      </c>
      <c r="B2313" s="16" t="s">
        <v>7631</v>
      </c>
      <c r="C2313" s="17" t="s">
        <v>5704</v>
      </c>
      <c r="D2313" s="18">
        <v>84.29</v>
      </c>
      <c r="E2313" s="18">
        <v>118.0</v>
      </c>
      <c r="F2313" s="18">
        <v>12.0</v>
      </c>
    </row>
    <row r="2314">
      <c r="A2314" s="15">
        <v>13.0</v>
      </c>
      <c r="B2314" s="16" t="s">
        <v>7632</v>
      </c>
      <c r="C2314" s="17" t="s">
        <v>7619</v>
      </c>
      <c r="D2314" s="18">
        <v>74.64</v>
      </c>
      <c r="E2314" s="18">
        <v>104.5</v>
      </c>
      <c r="F2314" s="18">
        <v>12.0</v>
      </c>
    </row>
    <row r="2315">
      <c r="A2315" s="15">
        <v>14.0</v>
      </c>
      <c r="B2315" s="16" t="s">
        <v>7633</v>
      </c>
      <c r="C2315" s="17" t="s">
        <v>6614</v>
      </c>
      <c r="D2315" s="18">
        <v>171.43</v>
      </c>
      <c r="E2315" s="18">
        <v>240.0</v>
      </c>
      <c r="F2315" s="18">
        <v>12.0</v>
      </c>
    </row>
    <row r="2316">
      <c r="A2316" s="15">
        <v>15.0</v>
      </c>
      <c r="B2316" s="16" t="s">
        <v>7634</v>
      </c>
      <c r="C2316" s="17" t="s">
        <v>7619</v>
      </c>
      <c r="D2316" s="18">
        <v>96.57</v>
      </c>
      <c r="E2316" s="18">
        <v>135.2</v>
      </c>
      <c r="F2316" s="18">
        <v>12.0</v>
      </c>
    </row>
    <row r="2317">
      <c r="A2317" s="15">
        <v>16.0</v>
      </c>
      <c r="B2317" s="16" t="s">
        <v>7635</v>
      </c>
      <c r="C2317" s="17" t="s">
        <v>7636</v>
      </c>
      <c r="D2317" s="18">
        <v>935.71</v>
      </c>
      <c r="E2317" s="18">
        <v>1310.0</v>
      </c>
      <c r="F2317" s="18">
        <v>12.0</v>
      </c>
    </row>
    <row r="2318">
      <c r="A2318" s="15">
        <v>17.0</v>
      </c>
      <c r="B2318" s="16" t="s">
        <v>7637</v>
      </c>
      <c r="C2318" s="17" t="s">
        <v>6614</v>
      </c>
      <c r="D2318" s="18">
        <v>54.29</v>
      </c>
      <c r="E2318" s="18">
        <v>76.0</v>
      </c>
      <c r="F2318" s="18">
        <v>12.0</v>
      </c>
    </row>
    <row r="2319">
      <c r="A2319" s="15">
        <v>18.0</v>
      </c>
      <c r="B2319" s="16" t="s">
        <v>7638</v>
      </c>
      <c r="C2319" s="17" t="s">
        <v>5704</v>
      </c>
      <c r="D2319" s="18">
        <v>55.0</v>
      </c>
      <c r="E2319" s="18">
        <v>77.0</v>
      </c>
      <c r="F2319" s="18">
        <v>12.0</v>
      </c>
    </row>
    <row r="2320">
      <c r="A2320" s="15">
        <v>19.0</v>
      </c>
      <c r="B2320" s="16" t="s">
        <v>7639</v>
      </c>
      <c r="C2320" s="17" t="s">
        <v>5707</v>
      </c>
      <c r="D2320" s="18">
        <v>270.71</v>
      </c>
      <c r="E2320" s="18">
        <v>379.0</v>
      </c>
      <c r="F2320" s="18">
        <v>12.0</v>
      </c>
    </row>
    <row r="2321">
      <c r="A2321" s="15">
        <v>20.0</v>
      </c>
      <c r="B2321" s="16" t="s">
        <v>7640</v>
      </c>
      <c r="C2321" s="17" t="s">
        <v>5705</v>
      </c>
      <c r="D2321" s="18">
        <v>285.71</v>
      </c>
      <c r="E2321" s="18">
        <v>400.0</v>
      </c>
      <c r="F2321" s="18">
        <v>12.0</v>
      </c>
    </row>
    <row r="2322">
      <c r="A2322" s="15">
        <v>21.0</v>
      </c>
      <c r="B2322" s="16" t="s">
        <v>7641</v>
      </c>
      <c r="C2322" s="17" t="s">
        <v>5707</v>
      </c>
      <c r="D2322" s="18">
        <v>352.79</v>
      </c>
      <c r="E2322" s="18">
        <v>493.9</v>
      </c>
      <c r="F2322" s="18">
        <v>12.0</v>
      </c>
    </row>
    <row r="2323">
      <c r="A2323" s="15">
        <v>22.0</v>
      </c>
      <c r="B2323" s="16" t="s">
        <v>7642</v>
      </c>
      <c r="C2323" s="17" t="s">
        <v>5707</v>
      </c>
      <c r="D2323" s="18">
        <v>55.0</v>
      </c>
      <c r="E2323" s="18">
        <v>77.0</v>
      </c>
      <c r="F2323" s="18">
        <v>12.0</v>
      </c>
    </row>
    <row r="2324">
      <c r="A2324" s="15">
        <v>23.0</v>
      </c>
      <c r="B2324" s="16" t="s">
        <v>7643</v>
      </c>
      <c r="C2324" s="17" t="s">
        <v>5707</v>
      </c>
      <c r="D2324" s="18">
        <v>105.38</v>
      </c>
      <c r="E2324" s="18">
        <v>140.5</v>
      </c>
      <c r="F2324" s="18">
        <v>12.0</v>
      </c>
    </row>
    <row r="2325">
      <c r="A2325" s="15">
        <v>24.0</v>
      </c>
      <c r="B2325" s="16" t="s">
        <v>7644</v>
      </c>
      <c r="C2325" s="17" t="s">
        <v>6422</v>
      </c>
      <c r="D2325" s="18">
        <v>83.93</v>
      </c>
      <c r="E2325" s="18">
        <v>117.5</v>
      </c>
      <c r="F2325" s="18">
        <v>12.0</v>
      </c>
    </row>
    <row r="2326">
      <c r="A2326" s="15">
        <v>25.0</v>
      </c>
      <c r="B2326" s="16" t="s">
        <v>7645</v>
      </c>
      <c r="C2326" s="17" t="s">
        <v>7646</v>
      </c>
      <c r="D2326" s="18">
        <v>90.68</v>
      </c>
      <c r="E2326" s="18">
        <v>120.9</v>
      </c>
      <c r="F2326" s="18">
        <v>12.0</v>
      </c>
    </row>
    <row r="2327">
      <c r="A2327" s="15">
        <v>26.0</v>
      </c>
      <c r="B2327" s="16" t="s">
        <v>7647</v>
      </c>
      <c r="C2327" s="17" t="s">
        <v>7648</v>
      </c>
      <c r="D2327" s="18">
        <v>74.64</v>
      </c>
      <c r="E2327" s="18">
        <v>104.5</v>
      </c>
      <c r="F2327" s="18">
        <v>12.0</v>
      </c>
    </row>
    <row r="2328">
      <c r="A2328" s="15">
        <v>27.0</v>
      </c>
      <c r="B2328" s="16" t="s">
        <v>7649</v>
      </c>
      <c r="C2328" s="17" t="s">
        <v>6630</v>
      </c>
      <c r="D2328" s="18">
        <v>182.14</v>
      </c>
      <c r="E2328" s="18">
        <v>255.0</v>
      </c>
      <c r="F2328" s="18">
        <v>12.0</v>
      </c>
    </row>
    <row r="2329">
      <c r="A2329" s="15">
        <v>28.0</v>
      </c>
      <c r="B2329" s="16" t="s">
        <v>7650</v>
      </c>
      <c r="C2329" s="17" t="s">
        <v>7630</v>
      </c>
      <c r="D2329" s="18">
        <v>128.59</v>
      </c>
      <c r="E2329" s="18">
        <v>171.45</v>
      </c>
      <c r="F2329" s="18">
        <v>12.0</v>
      </c>
    </row>
    <row r="2330">
      <c r="A2330" s="15">
        <v>29.0</v>
      </c>
      <c r="B2330" s="16" t="s">
        <v>7651</v>
      </c>
      <c r="C2330" s="17" t="s">
        <v>7619</v>
      </c>
      <c r="D2330" s="18">
        <v>76.21</v>
      </c>
      <c r="E2330" s="18">
        <v>106.7</v>
      </c>
      <c r="F2330" s="18">
        <v>12.0</v>
      </c>
    </row>
    <row r="2331">
      <c r="A2331" s="15">
        <v>30.0</v>
      </c>
      <c r="B2331" s="16" t="s">
        <v>7652</v>
      </c>
      <c r="C2331" s="17" t="s">
        <v>7619</v>
      </c>
      <c r="D2331" s="18">
        <v>62.0</v>
      </c>
      <c r="E2331" s="18">
        <v>86.8</v>
      </c>
      <c r="F2331" s="18">
        <v>12.0</v>
      </c>
    </row>
    <row r="2332">
      <c r="A2332" s="15">
        <v>31.0</v>
      </c>
      <c r="B2332" s="16" t="s">
        <v>7653</v>
      </c>
      <c r="C2332" s="17" t="s">
        <v>6614</v>
      </c>
      <c r="D2332" s="18">
        <v>105.71</v>
      </c>
      <c r="E2332" s="18">
        <v>148.0</v>
      </c>
      <c r="F2332" s="18">
        <v>12.0</v>
      </c>
    </row>
    <row r="2333">
      <c r="A2333" s="15">
        <v>32.0</v>
      </c>
      <c r="B2333" s="16" t="s">
        <v>7654</v>
      </c>
      <c r="C2333" s="17" t="s">
        <v>7655</v>
      </c>
      <c r="D2333" s="18">
        <v>121.43</v>
      </c>
      <c r="E2333" s="18">
        <v>170.0</v>
      </c>
      <c r="F2333" s="18">
        <v>12.0</v>
      </c>
    </row>
    <row r="2334">
      <c r="A2334" s="15">
        <v>33.0</v>
      </c>
      <c r="B2334" s="16" t="s">
        <v>7656</v>
      </c>
      <c r="C2334" s="17" t="s">
        <v>6614</v>
      </c>
      <c r="D2334" s="18">
        <v>86.32</v>
      </c>
      <c r="E2334" s="18">
        <v>120.85</v>
      </c>
      <c r="F2334" s="18">
        <v>12.0</v>
      </c>
    </row>
    <row r="2335">
      <c r="A2335" s="15">
        <v>34.0</v>
      </c>
      <c r="B2335" s="16" t="s">
        <v>7657</v>
      </c>
      <c r="C2335" s="17" t="s">
        <v>7658</v>
      </c>
      <c r="D2335" s="18">
        <v>85.71</v>
      </c>
      <c r="E2335" s="18">
        <v>120.0</v>
      </c>
      <c r="F2335" s="18">
        <v>12.0</v>
      </c>
    </row>
    <row r="2336">
      <c r="A2336" s="15">
        <v>35.0</v>
      </c>
      <c r="B2336" s="16" t="s">
        <v>7659</v>
      </c>
      <c r="C2336" s="17" t="s">
        <v>6422</v>
      </c>
      <c r="D2336" s="18">
        <v>30.25</v>
      </c>
      <c r="E2336" s="18">
        <v>42.35</v>
      </c>
      <c r="F2336" s="18">
        <v>12.0</v>
      </c>
    </row>
    <row r="2337">
      <c r="A2337" s="15">
        <v>36.0</v>
      </c>
      <c r="B2337" s="16" t="s">
        <v>7660</v>
      </c>
      <c r="C2337" s="17" t="s">
        <v>5705</v>
      </c>
      <c r="D2337" s="18">
        <v>58.93</v>
      </c>
      <c r="E2337" s="18">
        <v>82.5</v>
      </c>
      <c r="F2337" s="18">
        <v>12.0</v>
      </c>
    </row>
    <row r="2338">
      <c r="A2338" s="15">
        <v>37.0</v>
      </c>
      <c r="B2338" s="16" t="s">
        <v>7661</v>
      </c>
      <c r="C2338" s="17" t="s">
        <v>6614</v>
      </c>
      <c r="D2338" s="18">
        <v>41.43</v>
      </c>
      <c r="E2338" s="18">
        <v>58.0</v>
      </c>
      <c r="F2338" s="18">
        <v>12.0</v>
      </c>
    </row>
    <row r="2339">
      <c r="A2339" s="15">
        <v>38.0</v>
      </c>
      <c r="B2339" s="16" t="s">
        <v>7662</v>
      </c>
      <c r="C2339" s="17" t="s">
        <v>7663</v>
      </c>
      <c r="D2339" s="18">
        <v>70.71</v>
      </c>
      <c r="E2339" s="18">
        <v>99.0</v>
      </c>
      <c r="F2339" s="18">
        <v>12.0</v>
      </c>
    </row>
    <row r="2340">
      <c r="A2340" s="15">
        <v>39.0</v>
      </c>
      <c r="B2340" s="16" t="s">
        <v>7664</v>
      </c>
      <c r="C2340" s="17" t="s">
        <v>7665</v>
      </c>
      <c r="D2340" s="18">
        <v>40.71</v>
      </c>
      <c r="E2340" s="18">
        <v>57.0</v>
      </c>
      <c r="F2340" s="18">
        <v>12.0</v>
      </c>
    </row>
    <row r="2341">
      <c r="A2341" s="6"/>
      <c r="B2341" s="7"/>
      <c r="C2341" s="7"/>
      <c r="D2341" s="7"/>
      <c r="E2341" s="8"/>
      <c r="F2341" s="16" t="s">
        <v>7666</v>
      </c>
    </row>
    <row r="2342">
      <c r="A2342" s="6"/>
      <c r="B2342" s="7"/>
      <c r="C2342" s="7"/>
      <c r="D2342" s="7"/>
      <c r="E2342" s="7"/>
      <c r="F2342" s="8"/>
    </row>
    <row r="2343">
      <c r="A2343" s="6"/>
      <c r="B2343" s="7"/>
      <c r="C2343" s="7"/>
      <c r="D2343" s="7"/>
      <c r="E2343" s="7"/>
      <c r="F2343" s="8"/>
    </row>
    <row r="2344">
      <c r="A2344" s="6"/>
      <c r="B2344" s="7"/>
      <c r="C2344" s="7"/>
      <c r="D2344" s="7"/>
      <c r="E2344" s="7"/>
      <c r="F2344" s="8"/>
    </row>
    <row r="2345">
      <c r="A2345" s="6"/>
      <c r="B2345" s="7"/>
      <c r="C2345" s="7"/>
      <c r="D2345" s="7"/>
      <c r="E2345" s="7"/>
      <c r="F2345" s="8"/>
    </row>
    <row r="2346">
      <c r="A2346" s="9" t="s">
        <v>5582</v>
      </c>
      <c r="B2346" s="10"/>
      <c r="C2346" s="10"/>
      <c r="D2346" s="10"/>
      <c r="E2346" s="10"/>
      <c r="F2346" s="10"/>
    </row>
    <row r="2347">
      <c r="A2347" s="19" t="s">
        <v>5583</v>
      </c>
    </row>
    <row r="2348">
      <c r="A2348" s="6"/>
      <c r="B2348" s="7"/>
      <c r="C2348" s="7"/>
      <c r="D2348" s="8"/>
      <c r="E2348" s="12" t="s">
        <v>5584</v>
      </c>
      <c r="F2348" s="12" t="s">
        <v>7667</v>
      </c>
    </row>
    <row r="2349">
      <c r="A2349" s="20" t="s">
        <v>5522</v>
      </c>
      <c r="B2349" s="16" t="s">
        <v>5523</v>
      </c>
      <c r="C2349" s="16" t="s">
        <v>5524</v>
      </c>
      <c r="D2349" s="16" t="s">
        <v>5525</v>
      </c>
      <c r="E2349" s="16" t="s">
        <v>5526</v>
      </c>
      <c r="F2349" s="16" t="s">
        <v>5586</v>
      </c>
    </row>
    <row r="2350">
      <c r="A2350" s="6"/>
      <c r="B2350" s="7"/>
      <c r="C2350" s="7"/>
      <c r="D2350" s="7"/>
      <c r="E2350" s="7"/>
      <c r="F2350" s="8"/>
    </row>
    <row r="2351">
      <c r="A2351" s="9" t="s">
        <v>7668</v>
      </c>
      <c r="B2351" s="10"/>
      <c r="C2351" s="10"/>
      <c r="D2351" s="10"/>
      <c r="E2351" s="10"/>
      <c r="F2351" s="10"/>
    </row>
    <row r="2352">
      <c r="A2352" s="11">
        <v>1.0</v>
      </c>
      <c r="B2352" s="12" t="s">
        <v>1873</v>
      </c>
      <c r="C2352" s="12" t="s">
        <v>5558</v>
      </c>
      <c r="D2352" s="14">
        <v>171.43</v>
      </c>
      <c r="E2352" s="14">
        <v>240.0</v>
      </c>
      <c r="F2352" s="14">
        <v>12.0</v>
      </c>
    </row>
    <row r="2353">
      <c r="A2353" s="15">
        <v>2.0</v>
      </c>
      <c r="B2353" s="16" t="s">
        <v>7669</v>
      </c>
      <c r="C2353" s="17" t="s">
        <v>6104</v>
      </c>
      <c r="D2353" s="18">
        <v>31.19</v>
      </c>
      <c r="E2353" s="18">
        <v>46.0</v>
      </c>
      <c r="F2353" s="18">
        <v>18.0</v>
      </c>
    </row>
    <row r="2354">
      <c r="A2354" s="15">
        <v>3.0</v>
      </c>
      <c r="B2354" s="16" t="s">
        <v>7670</v>
      </c>
      <c r="C2354" s="17" t="s">
        <v>5636</v>
      </c>
      <c r="D2354" s="18">
        <v>24.29</v>
      </c>
      <c r="E2354" s="18">
        <v>34.0</v>
      </c>
      <c r="F2354" s="18">
        <v>12.0</v>
      </c>
    </row>
    <row r="2355">
      <c r="A2355" s="15">
        <v>4.0</v>
      </c>
      <c r="B2355" s="16" t="s">
        <v>7671</v>
      </c>
      <c r="C2355" s="17" t="s">
        <v>7672</v>
      </c>
      <c r="D2355" s="18">
        <v>25.71</v>
      </c>
      <c r="E2355" s="18">
        <v>36.0</v>
      </c>
      <c r="F2355" s="18">
        <v>12.0</v>
      </c>
    </row>
    <row r="2356">
      <c r="A2356" s="15">
        <v>5.0</v>
      </c>
      <c r="B2356" s="16" t="s">
        <v>7673</v>
      </c>
      <c r="C2356" s="17" t="s">
        <v>5707</v>
      </c>
      <c r="D2356" s="18">
        <v>42.86</v>
      </c>
      <c r="E2356" s="18">
        <v>60.0</v>
      </c>
      <c r="F2356" s="18">
        <v>12.0</v>
      </c>
    </row>
    <row r="2357">
      <c r="A2357" s="15">
        <v>6.0</v>
      </c>
      <c r="B2357" s="16" t="s">
        <v>7674</v>
      </c>
      <c r="C2357" s="17" t="s">
        <v>6604</v>
      </c>
      <c r="D2357" s="18">
        <v>52.56</v>
      </c>
      <c r="E2357" s="18">
        <v>70.0</v>
      </c>
      <c r="F2357" s="18">
        <v>12.0</v>
      </c>
    </row>
    <row r="2358">
      <c r="A2358" s="15">
        <v>7.0</v>
      </c>
      <c r="B2358" s="16" t="s">
        <v>7675</v>
      </c>
      <c r="C2358" s="17" t="s">
        <v>6902</v>
      </c>
      <c r="D2358" s="18">
        <v>51.25</v>
      </c>
      <c r="E2358" s="18">
        <v>71.75</v>
      </c>
      <c r="F2358" s="18">
        <v>12.0</v>
      </c>
    </row>
    <row r="2359">
      <c r="A2359" s="15">
        <v>8.0</v>
      </c>
      <c r="B2359" s="16" t="s">
        <v>7675</v>
      </c>
      <c r="C2359" s="17" t="s">
        <v>7676</v>
      </c>
      <c r="D2359" s="18">
        <v>83.86</v>
      </c>
      <c r="E2359" s="18">
        <v>112.6</v>
      </c>
      <c r="F2359" s="18">
        <v>12.0</v>
      </c>
    </row>
    <row r="2360">
      <c r="A2360" s="15">
        <v>9.0</v>
      </c>
      <c r="B2360" s="16" t="s">
        <v>7675</v>
      </c>
      <c r="C2360" s="17" t="s">
        <v>7677</v>
      </c>
      <c r="D2360" s="18">
        <v>51.43</v>
      </c>
      <c r="E2360" s="18">
        <v>72.0</v>
      </c>
      <c r="F2360" s="18">
        <v>12.0</v>
      </c>
    </row>
    <row r="2361">
      <c r="A2361" s="15">
        <v>10.0</v>
      </c>
      <c r="B2361" s="16" t="s">
        <v>7675</v>
      </c>
      <c r="C2361" s="17" t="s">
        <v>7678</v>
      </c>
      <c r="D2361" s="18">
        <v>51.25</v>
      </c>
      <c r="E2361" s="18">
        <v>71.75</v>
      </c>
      <c r="F2361" s="18">
        <v>12.0</v>
      </c>
    </row>
    <row r="2362">
      <c r="A2362" s="15">
        <v>11.0</v>
      </c>
      <c r="B2362" s="16" t="s">
        <v>7675</v>
      </c>
      <c r="C2362" s="17" t="s">
        <v>7679</v>
      </c>
      <c r="D2362" s="18">
        <v>83.86</v>
      </c>
      <c r="E2362" s="18">
        <v>117.4</v>
      </c>
      <c r="F2362" s="18">
        <v>12.0</v>
      </c>
    </row>
    <row r="2363">
      <c r="A2363" s="15">
        <v>12.0</v>
      </c>
      <c r="B2363" s="16" t="s">
        <v>7680</v>
      </c>
      <c r="C2363" s="17" t="s">
        <v>5636</v>
      </c>
      <c r="D2363" s="18">
        <v>76.5</v>
      </c>
      <c r="E2363" s="18">
        <v>107.1</v>
      </c>
      <c r="F2363" s="18">
        <v>12.0</v>
      </c>
    </row>
    <row r="2364">
      <c r="A2364" s="15">
        <v>13.0</v>
      </c>
      <c r="B2364" s="16" t="s">
        <v>7681</v>
      </c>
      <c r="C2364" s="17" t="s">
        <v>6374</v>
      </c>
      <c r="D2364" s="18">
        <v>34.5</v>
      </c>
      <c r="E2364" s="18">
        <v>48.3</v>
      </c>
      <c r="F2364" s="18">
        <v>12.0</v>
      </c>
    </row>
    <row r="2365">
      <c r="A2365" s="15">
        <v>14.0</v>
      </c>
      <c r="B2365" s="16" t="s">
        <v>7682</v>
      </c>
      <c r="C2365" s="17" t="s">
        <v>7676</v>
      </c>
      <c r="D2365" s="18">
        <v>54.14</v>
      </c>
      <c r="E2365" s="18">
        <v>75.8</v>
      </c>
      <c r="F2365" s="18">
        <v>12.0</v>
      </c>
    </row>
    <row r="2366">
      <c r="A2366" s="15">
        <v>15.0</v>
      </c>
      <c r="B2366" s="16" t="s">
        <v>7682</v>
      </c>
      <c r="C2366" s="17" t="s">
        <v>7677</v>
      </c>
      <c r="D2366" s="18">
        <v>31.82</v>
      </c>
      <c r="E2366" s="18">
        <v>44.55</v>
      </c>
      <c r="F2366" s="18">
        <v>12.0</v>
      </c>
    </row>
    <row r="2367">
      <c r="A2367" s="15">
        <v>16.0</v>
      </c>
      <c r="B2367" s="16" t="s">
        <v>7682</v>
      </c>
      <c r="C2367" s="17" t="s">
        <v>7679</v>
      </c>
      <c r="D2367" s="18">
        <v>52.39</v>
      </c>
      <c r="E2367" s="18">
        <v>75.8</v>
      </c>
      <c r="F2367" s="18">
        <v>12.0</v>
      </c>
    </row>
    <row r="2368">
      <c r="A2368" s="15">
        <v>17.0</v>
      </c>
      <c r="B2368" s="16" t="s">
        <v>7683</v>
      </c>
      <c r="C2368" s="17" t="s">
        <v>7684</v>
      </c>
      <c r="D2368" s="18">
        <v>32.01</v>
      </c>
      <c r="E2368" s="18">
        <v>43.02</v>
      </c>
      <c r="F2368" s="18">
        <v>12.0</v>
      </c>
    </row>
    <row r="2369">
      <c r="A2369" s="15">
        <v>18.0</v>
      </c>
      <c r="B2369" s="16" t="s">
        <v>7683</v>
      </c>
      <c r="C2369" s="17" t="s">
        <v>7685</v>
      </c>
      <c r="D2369" s="18">
        <v>67.74</v>
      </c>
      <c r="E2369" s="18">
        <v>94.83</v>
      </c>
      <c r="F2369" s="18">
        <v>12.0</v>
      </c>
    </row>
    <row r="2370">
      <c r="A2370" s="15">
        <v>19.0</v>
      </c>
      <c r="B2370" s="16" t="s">
        <v>7686</v>
      </c>
      <c r="C2370" s="17" t="s">
        <v>5636</v>
      </c>
      <c r="D2370" s="18">
        <v>79.28</v>
      </c>
      <c r="E2370" s="18">
        <v>110.0</v>
      </c>
      <c r="F2370" s="18">
        <v>12.0</v>
      </c>
    </row>
    <row r="2371">
      <c r="A2371" s="15">
        <v>20.0</v>
      </c>
      <c r="B2371" s="16" t="s">
        <v>1893</v>
      </c>
      <c r="C2371" s="16" t="s">
        <v>5558</v>
      </c>
      <c r="D2371" s="18">
        <v>132.14</v>
      </c>
      <c r="E2371" s="18">
        <v>185.0</v>
      </c>
      <c r="F2371" s="18">
        <v>12.0</v>
      </c>
    </row>
    <row r="2372">
      <c r="A2372" s="15">
        <v>21.0</v>
      </c>
      <c r="B2372" s="16" t="s">
        <v>7687</v>
      </c>
      <c r="C2372" s="17" t="s">
        <v>6430</v>
      </c>
      <c r="D2372" s="18">
        <v>80.1</v>
      </c>
      <c r="E2372" s="18">
        <v>120.0</v>
      </c>
      <c r="F2372" s="18">
        <v>12.0</v>
      </c>
    </row>
    <row r="2373">
      <c r="A2373" s="15">
        <v>22.0</v>
      </c>
      <c r="B2373" s="16" t="s">
        <v>7687</v>
      </c>
      <c r="C2373" s="17" t="s">
        <v>7688</v>
      </c>
      <c r="D2373" s="18">
        <v>130.93</v>
      </c>
      <c r="E2373" s="18">
        <v>183.3</v>
      </c>
      <c r="F2373" s="18">
        <v>12.0</v>
      </c>
    </row>
    <row r="2374">
      <c r="A2374" s="15">
        <v>23.0</v>
      </c>
      <c r="B2374" s="16" t="s">
        <v>7687</v>
      </c>
      <c r="C2374" s="17" t="s">
        <v>6432</v>
      </c>
      <c r="D2374" s="18">
        <v>102.14</v>
      </c>
      <c r="E2374" s="18">
        <v>143.0</v>
      </c>
      <c r="F2374" s="18">
        <v>12.0</v>
      </c>
    </row>
    <row r="2375">
      <c r="A2375" s="15">
        <v>24.0</v>
      </c>
      <c r="B2375" s="16" t="s">
        <v>7689</v>
      </c>
      <c r="C2375" s="17" t="s">
        <v>6432</v>
      </c>
      <c r="D2375" s="18">
        <v>180.71</v>
      </c>
      <c r="E2375" s="18">
        <v>253.0</v>
      </c>
      <c r="F2375" s="18">
        <v>12.0</v>
      </c>
    </row>
    <row r="2376">
      <c r="A2376" s="15">
        <v>25.0</v>
      </c>
      <c r="B2376" s="16" t="s">
        <v>7690</v>
      </c>
      <c r="C2376" s="17" t="s">
        <v>6430</v>
      </c>
      <c r="D2376" s="18">
        <v>58.57</v>
      </c>
      <c r="E2376" s="18">
        <v>82.0</v>
      </c>
      <c r="F2376" s="18">
        <v>12.0</v>
      </c>
    </row>
    <row r="2377">
      <c r="A2377" s="15">
        <v>26.0</v>
      </c>
      <c r="B2377" s="16" t="s">
        <v>7690</v>
      </c>
      <c r="C2377" s="17" t="s">
        <v>7691</v>
      </c>
      <c r="D2377" s="18">
        <v>89.29</v>
      </c>
      <c r="E2377" s="18">
        <v>125.0</v>
      </c>
      <c r="F2377" s="18">
        <v>12.0</v>
      </c>
    </row>
    <row r="2378">
      <c r="A2378" s="15">
        <v>27.0</v>
      </c>
      <c r="B2378" s="16" t="s">
        <v>7690</v>
      </c>
      <c r="C2378" s="17" t="s">
        <v>6432</v>
      </c>
      <c r="D2378" s="18">
        <v>58.93</v>
      </c>
      <c r="E2378" s="18">
        <v>82.5</v>
      </c>
      <c r="F2378" s="18">
        <v>12.0</v>
      </c>
    </row>
    <row r="2379">
      <c r="A2379" s="15">
        <v>28.0</v>
      </c>
      <c r="B2379" s="16" t="s">
        <v>7692</v>
      </c>
      <c r="C2379" s="16" t="s">
        <v>7306</v>
      </c>
      <c r="D2379" s="18">
        <v>46.36</v>
      </c>
      <c r="E2379" s="18">
        <v>64.9</v>
      </c>
      <c r="F2379" s="18">
        <v>12.0</v>
      </c>
    </row>
    <row r="2380">
      <c r="A2380" s="15">
        <v>29.0</v>
      </c>
      <c r="B2380" s="16" t="s">
        <v>7693</v>
      </c>
      <c r="C2380" s="17" t="s">
        <v>5588</v>
      </c>
      <c r="D2380" s="18">
        <v>100.93</v>
      </c>
      <c r="E2380" s="18">
        <v>141.3</v>
      </c>
      <c r="F2380" s="18">
        <v>12.0</v>
      </c>
    </row>
    <row r="2381">
      <c r="A2381" s="15">
        <v>30.0</v>
      </c>
      <c r="B2381" s="16" t="s">
        <v>7694</v>
      </c>
      <c r="C2381" s="17" t="s">
        <v>5536</v>
      </c>
      <c r="D2381" s="18">
        <v>70.71</v>
      </c>
      <c r="E2381" s="18">
        <v>82.0</v>
      </c>
      <c r="F2381" s="18">
        <v>12.0</v>
      </c>
    </row>
    <row r="2382">
      <c r="A2382" s="15">
        <v>31.0</v>
      </c>
      <c r="B2382" s="16" t="s">
        <v>7695</v>
      </c>
      <c r="C2382" s="17" t="s">
        <v>5536</v>
      </c>
      <c r="D2382" s="18">
        <v>108.57</v>
      </c>
      <c r="E2382" s="18">
        <v>152.0</v>
      </c>
      <c r="F2382" s="18">
        <v>12.0</v>
      </c>
    </row>
    <row r="2383">
      <c r="A2383" s="15">
        <v>32.0</v>
      </c>
      <c r="B2383" s="16" t="s">
        <v>1905</v>
      </c>
      <c r="C2383" s="16" t="s">
        <v>5558</v>
      </c>
      <c r="D2383" s="18">
        <v>64.64</v>
      </c>
      <c r="E2383" s="18">
        <v>90.5</v>
      </c>
      <c r="F2383" s="18">
        <v>12.0</v>
      </c>
    </row>
    <row r="2384">
      <c r="A2384" s="15">
        <v>33.0</v>
      </c>
      <c r="B2384" s="16" t="s">
        <v>7696</v>
      </c>
      <c r="C2384" s="17" t="s">
        <v>5969</v>
      </c>
      <c r="D2384" s="18">
        <v>228.57</v>
      </c>
      <c r="E2384" s="18">
        <v>309.0</v>
      </c>
      <c r="F2384" s="18">
        <v>12.0</v>
      </c>
    </row>
    <row r="2385">
      <c r="A2385" s="15">
        <v>34.0</v>
      </c>
      <c r="B2385" s="16" t="s">
        <v>7696</v>
      </c>
      <c r="C2385" s="17" t="s">
        <v>5636</v>
      </c>
      <c r="D2385" s="18">
        <v>261.43</v>
      </c>
      <c r="E2385" s="18">
        <v>366.0</v>
      </c>
      <c r="F2385" s="18">
        <v>12.0</v>
      </c>
    </row>
    <row r="2386">
      <c r="A2386" s="6"/>
      <c r="B2386" s="7"/>
      <c r="C2386" s="7"/>
      <c r="D2386" s="7"/>
      <c r="E2386" s="7"/>
      <c r="F2386" s="8"/>
    </row>
    <row r="2387">
      <c r="A2387" s="9" t="s">
        <v>7697</v>
      </c>
      <c r="B2387" s="10"/>
      <c r="C2387" s="10"/>
      <c r="D2387" s="10"/>
      <c r="E2387" s="10"/>
      <c r="F2387" s="10"/>
    </row>
    <row r="2388">
      <c r="A2388" s="11">
        <v>1.0</v>
      </c>
      <c r="B2388" s="12" t="s">
        <v>7698</v>
      </c>
      <c r="C2388" s="13" t="s">
        <v>5636</v>
      </c>
      <c r="D2388" s="14">
        <v>20.57</v>
      </c>
      <c r="E2388" s="14">
        <v>28.8</v>
      </c>
      <c r="F2388" s="14">
        <v>12.0</v>
      </c>
    </row>
    <row r="2389">
      <c r="A2389" s="15">
        <v>2.0</v>
      </c>
      <c r="B2389" s="16" t="s">
        <v>1910</v>
      </c>
      <c r="C2389" s="16" t="s">
        <v>5558</v>
      </c>
      <c r="D2389" s="18">
        <v>59.29</v>
      </c>
      <c r="E2389" s="18">
        <v>83.0</v>
      </c>
      <c r="F2389" s="18">
        <v>12.0</v>
      </c>
    </row>
    <row r="2390">
      <c r="A2390" s="15">
        <v>3.0</v>
      </c>
      <c r="B2390" s="16" t="s">
        <v>7699</v>
      </c>
      <c r="C2390" s="16" t="s">
        <v>6854</v>
      </c>
      <c r="D2390" s="18">
        <v>24.86</v>
      </c>
      <c r="E2390" s="18">
        <v>34.8</v>
      </c>
      <c r="F2390" s="18">
        <v>12.0</v>
      </c>
    </row>
    <row r="2391">
      <c r="A2391" s="15">
        <v>4.0</v>
      </c>
      <c r="B2391" s="16" t="s">
        <v>7700</v>
      </c>
      <c r="C2391" s="17" t="s">
        <v>7672</v>
      </c>
      <c r="D2391" s="18">
        <v>41.61</v>
      </c>
      <c r="E2391" s="18">
        <v>58.25</v>
      </c>
      <c r="F2391" s="18">
        <v>12.0</v>
      </c>
    </row>
    <row r="2392">
      <c r="A2392" s="15">
        <v>5.0</v>
      </c>
      <c r="B2392" s="16" t="s">
        <v>7700</v>
      </c>
      <c r="C2392" s="17" t="s">
        <v>5636</v>
      </c>
      <c r="D2392" s="18">
        <v>36.32</v>
      </c>
      <c r="E2392" s="18">
        <v>50.85</v>
      </c>
      <c r="F2392" s="18">
        <v>12.0</v>
      </c>
    </row>
    <row r="2393">
      <c r="A2393" s="15">
        <v>6.0</v>
      </c>
      <c r="B2393" s="16" t="s">
        <v>7701</v>
      </c>
      <c r="C2393" s="17" t="s">
        <v>5536</v>
      </c>
      <c r="D2393" s="18">
        <v>19.64</v>
      </c>
      <c r="E2393" s="18">
        <v>27.5</v>
      </c>
      <c r="F2393" s="18">
        <v>12.0</v>
      </c>
    </row>
    <row r="2394">
      <c r="A2394" s="15">
        <v>7.0</v>
      </c>
      <c r="B2394" s="16" t="s">
        <v>7702</v>
      </c>
      <c r="C2394" s="17" t="s">
        <v>5636</v>
      </c>
      <c r="D2394" s="18">
        <v>53.57</v>
      </c>
      <c r="E2394" s="18">
        <v>75.0</v>
      </c>
      <c r="F2394" s="18">
        <v>12.0</v>
      </c>
    </row>
    <row r="2395">
      <c r="A2395" s="15">
        <v>8.0</v>
      </c>
      <c r="B2395" s="16" t="s">
        <v>7703</v>
      </c>
      <c r="C2395" s="17" t="s">
        <v>5636</v>
      </c>
      <c r="D2395" s="18">
        <v>32.82</v>
      </c>
      <c r="E2395" s="18">
        <v>45.95</v>
      </c>
      <c r="F2395" s="18">
        <v>12.0</v>
      </c>
    </row>
    <row r="2396">
      <c r="A2396" s="15">
        <v>9.0</v>
      </c>
      <c r="B2396" s="16" t="s">
        <v>7704</v>
      </c>
      <c r="C2396" s="17" t="s">
        <v>7705</v>
      </c>
      <c r="D2396" s="18">
        <v>76.82</v>
      </c>
      <c r="E2396" s="18">
        <v>119.5</v>
      </c>
      <c r="F2396" s="18">
        <v>12.0</v>
      </c>
    </row>
    <row r="2397">
      <c r="A2397" s="15">
        <v>10.0</v>
      </c>
      <c r="B2397" s="16" t="s">
        <v>7706</v>
      </c>
      <c r="C2397" s="17" t="s">
        <v>5636</v>
      </c>
      <c r="D2397" s="18">
        <v>24.54</v>
      </c>
      <c r="E2397" s="18">
        <v>34.35</v>
      </c>
      <c r="F2397" s="18">
        <v>12.0</v>
      </c>
    </row>
    <row r="2398">
      <c r="A2398" s="15">
        <v>11.0</v>
      </c>
      <c r="B2398" s="16" t="s">
        <v>7707</v>
      </c>
      <c r="C2398" s="17" t="s">
        <v>7708</v>
      </c>
      <c r="D2398" s="18">
        <v>78.81</v>
      </c>
      <c r="E2398" s="18">
        <v>110.33</v>
      </c>
      <c r="F2398" s="18">
        <v>12.0</v>
      </c>
    </row>
    <row r="2399">
      <c r="A2399" s="15">
        <v>12.0</v>
      </c>
      <c r="B2399" s="16" t="s">
        <v>7709</v>
      </c>
      <c r="C2399" s="17" t="s">
        <v>7710</v>
      </c>
      <c r="D2399" s="18">
        <v>57.48</v>
      </c>
      <c r="E2399" s="18">
        <v>79.75</v>
      </c>
      <c r="F2399" s="18">
        <v>12.0</v>
      </c>
    </row>
    <row r="2400">
      <c r="A2400" s="15">
        <v>13.0</v>
      </c>
      <c r="B2400" s="16" t="s">
        <v>7711</v>
      </c>
      <c r="C2400" s="17" t="s">
        <v>5788</v>
      </c>
      <c r="D2400" s="18">
        <v>72.68</v>
      </c>
      <c r="E2400" s="18">
        <v>101.75</v>
      </c>
      <c r="F2400" s="18">
        <v>12.0</v>
      </c>
    </row>
    <row r="2401">
      <c r="A2401" s="15">
        <v>14.0</v>
      </c>
      <c r="B2401" s="16" t="s">
        <v>7712</v>
      </c>
      <c r="C2401" s="17" t="s">
        <v>5636</v>
      </c>
      <c r="D2401" s="18">
        <v>66.07</v>
      </c>
      <c r="E2401" s="18">
        <v>92.5</v>
      </c>
      <c r="F2401" s="18">
        <v>12.0</v>
      </c>
    </row>
    <row r="2402">
      <c r="A2402" s="15">
        <v>15.0</v>
      </c>
      <c r="B2402" s="16" t="s">
        <v>7713</v>
      </c>
      <c r="C2402" s="17" t="s">
        <v>6626</v>
      </c>
      <c r="D2402" s="18">
        <v>70.71</v>
      </c>
      <c r="E2402" s="18">
        <v>99.0</v>
      </c>
      <c r="F2402" s="18">
        <v>12.0</v>
      </c>
    </row>
    <row r="2403">
      <c r="A2403" s="15">
        <v>16.0</v>
      </c>
      <c r="B2403" s="16" t="s">
        <v>7714</v>
      </c>
      <c r="C2403" s="17" t="s">
        <v>6626</v>
      </c>
      <c r="D2403" s="18">
        <v>9.84</v>
      </c>
      <c r="E2403" s="18">
        <v>13.75</v>
      </c>
      <c r="F2403" s="18">
        <v>12.0</v>
      </c>
    </row>
    <row r="2404">
      <c r="A2404" s="15">
        <v>17.0</v>
      </c>
      <c r="B2404" s="16" t="s">
        <v>7715</v>
      </c>
      <c r="C2404" s="17" t="s">
        <v>5859</v>
      </c>
      <c r="D2404" s="18">
        <v>65.5</v>
      </c>
      <c r="E2404" s="18">
        <v>87.25</v>
      </c>
      <c r="F2404" s="18">
        <v>12.0</v>
      </c>
    </row>
    <row r="2405">
      <c r="A2405" s="15">
        <v>18.0</v>
      </c>
      <c r="B2405" s="16" t="s">
        <v>7716</v>
      </c>
      <c r="C2405" s="17" t="s">
        <v>7717</v>
      </c>
      <c r="D2405" s="18">
        <v>31.5</v>
      </c>
      <c r="E2405" s="18">
        <v>43.25</v>
      </c>
      <c r="F2405" s="18">
        <v>12.0</v>
      </c>
    </row>
    <row r="2406">
      <c r="A2406" s="15">
        <v>19.0</v>
      </c>
      <c r="B2406" s="16" t="s">
        <v>7716</v>
      </c>
      <c r="C2406" s="17" t="s">
        <v>7718</v>
      </c>
      <c r="D2406" s="18">
        <v>52.79</v>
      </c>
      <c r="E2406" s="18">
        <v>72.5</v>
      </c>
      <c r="F2406" s="18">
        <v>12.0</v>
      </c>
    </row>
    <row r="2407">
      <c r="A2407" s="15">
        <v>20.0</v>
      </c>
      <c r="B2407" s="16" t="s">
        <v>7719</v>
      </c>
      <c r="C2407" s="17" t="s">
        <v>5847</v>
      </c>
      <c r="D2407" s="18">
        <v>72.09</v>
      </c>
      <c r="E2407" s="18">
        <v>99.0</v>
      </c>
      <c r="F2407" s="18">
        <v>12.0</v>
      </c>
    </row>
    <row r="2408">
      <c r="A2408" s="15">
        <v>21.0</v>
      </c>
      <c r="B2408" s="16" t="s">
        <v>7720</v>
      </c>
      <c r="C2408" s="17" t="s">
        <v>6481</v>
      </c>
      <c r="D2408" s="18">
        <v>64.29</v>
      </c>
      <c r="E2408" s="18">
        <v>90.0</v>
      </c>
      <c r="F2408" s="18">
        <v>12.0</v>
      </c>
    </row>
    <row r="2409">
      <c r="A2409" s="15">
        <v>22.0</v>
      </c>
      <c r="B2409" s="16" t="s">
        <v>7721</v>
      </c>
      <c r="C2409" s="17" t="s">
        <v>7722</v>
      </c>
      <c r="D2409" s="18">
        <v>10.27</v>
      </c>
      <c r="E2409" s="18">
        <v>14.38</v>
      </c>
      <c r="F2409" s="18">
        <v>12.0</v>
      </c>
    </row>
    <row r="2410">
      <c r="A2410" s="15">
        <v>23.0</v>
      </c>
      <c r="B2410" s="16" t="s">
        <v>7720</v>
      </c>
      <c r="C2410" s="17" t="s">
        <v>6803</v>
      </c>
      <c r="D2410" s="18">
        <v>21.02</v>
      </c>
      <c r="E2410" s="18">
        <v>31.0</v>
      </c>
      <c r="F2410" s="18">
        <v>18.0</v>
      </c>
    </row>
    <row r="2411">
      <c r="A2411" s="6"/>
      <c r="B2411" s="7"/>
      <c r="C2411" s="7"/>
      <c r="D2411" s="7"/>
      <c r="E2411" s="8"/>
      <c r="F2411" s="16" t="s">
        <v>7723</v>
      </c>
    </row>
    <row r="2412">
      <c r="A2412" s="6"/>
      <c r="B2412" s="7"/>
      <c r="C2412" s="7"/>
      <c r="D2412" s="7"/>
      <c r="E2412" s="7"/>
      <c r="F2412" s="8"/>
    </row>
    <row r="2413">
      <c r="A2413" s="6"/>
      <c r="B2413" s="7"/>
      <c r="C2413" s="7"/>
      <c r="D2413" s="7"/>
      <c r="E2413" s="7"/>
      <c r="F2413" s="8"/>
    </row>
    <row r="2414">
      <c r="A2414" s="6"/>
      <c r="B2414" s="7"/>
      <c r="C2414" s="7"/>
      <c r="D2414" s="7"/>
      <c r="E2414" s="7"/>
      <c r="F2414" s="8"/>
    </row>
    <row r="2415">
      <c r="A2415" s="6"/>
      <c r="B2415" s="7"/>
      <c r="C2415" s="7"/>
      <c r="D2415" s="7"/>
      <c r="E2415" s="7"/>
      <c r="F2415" s="8"/>
    </row>
    <row r="2416">
      <c r="A2416" s="9" t="s">
        <v>5582</v>
      </c>
      <c r="B2416" s="10"/>
      <c r="C2416" s="10"/>
      <c r="D2416" s="10"/>
      <c r="E2416" s="10"/>
      <c r="F2416" s="10"/>
    </row>
    <row r="2417">
      <c r="A2417" s="19" t="s">
        <v>5583</v>
      </c>
    </row>
    <row r="2418">
      <c r="A2418" s="6"/>
      <c r="B2418" s="7"/>
      <c r="C2418" s="7"/>
      <c r="D2418" s="8"/>
      <c r="E2418" s="12" t="s">
        <v>5584</v>
      </c>
      <c r="F2418" s="12" t="s">
        <v>7724</v>
      </c>
    </row>
    <row r="2419">
      <c r="A2419" s="20" t="s">
        <v>5522</v>
      </c>
      <c r="B2419" s="16" t="s">
        <v>5523</v>
      </c>
      <c r="C2419" s="16" t="s">
        <v>5524</v>
      </c>
      <c r="D2419" s="16" t="s">
        <v>5525</v>
      </c>
      <c r="E2419" s="16" t="s">
        <v>5526</v>
      </c>
      <c r="F2419" s="16" t="s">
        <v>5586</v>
      </c>
    </row>
    <row r="2420">
      <c r="A2420" s="15">
        <v>24.0</v>
      </c>
      <c r="B2420" s="16" t="s">
        <v>7725</v>
      </c>
      <c r="C2420" s="17" t="s">
        <v>5562</v>
      </c>
      <c r="D2420" s="18">
        <v>98.3</v>
      </c>
      <c r="E2420" s="18">
        <v>145.0</v>
      </c>
      <c r="F2420" s="18">
        <v>18.0</v>
      </c>
    </row>
    <row r="2421">
      <c r="A2421" s="15">
        <v>25.0</v>
      </c>
      <c r="B2421" s="16" t="s">
        <v>7720</v>
      </c>
      <c r="C2421" s="17" t="s">
        <v>7726</v>
      </c>
      <c r="D2421" s="18">
        <v>51.79</v>
      </c>
      <c r="E2421" s="18">
        <v>72.5</v>
      </c>
      <c r="F2421" s="18">
        <v>12.0</v>
      </c>
    </row>
    <row r="2422">
      <c r="A2422" s="15">
        <v>26.0</v>
      </c>
      <c r="B2422" s="16" t="s">
        <v>7727</v>
      </c>
      <c r="C2422" s="17" t="s">
        <v>7481</v>
      </c>
      <c r="D2422" s="18">
        <v>217.71</v>
      </c>
      <c r="E2422" s="18">
        <v>299.0</v>
      </c>
      <c r="F2422" s="18">
        <v>12.0</v>
      </c>
    </row>
    <row r="2423">
      <c r="A2423" s="15">
        <v>27.0</v>
      </c>
      <c r="B2423" s="16" t="s">
        <v>7720</v>
      </c>
      <c r="C2423" s="17" t="s">
        <v>7728</v>
      </c>
      <c r="D2423" s="18">
        <v>87.86</v>
      </c>
      <c r="E2423" s="18">
        <v>123.0</v>
      </c>
      <c r="F2423" s="18">
        <v>12.0</v>
      </c>
    </row>
    <row r="2424">
      <c r="A2424" s="15">
        <v>28.0</v>
      </c>
      <c r="B2424" s="16" t="s">
        <v>7729</v>
      </c>
      <c r="C2424" s="17" t="s">
        <v>5536</v>
      </c>
      <c r="D2424" s="18">
        <v>31.21</v>
      </c>
      <c r="E2424" s="18">
        <v>43.7</v>
      </c>
      <c r="F2424" s="18">
        <v>12.0</v>
      </c>
    </row>
    <row r="2425">
      <c r="A2425" s="15">
        <v>29.0</v>
      </c>
      <c r="B2425" s="16" t="s">
        <v>7730</v>
      </c>
      <c r="C2425" s="17" t="s">
        <v>5562</v>
      </c>
      <c r="D2425" s="18">
        <v>61.54</v>
      </c>
      <c r="E2425" s="18">
        <v>86.15</v>
      </c>
      <c r="F2425" s="18">
        <v>12.0</v>
      </c>
    </row>
    <row r="2426">
      <c r="A2426" s="15">
        <v>30.0</v>
      </c>
      <c r="B2426" s="16" t="s">
        <v>7731</v>
      </c>
      <c r="C2426" s="17" t="s">
        <v>6902</v>
      </c>
      <c r="D2426" s="18">
        <v>98.14</v>
      </c>
      <c r="E2426" s="18">
        <v>137.4</v>
      </c>
      <c r="F2426" s="18">
        <v>12.0</v>
      </c>
    </row>
    <row r="2427">
      <c r="A2427" s="15">
        <v>31.0</v>
      </c>
      <c r="B2427" s="16" t="s">
        <v>7731</v>
      </c>
      <c r="C2427" s="17" t="s">
        <v>6432</v>
      </c>
      <c r="D2427" s="18">
        <v>82.86</v>
      </c>
      <c r="E2427" s="18">
        <v>116.0</v>
      </c>
      <c r="F2427" s="18">
        <v>12.0</v>
      </c>
    </row>
    <row r="2428">
      <c r="A2428" s="15">
        <v>32.0</v>
      </c>
      <c r="B2428" s="16" t="s">
        <v>7732</v>
      </c>
      <c r="C2428" s="17" t="s">
        <v>5536</v>
      </c>
      <c r="D2428" s="18">
        <v>107.14</v>
      </c>
      <c r="E2428" s="18">
        <v>143.0</v>
      </c>
      <c r="F2428" s="18">
        <v>12.0</v>
      </c>
    </row>
    <row r="2429">
      <c r="A2429" s="15">
        <v>33.0</v>
      </c>
      <c r="B2429" s="16" t="s">
        <v>7733</v>
      </c>
      <c r="C2429" s="17" t="s">
        <v>5671</v>
      </c>
      <c r="D2429" s="18">
        <v>41.14</v>
      </c>
      <c r="E2429" s="18">
        <v>56.5</v>
      </c>
      <c r="F2429" s="18">
        <v>12.0</v>
      </c>
    </row>
    <row r="2430">
      <c r="A2430" s="15">
        <v>34.0</v>
      </c>
      <c r="B2430" s="16" t="s">
        <v>7733</v>
      </c>
      <c r="C2430" s="17" t="s">
        <v>5645</v>
      </c>
      <c r="D2430" s="18">
        <v>53.57</v>
      </c>
      <c r="E2430" s="18">
        <v>75.0</v>
      </c>
      <c r="F2430" s="18">
        <v>12.0</v>
      </c>
    </row>
    <row r="2431">
      <c r="A2431" s="15">
        <v>35.0</v>
      </c>
      <c r="B2431" s="16" t="s">
        <v>7734</v>
      </c>
      <c r="C2431" s="17" t="s">
        <v>6127</v>
      </c>
      <c r="D2431" s="18">
        <v>204.6</v>
      </c>
      <c r="E2431" s="18">
        <v>281.0</v>
      </c>
      <c r="F2431" s="18">
        <v>12.0</v>
      </c>
    </row>
    <row r="2432">
      <c r="A2432" s="15">
        <v>36.0</v>
      </c>
      <c r="B2432" s="16" t="s">
        <v>7735</v>
      </c>
      <c r="C2432" s="17" t="s">
        <v>7677</v>
      </c>
      <c r="D2432" s="18">
        <v>24.54</v>
      </c>
      <c r="E2432" s="18">
        <v>34.36</v>
      </c>
      <c r="F2432" s="18">
        <v>12.0</v>
      </c>
    </row>
    <row r="2433">
      <c r="A2433" s="15">
        <v>37.0</v>
      </c>
      <c r="B2433" s="16" t="s">
        <v>7736</v>
      </c>
      <c r="C2433" s="17" t="s">
        <v>5636</v>
      </c>
      <c r="D2433" s="18">
        <v>45.71</v>
      </c>
      <c r="E2433" s="18">
        <v>64.0</v>
      </c>
      <c r="F2433" s="18">
        <v>12.0</v>
      </c>
    </row>
    <row r="2434">
      <c r="A2434" s="15">
        <v>38.0</v>
      </c>
      <c r="B2434" s="16" t="s">
        <v>7737</v>
      </c>
      <c r="C2434" s="17" t="s">
        <v>5636</v>
      </c>
      <c r="D2434" s="18">
        <v>79.75</v>
      </c>
      <c r="E2434" s="18">
        <v>111.65</v>
      </c>
      <c r="F2434" s="18">
        <v>12.0</v>
      </c>
    </row>
    <row r="2435">
      <c r="A2435" s="15">
        <v>39.0</v>
      </c>
      <c r="B2435" s="16" t="s">
        <v>7738</v>
      </c>
      <c r="C2435" s="17" t="s">
        <v>5747</v>
      </c>
      <c r="D2435" s="18">
        <v>36.36</v>
      </c>
      <c r="E2435" s="18">
        <v>50.9</v>
      </c>
      <c r="F2435" s="18">
        <v>12.0</v>
      </c>
    </row>
    <row r="2436">
      <c r="A2436" s="15">
        <v>40.0</v>
      </c>
      <c r="B2436" s="16" t="s">
        <v>7739</v>
      </c>
      <c r="C2436" s="16" t="s">
        <v>6411</v>
      </c>
      <c r="D2436" s="18">
        <v>60.96</v>
      </c>
      <c r="E2436" s="18">
        <v>84.6</v>
      </c>
      <c r="F2436" s="18">
        <v>12.0</v>
      </c>
    </row>
    <row r="2437">
      <c r="A2437" s="15">
        <v>41.0</v>
      </c>
      <c r="B2437" s="16" t="s">
        <v>7740</v>
      </c>
      <c r="C2437" s="17" t="s">
        <v>6604</v>
      </c>
      <c r="D2437" s="18">
        <v>17.82</v>
      </c>
      <c r="E2437" s="18">
        <v>24.95</v>
      </c>
      <c r="F2437" s="18">
        <v>12.0</v>
      </c>
    </row>
    <row r="2438">
      <c r="A2438" s="15">
        <v>42.0</v>
      </c>
      <c r="B2438" s="16" t="s">
        <v>7741</v>
      </c>
      <c r="C2438" s="17" t="s">
        <v>6626</v>
      </c>
      <c r="D2438" s="18">
        <v>8.11</v>
      </c>
      <c r="E2438" s="18">
        <v>11.35</v>
      </c>
      <c r="F2438" s="18">
        <v>12.0</v>
      </c>
    </row>
    <row r="2439">
      <c r="A2439" s="6"/>
      <c r="B2439" s="7"/>
      <c r="C2439" s="7"/>
      <c r="D2439" s="7"/>
      <c r="E2439" s="7"/>
      <c r="F2439" s="8"/>
    </row>
    <row r="2440">
      <c r="A2440" s="9" t="s">
        <v>7742</v>
      </c>
      <c r="B2440" s="10"/>
      <c r="C2440" s="10"/>
      <c r="D2440" s="10"/>
      <c r="E2440" s="10"/>
      <c r="F2440" s="10"/>
    </row>
    <row r="2441">
      <c r="A2441" s="11">
        <v>1.0</v>
      </c>
      <c r="B2441" s="12" t="s">
        <v>7743</v>
      </c>
      <c r="C2441" s="13" t="s">
        <v>5636</v>
      </c>
      <c r="D2441" s="14">
        <v>108.57</v>
      </c>
      <c r="E2441" s="14">
        <v>142.5</v>
      </c>
      <c r="F2441" s="14">
        <v>5.0</v>
      </c>
    </row>
    <row r="2442">
      <c r="A2442" s="15">
        <v>2.0</v>
      </c>
      <c r="B2442" s="16" t="s">
        <v>1953</v>
      </c>
      <c r="C2442" s="16" t="s">
        <v>6855</v>
      </c>
      <c r="D2442" s="18">
        <v>84.86</v>
      </c>
      <c r="E2442" s="18">
        <v>118.8</v>
      </c>
      <c r="F2442" s="18">
        <v>12.0</v>
      </c>
    </row>
    <row r="2443">
      <c r="A2443" s="15">
        <v>3.0</v>
      </c>
      <c r="B2443" s="16" t="s">
        <v>7744</v>
      </c>
      <c r="C2443" s="17" t="s">
        <v>7745</v>
      </c>
      <c r="D2443" s="18">
        <v>20.34</v>
      </c>
      <c r="E2443" s="18">
        <v>30.0</v>
      </c>
      <c r="F2443" s="18">
        <v>18.0</v>
      </c>
    </row>
    <row r="2444">
      <c r="A2444" s="15">
        <v>4.0</v>
      </c>
      <c r="B2444" s="16" t="s">
        <v>7744</v>
      </c>
      <c r="C2444" s="17" t="s">
        <v>7746</v>
      </c>
      <c r="D2444" s="18">
        <v>20.34</v>
      </c>
      <c r="E2444" s="18">
        <v>30.0</v>
      </c>
      <c r="F2444" s="18">
        <v>18.0</v>
      </c>
    </row>
    <row r="2445">
      <c r="A2445" s="15">
        <v>5.0</v>
      </c>
      <c r="B2445" s="16" t="s">
        <v>7744</v>
      </c>
      <c r="C2445" s="17" t="s">
        <v>7747</v>
      </c>
      <c r="D2445" s="18">
        <v>20.34</v>
      </c>
      <c r="E2445" s="18">
        <v>30.0</v>
      </c>
      <c r="F2445" s="18">
        <v>18.0</v>
      </c>
    </row>
    <row r="2446">
      <c r="A2446" s="15">
        <v>6.0</v>
      </c>
      <c r="B2446" s="16" t="s">
        <v>7744</v>
      </c>
      <c r="C2446" s="17" t="s">
        <v>7748</v>
      </c>
      <c r="D2446" s="18">
        <v>33.9</v>
      </c>
      <c r="E2446" s="18">
        <v>50.0</v>
      </c>
      <c r="F2446" s="18">
        <v>18.0</v>
      </c>
    </row>
    <row r="2447">
      <c r="A2447" s="15">
        <v>7.0</v>
      </c>
      <c r="B2447" s="16" t="s">
        <v>7744</v>
      </c>
      <c r="C2447" s="17" t="s">
        <v>7749</v>
      </c>
      <c r="D2447" s="18">
        <v>20.34</v>
      </c>
      <c r="E2447" s="18">
        <v>30.0</v>
      </c>
      <c r="F2447" s="18">
        <v>18.0</v>
      </c>
    </row>
    <row r="2448">
      <c r="A2448" s="15">
        <v>8.0</v>
      </c>
      <c r="B2448" s="16" t="s">
        <v>7750</v>
      </c>
      <c r="C2448" s="17" t="s">
        <v>7494</v>
      </c>
      <c r="D2448" s="18">
        <v>162.71</v>
      </c>
      <c r="E2448" s="18">
        <v>240.0</v>
      </c>
      <c r="F2448" s="18">
        <v>18.0</v>
      </c>
    </row>
    <row r="2449">
      <c r="A2449" s="15">
        <v>9.0</v>
      </c>
      <c r="B2449" s="16" t="s">
        <v>7751</v>
      </c>
      <c r="C2449" s="17" t="s">
        <v>6596</v>
      </c>
      <c r="D2449" s="18">
        <v>26.22</v>
      </c>
      <c r="E2449" s="18">
        <v>36.0</v>
      </c>
      <c r="F2449" s="18">
        <v>12.0</v>
      </c>
    </row>
    <row r="2450">
      <c r="A2450" s="15">
        <v>10.0</v>
      </c>
      <c r="B2450" s="16" t="s">
        <v>7752</v>
      </c>
      <c r="C2450" s="17" t="s">
        <v>7753</v>
      </c>
      <c r="D2450" s="18">
        <v>39.29</v>
      </c>
      <c r="E2450" s="18">
        <v>55.0</v>
      </c>
      <c r="F2450" s="18">
        <v>12.0</v>
      </c>
    </row>
    <row r="2451">
      <c r="A2451" s="15">
        <v>11.0</v>
      </c>
      <c r="B2451" s="16" t="s">
        <v>1962</v>
      </c>
      <c r="C2451" s="16" t="s">
        <v>5558</v>
      </c>
      <c r="D2451" s="18">
        <v>148.57</v>
      </c>
      <c r="E2451" s="18">
        <v>195.0</v>
      </c>
      <c r="F2451" s="18">
        <v>5.0</v>
      </c>
    </row>
    <row r="2452">
      <c r="A2452" s="15">
        <v>12.0</v>
      </c>
      <c r="B2452" s="16" t="s">
        <v>7754</v>
      </c>
      <c r="C2452" s="17" t="s">
        <v>5536</v>
      </c>
      <c r="D2452" s="18">
        <v>55.71</v>
      </c>
      <c r="E2452" s="18">
        <v>78.0</v>
      </c>
      <c r="F2452" s="18">
        <v>12.0</v>
      </c>
    </row>
    <row r="2453">
      <c r="A2453" s="15">
        <v>13.0</v>
      </c>
      <c r="B2453" s="16" t="s">
        <v>7755</v>
      </c>
      <c r="C2453" s="17" t="s">
        <v>7756</v>
      </c>
      <c r="D2453" s="18">
        <v>46.2</v>
      </c>
      <c r="E2453" s="18">
        <v>57.0</v>
      </c>
      <c r="F2453" s="18">
        <v>5.0</v>
      </c>
    </row>
    <row r="2454">
      <c r="A2454" s="15">
        <v>14.0</v>
      </c>
      <c r="B2454" s="16" t="s">
        <v>7757</v>
      </c>
      <c r="C2454" s="17" t="s">
        <v>5636</v>
      </c>
      <c r="D2454" s="18">
        <v>61.27</v>
      </c>
      <c r="E2454" s="18">
        <v>85.0</v>
      </c>
      <c r="F2454" s="18">
        <v>12.0</v>
      </c>
    </row>
    <row r="2455">
      <c r="A2455" s="15">
        <v>15.0</v>
      </c>
      <c r="B2455" s="16" t="s">
        <v>7758</v>
      </c>
      <c r="C2455" s="17" t="s">
        <v>5536</v>
      </c>
      <c r="D2455" s="18">
        <v>23.12</v>
      </c>
      <c r="E2455" s="18">
        <v>30.8</v>
      </c>
      <c r="F2455" s="18">
        <v>12.0</v>
      </c>
    </row>
    <row r="2456">
      <c r="A2456" s="15">
        <v>16.0</v>
      </c>
      <c r="B2456" s="16" t="s">
        <v>7759</v>
      </c>
      <c r="C2456" s="17" t="s">
        <v>5671</v>
      </c>
      <c r="D2456" s="18">
        <v>54.62</v>
      </c>
      <c r="E2456" s="18">
        <v>75.0</v>
      </c>
      <c r="F2456" s="18">
        <v>12.0</v>
      </c>
    </row>
    <row r="2457">
      <c r="A2457" s="15">
        <v>17.0</v>
      </c>
      <c r="B2457" s="16" t="s">
        <v>7760</v>
      </c>
      <c r="C2457" s="17" t="s">
        <v>5636</v>
      </c>
      <c r="D2457" s="18">
        <v>117.86</v>
      </c>
      <c r="E2457" s="18">
        <v>165.0</v>
      </c>
      <c r="F2457" s="18">
        <v>12.0</v>
      </c>
    </row>
    <row r="2458">
      <c r="A2458" s="15">
        <v>18.0</v>
      </c>
      <c r="B2458" s="16" t="s">
        <v>7761</v>
      </c>
      <c r="C2458" s="17" t="s">
        <v>5636</v>
      </c>
      <c r="D2458" s="18">
        <v>227.86</v>
      </c>
      <c r="E2458" s="18">
        <v>319.0</v>
      </c>
      <c r="F2458" s="18">
        <v>12.0</v>
      </c>
    </row>
    <row r="2459">
      <c r="A2459" s="15">
        <v>19.0</v>
      </c>
      <c r="B2459" s="16" t="s">
        <v>7762</v>
      </c>
      <c r="C2459" s="17" t="s">
        <v>5762</v>
      </c>
      <c r="D2459" s="18">
        <v>121.43</v>
      </c>
      <c r="E2459" s="18">
        <v>170.0</v>
      </c>
      <c r="F2459" s="18">
        <v>12.0</v>
      </c>
    </row>
    <row r="2460">
      <c r="A2460" s="15">
        <v>20.0</v>
      </c>
      <c r="B2460" s="16" t="s">
        <v>7763</v>
      </c>
      <c r="C2460" s="17" t="s">
        <v>5762</v>
      </c>
      <c r="D2460" s="18">
        <v>210.71</v>
      </c>
      <c r="E2460" s="18">
        <v>295.0</v>
      </c>
      <c r="F2460" s="18">
        <v>12.0</v>
      </c>
    </row>
    <row r="2461">
      <c r="A2461" s="15">
        <v>21.0</v>
      </c>
      <c r="B2461" s="16" t="s">
        <v>7764</v>
      </c>
      <c r="C2461" s="16" t="s">
        <v>6854</v>
      </c>
      <c r="D2461" s="18">
        <v>111.43</v>
      </c>
      <c r="E2461" s="18">
        <v>156.0</v>
      </c>
      <c r="F2461" s="18">
        <v>12.0</v>
      </c>
    </row>
    <row r="2462">
      <c r="A2462" s="15">
        <v>22.0</v>
      </c>
      <c r="B2462" s="16" t="s">
        <v>7765</v>
      </c>
      <c r="C2462" s="17" t="s">
        <v>7766</v>
      </c>
      <c r="D2462" s="18">
        <v>25.43</v>
      </c>
      <c r="E2462" s="18">
        <v>35.6</v>
      </c>
      <c r="F2462" s="18">
        <v>12.0</v>
      </c>
    </row>
    <row r="2463">
      <c r="A2463" s="15">
        <v>23.0</v>
      </c>
      <c r="B2463" s="16" t="s">
        <v>7767</v>
      </c>
      <c r="C2463" s="17" t="s">
        <v>7768</v>
      </c>
      <c r="D2463" s="18">
        <v>18.5</v>
      </c>
      <c r="E2463" s="18">
        <v>25.9</v>
      </c>
      <c r="F2463" s="18">
        <v>12.0</v>
      </c>
    </row>
    <row r="2464">
      <c r="A2464" s="15">
        <v>24.0</v>
      </c>
      <c r="B2464" s="16" t="s">
        <v>7767</v>
      </c>
      <c r="C2464" s="17" t="s">
        <v>7036</v>
      </c>
      <c r="D2464" s="18">
        <v>28.26</v>
      </c>
      <c r="E2464" s="18">
        <v>39.57</v>
      </c>
      <c r="F2464" s="18">
        <v>12.0</v>
      </c>
    </row>
    <row r="2465">
      <c r="A2465" s="15">
        <v>25.0</v>
      </c>
      <c r="B2465" s="16" t="s">
        <v>7769</v>
      </c>
      <c r="C2465" s="17" t="s">
        <v>7768</v>
      </c>
      <c r="D2465" s="18">
        <v>29.93</v>
      </c>
      <c r="E2465" s="18">
        <v>41.9</v>
      </c>
      <c r="F2465" s="18">
        <v>12.0</v>
      </c>
    </row>
    <row r="2466">
      <c r="A2466" s="15">
        <v>26.0</v>
      </c>
      <c r="B2466" s="16" t="s">
        <v>7770</v>
      </c>
      <c r="C2466" s="17" t="s">
        <v>6749</v>
      </c>
      <c r="D2466" s="18">
        <v>24.45</v>
      </c>
      <c r="E2466" s="18">
        <v>31.74</v>
      </c>
      <c r="F2466" s="18">
        <v>12.0</v>
      </c>
    </row>
    <row r="2467">
      <c r="A2467" s="15">
        <v>27.0</v>
      </c>
      <c r="B2467" s="16" t="s">
        <v>7771</v>
      </c>
      <c r="C2467" s="17" t="s">
        <v>6659</v>
      </c>
      <c r="D2467" s="18">
        <v>34.25</v>
      </c>
      <c r="E2467" s="18">
        <v>47.95</v>
      </c>
      <c r="F2467" s="18">
        <v>12.0</v>
      </c>
    </row>
    <row r="2468">
      <c r="A2468" s="15">
        <v>28.0</v>
      </c>
      <c r="B2468" s="16" t="s">
        <v>7772</v>
      </c>
      <c r="C2468" s="17" t="s">
        <v>7202</v>
      </c>
      <c r="D2468" s="18">
        <v>82.14</v>
      </c>
      <c r="E2468" s="18">
        <v>115.0</v>
      </c>
      <c r="F2468" s="18">
        <v>12.0</v>
      </c>
    </row>
    <row r="2469">
      <c r="A2469" s="15">
        <v>29.0</v>
      </c>
      <c r="B2469" s="16" t="s">
        <v>7773</v>
      </c>
      <c r="C2469" s="17" t="s">
        <v>5731</v>
      </c>
      <c r="D2469" s="18">
        <v>34.14</v>
      </c>
      <c r="E2469" s="18">
        <v>47.8</v>
      </c>
      <c r="F2469" s="18">
        <v>12.0</v>
      </c>
    </row>
    <row r="2470">
      <c r="A2470" s="15">
        <v>30.0</v>
      </c>
      <c r="B2470" s="16" t="s">
        <v>7774</v>
      </c>
      <c r="C2470" s="17" t="s">
        <v>5727</v>
      </c>
      <c r="D2470" s="18">
        <v>70.71</v>
      </c>
      <c r="E2470" s="18">
        <v>99.0</v>
      </c>
      <c r="F2470" s="18">
        <v>12.0</v>
      </c>
    </row>
    <row r="2471">
      <c r="A2471" s="15">
        <v>31.0</v>
      </c>
      <c r="B2471" s="16" t="s">
        <v>7775</v>
      </c>
      <c r="C2471" s="17" t="s">
        <v>6002</v>
      </c>
      <c r="D2471" s="18">
        <v>165.0</v>
      </c>
      <c r="E2471" s="18">
        <v>231.0</v>
      </c>
      <c r="F2471" s="18">
        <v>12.0</v>
      </c>
    </row>
    <row r="2472">
      <c r="A2472" s="15">
        <v>32.0</v>
      </c>
      <c r="B2472" s="16" t="s">
        <v>7776</v>
      </c>
      <c r="C2472" s="17" t="s">
        <v>5742</v>
      </c>
      <c r="D2472" s="18">
        <v>160.71</v>
      </c>
      <c r="E2472" s="18">
        <v>225.0</v>
      </c>
      <c r="F2472" s="18">
        <v>12.0</v>
      </c>
    </row>
    <row r="2473">
      <c r="A2473" s="15">
        <v>33.0</v>
      </c>
      <c r="B2473" s="16" t="s">
        <v>7774</v>
      </c>
      <c r="C2473" s="17" t="s">
        <v>7777</v>
      </c>
      <c r="D2473" s="18">
        <v>8.36</v>
      </c>
      <c r="E2473" s="18">
        <v>11.48</v>
      </c>
      <c r="F2473" s="18">
        <v>12.0</v>
      </c>
    </row>
    <row r="2474">
      <c r="A2474" s="15">
        <v>34.0</v>
      </c>
      <c r="B2474" s="16" t="s">
        <v>7774</v>
      </c>
      <c r="C2474" s="17" t="s">
        <v>5999</v>
      </c>
      <c r="D2474" s="18">
        <v>101.46</v>
      </c>
      <c r="E2474" s="18">
        <v>139.34</v>
      </c>
      <c r="F2474" s="18">
        <v>12.0</v>
      </c>
    </row>
    <row r="2475">
      <c r="A2475" s="15">
        <v>35.0</v>
      </c>
      <c r="B2475" s="16" t="s">
        <v>7778</v>
      </c>
      <c r="C2475" s="16" t="s">
        <v>7779</v>
      </c>
      <c r="D2475" s="18">
        <v>67.8</v>
      </c>
      <c r="E2475" s="18">
        <v>100.0</v>
      </c>
      <c r="F2475" s="18">
        <v>18.0</v>
      </c>
    </row>
    <row r="2476">
      <c r="A2476" s="15">
        <v>36.0</v>
      </c>
      <c r="B2476" s="16" t="s">
        <v>7780</v>
      </c>
      <c r="C2476" s="16" t="s">
        <v>6106</v>
      </c>
      <c r="D2476" s="18">
        <v>44.79</v>
      </c>
      <c r="E2476" s="18">
        <v>52.5</v>
      </c>
      <c r="F2476" s="18">
        <v>12.0</v>
      </c>
    </row>
    <row r="2477">
      <c r="A2477" s="15">
        <v>37.0</v>
      </c>
      <c r="B2477" s="16" t="s">
        <v>7774</v>
      </c>
      <c r="C2477" s="17" t="s">
        <v>7781</v>
      </c>
      <c r="D2477" s="18">
        <v>37.45</v>
      </c>
      <c r="E2477" s="18">
        <v>51.44</v>
      </c>
      <c r="F2477" s="18">
        <v>12.0</v>
      </c>
    </row>
    <row r="2478">
      <c r="A2478" s="15">
        <v>38.0</v>
      </c>
      <c r="B2478" s="16" t="s">
        <v>7782</v>
      </c>
      <c r="C2478" s="17" t="s">
        <v>5536</v>
      </c>
      <c r="D2478" s="18">
        <v>15.6</v>
      </c>
      <c r="E2478" s="18">
        <v>21.84</v>
      </c>
      <c r="F2478" s="18">
        <v>12.0</v>
      </c>
    </row>
    <row r="2479">
      <c r="A2479" s="15">
        <v>39.0</v>
      </c>
      <c r="B2479" s="16" t="s">
        <v>7783</v>
      </c>
      <c r="C2479" s="17" t="s">
        <v>5536</v>
      </c>
      <c r="D2479" s="18">
        <v>29.05</v>
      </c>
      <c r="E2479" s="18">
        <v>40.67</v>
      </c>
      <c r="F2479" s="18">
        <v>12.0</v>
      </c>
    </row>
    <row r="2480">
      <c r="A2480" s="15">
        <v>40.0</v>
      </c>
      <c r="B2480" s="16" t="s">
        <v>7784</v>
      </c>
      <c r="C2480" s="17" t="s">
        <v>6626</v>
      </c>
      <c r="D2480" s="18">
        <v>5.94</v>
      </c>
      <c r="E2480" s="18">
        <v>8.32</v>
      </c>
      <c r="F2480" s="18">
        <v>12.0</v>
      </c>
    </row>
    <row r="2481">
      <c r="A2481" s="6"/>
      <c r="B2481" s="7"/>
      <c r="C2481" s="7"/>
      <c r="D2481" s="7"/>
      <c r="E2481" s="8"/>
      <c r="F2481" s="16" t="s">
        <v>7785</v>
      </c>
    </row>
    <row r="2482">
      <c r="A2482" s="6"/>
      <c r="B2482" s="7"/>
      <c r="C2482" s="7"/>
      <c r="D2482" s="7"/>
      <c r="E2482" s="7"/>
      <c r="F2482" s="8"/>
    </row>
    <row r="2483">
      <c r="A2483" s="6"/>
      <c r="B2483" s="7"/>
      <c r="C2483" s="7"/>
      <c r="D2483" s="7"/>
      <c r="E2483" s="7"/>
      <c r="F2483" s="8"/>
    </row>
    <row r="2484">
      <c r="A2484" s="6"/>
      <c r="B2484" s="7"/>
      <c r="C2484" s="7"/>
      <c r="D2484" s="7"/>
      <c r="E2484" s="7"/>
      <c r="F2484" s="8"/>
    </row>
    <row r="2485">
      <c r="A2485" s="6"/>
      <c r="B2485" s="7"/>
      <c r="C2485" s="7"/>
      <c r="D2485" s="7"/>
      <c r="E2485" s="7"/>
      <c r="F2485" s="8"/>
    </row>
    <row r="2486">
      <c r="A2486" s="9" t="s">
        <v>5582</v>
      </c>
      <c r="B2486" s="10"/>
      <c r="C2486" s="10"/>
      <c r="D2486" s="10"/>
      <c r="E2486" s="10"/>
      <c r="F2486" s="10"/>
    </row>
    <row r="2487">
      <c r="A2487" s="19" t="s">
        <v>5583</v>
      </c>
    </row>
    <row r="2488">
      <c r="A2488" s="6"/>
      <c r="B2488" s="7"/>
      <c r="C2488" s="7"/>
      <c r="D2488" s="8"/>
      <c r="E2488" s="12" t="s">
        <v>5584</v>
      </c>
      <c r="F2488" s="12" t="s">
        <v>7786</v>
      </c>
    </row>
    <row r="2489">
      <c r="A2489" s="20" t="s">
        <v>5522</v>
      </c>
      <c r="B2489" s="16" t="s">
        <v>5523</v>
      </c>
      <c r="C2489" s="16" t="s">
        <v>5524</v>
      </c>
      <c r="D2489" s="16" t="s">
        <v>5525</v>
      </c>
      <c r="E2489" s="16" t="s">
        <v>5526</v>
      </c>
      <c r="F2489" s="16" t="s">
        <v>5586</v>
      </c>
    </row>
    <row r="2490">
      <c r="A2490" s="15">
        <v>41.0</v>
      </c>
      <c r="B2490" s="16" t="s">
        <v>7787</v>
      </c>
      <c r="C2490" s="17" t="s">
        <v>7788</v>
      </c>
      <c r="D2490" s="18">
        <v>12.11</v>
      </c>
      <c r="E2490" s="18">
        <v>16.95</v>
      </c>
      <c r="F2490" s="18">
        <v>12.0</v>
      </c>
    </row>
    <row r="2491">
      <c r="A2491" s="15">
        <v>42.0</v>
      </c>
      <c r="B2491" s="16" t="s">
        <v>7789</v>
      </c>
      <c r="C2491" s="17" t="s">
        <v>7790</v>
      </c>
      <c r="D2491" s="18">
        <v>4.37</v>
      </c>
      <c r="E2491" s="18">
        <v>6.12</v>
      </c>
      <c r="F2491" s="18">
        <v>12.0</v>
      </c>
    </row>
    <row r="2492">
      <c r="A2492" s="15">
        <v>43.0</v>
      </c>
      <c r="B2492" s="16" t="s">
        <v>7789</v>
      </c>
      <c r="C2492" s="17" t="s">
        <v>6864</v>
      </c>
      <c r="D2492" s="18">
        <v>8.9</v>
      </c>
      <c r="E2492" s="18">
        <v>12.46</v>
      </c>
      <c r="F2492" s="18">
        <v>12.0</v>
      </c>
    </row>
    <row r="2493">
      <c r="A2493" s="15">
        <v>44.0</v>
      </c>
      <c r="B2493" s="16" t="s">
        <v>7791</v>
      </c>
      <c r="C2493" s="17" t="s">
        <v>5636</v>
      </c>
      <c r="D2493" s="18">
        <v>42.95</v>
      </c>
      <c r="E2493" s="18">
        <v>59.0</v>
      </c>
      <c r="F2493" s="18">
        <v>12.0</v>
      </c>
    </row>
    <row r="2494">
      <c r="A2494" s="6"/>
      <c r="B2494" s="7"/>
      <c r="C2494" s="7"/>
      <c r="D2494" s="7"/>
      <c r="E2494" s="7"/>
      <c r="F2494" s="8"/>
    </row>
    <row r="2495">
      <c r="A2495" s="9" t="s">
        <v>7792</v>
      </c>
      <c r="B2495" s="10"/>
      <c r="C2495" s="10"/>
      <c r="D2495" s="10"/>
      <c r="E2495" s="10"/>
      <c r="F2495" s="10"/>
    </row>
    <row r="2496">
      <c r="A2496" s="11">
        <v>1.0</v>
      </c>
      <c r="B2496" s="12" t="s">
        <v>7793</v>
      </c>
      <c r="C2496" s="13" t="s">
        <v>5674</v>
      </c>
      <c r="D2496" s="14">
        <v>82.5</v>
      </c>
      <c r="E2496" s="14">
        <v>115.5</v>
      </c>
      <c r="F2496" s="14">
        <v>12.0</v>
      </c>
    </row>
    <row r="2497">
      <c r="A2497" s="15">
        <v>2.0</v>
      </c>
      <c r="B2497" s="16" t="s">
        <v>7794</v>
      </c>
      <c r="C2497" s="17" t="s">
        <v>5674</v>
      </c>
      <c r="D2497" s="18">
        <v>59.64</v>
      </c>
      <c r="E2497" s="18">
        <v>83.5</v>
      </c>
      <c r="F2497" s="18">
        <v>12.0</v>
      </c>
    </row>
    <row r="2498">
      <c r="A2498" s="15">
        <v>3.0</v>
      </c>
      <c r="B2498" s="16" t="s">
        <v>7795</v>
      </c>
      <c r="C2498" s="16" t="s">
        <v>7796</v>
      </c>
      <c r="D2498" s="18">
        <v>64.29</v>
      </c>
      <c r="E2498" s="18">
        <v>90.0</v>
      </c>
      <c r="F2498" s="18">
        <v>12.0</v>
      </c>
    </row>
    <row r="2499">
      <c r="A2499" s="15">
        <v>4.0</v>
      </c>
      <c r="B2499" s="16" t="s">
        <v>1999</v>
      </c>
      <c r="C2499" s="16" t="s">
        <v>5558</v>
      </c>
      <c r="D2499" s="18">
        <v>64.29</v>
      </c>
      <c r="E2499" s="18">
        <v>90.0</v>
      </c>
      <c r="F2499" s="18">
        <v>12.0</v>
      </c>
    </row>
    <row r="2500">
      <c r="A2500" s="15">
        <v>5.0</v>
      </c>
      <c r="B2500" s="16" t="s">
        <v>7797</v>
      </c>
      <c r="C2500" s="17" t="s">
        <v>5536</v>
      </c>
      <c r="D2500" s="18">
        <v>88.5</v>
      </c>
      <c r="E2500" s="18">
        <v>123.9</v>
      </c>
      <c r="F2500" s="18">
        <v>12.0</v>
      </c>
    </row>
    <row r="2501">
      <c r="A2501" s="15">
        <v>6.0</v>
      </c>
      <c r="B2501" s="16" t="s">
        <v>7798</v>
      </c>
      <c r="C2501" s="17" t="s">
        <v>5536</v>
      </c>
      <c r="D2501" s="18">
        <v>166.43</v>
      </c>
      <c r="E2501" s="18">
        <v>222.0</v>
      </c>
      <c r="F2501" s="18">
        <v>12.0</v>
      </c>
    </row>
    <row r="2502">
      <c r="A2502" s="15">
        <v>7.0</v>
      </c>
      <c r="B2502" s="16" t="s">
        <v>7799</v>
      </c>
      <c r="C2502" s="17" t="s">
        <v>7800</v>
      </c>
      <c r="D2502" s="18">
        <v>142.86</v>
      </c>
      <c r="E2502" s="18">
        <v>200.0</v>
      </c>
      <c r="F2502" s="18">
        <v>12.0</v>
      </c>
    </row>
    <row r="2503">
      <c r="A2503" s="15">
        <v>8.0</v>
      </c>
      <c r="B2503" s="16" t="s">
        <v>7801</v>
      </c>
      <c r="C2503" s="17" t="s">
        <v>5536</v>
      </c>
      <c r="D2503" s="18">
        <v>34.82</v>
      </c>
      <c r="E2503" s="18">
        <v>48.75</v>
      </c>
      <c r="F2503" s="18">
        <v>12.0</v>
      </c>
    </row>
    <row r="2504">
      <c r="A2504" s="15">
        <v>9.0</v>
      </c>
      <c r="B2504" s="16" t="s">
        <v>7802</v>
      </c>
      <c r="C2504" s="17" t="s">
        <v>5536</v>
      </c>
      <c r="D2504" s="18">
        <v>16.46</v>
      </c>
      <c r="E2504" s="18">
        <v>23.05</v>
      </c>
      <c r="F2504" s="18">
        <v>12.0</v>
      </c>
    </row>
    <row r="2505">
      <c r="A2505" s="15">
        <v>10.0</v>
      </c>
      <c r="B2505" s="16" t="s">
        <v>7803</v>
      </c>
      <c r="C2505" s="17" t="s">
        <v>6186</v>
      </c>
      <c r="D2505" s="18">
        <v>74.25</v>
      </c>
      <c r="E2505" s="18">
        <v>103.95</v>
      </c>
      <c r="F2505" s="18">
        <v>12.0</v>
      </c>
    </row>
    <row r="2506">
      <c r="A2506" s="15">
        <v>11.0</v>
      </c>
      <c r="B2506" s="16" t="s">
        <v>7804</v>
      </c>
      <c r="C2506" s="17" t="s">
        <v>5731</v>
      </c>
      <c r="D2506" s="18">
        <v>180.34</v>
      </c>
      <c r="E2506" s="18">
        <v>266.0</v>
      </c>
      <c r="F2506" s="18">
        <v>18.0</v>
      </c>
    </row>
    <row r="2507">
      <c r="A2507" s="15">
        <v>12.0</v>
      </c>
      <c r="B2507" s="16" t="s">
        <v>7805</v>
      </c>
      <c r="C2507" s="17" t="s">
        <v>5694</v>
      </c>
      <c r="D2507" s="18">
        <v>66.07</v>
      </c>
      <c r="E2507" s="18">
        <v>92.5</v>
      </c>
      <c r="F2507" s="18">
        <v>12.0</v>
      </c>
    </row>
    <row r="2508">
      <c r="A2508" s="15">
        <v>13.0</v>
      </c>
      <c r="B2508" s="16" t="s">
        <v>7806</v>
      </c>
      <c r="C2508" s="17" t="s">
        <v>5827</v>
      </c>
      <c r="D2508" s="18">
        <v>55.71</v>
      </c>
      <c r="E2508" s="18">
        <v>78.0</v>
      </c>
      <c r="F2508" s="18">
        <v>12.0</v>
      </c>
    </row>
    <row r="2509">
      <c r="A2509" s="15">
        <v>14.0</v>
      </c>
      <c r="B2509" s="16" t="s">
        <v>7807</v>
      </c>
      <c r="C2509" s="17" t="s">
        <v>7808</v>
      </c>
      <c r="D2509" s="18">
        <v>69.29</v>
      </c>
      <c r="E2509" s="18">
        <v>97.0</v>
      </c>
      <c r="F2509" s="18">
        <v>12.0</v>
      </c>
    </row>
    <row r="2510">
      <c r="A2510" s="15">
        <v>15.0</v>
      </c>
      <c r="B2510" s="16" t="s">
        <v>7809</v>
      </c>
      <c r="C2510" s="17" t="s">
        <v>6390</v>
      </c>
      <c r="D2510" s="18">
        <v>51.28</v>
      </c>
      <c r="E2510" s="18">
        <v>71.79</v>
      </c>
      <c r="F2510" s="18">
        <v>12.0</v>
      </c>
    </row>
    <row r="2511">
      <c r="A2511" s="15">
        <v>16.0</v>
      </c>
      <c r="B2511" s="16" t="s">
        <v>7810</v>
      </c>
      <c r="C2511" s="17" t="s">
        <v>6731</v>
      </c>
      <c r="D2511" s="18">
        <v>49.04</v>
      </c>
      <c r="E2511" s="18">
        <v>68.65</v>
      </c>
      <c r="F2511" s="18">
        <v>12.0</v>
      </c>
    </row>
    <row r="2512">
      <c r="A2512" s="15">
        <v>17.0</v>
      </c>
      <c r="B2512" s="16" t="s">
        <v>7811</v>
      </c>
      <c r="C2512" s="17" t="s">
        <v>6731</v>
      </c>
      <c r="D2512" s="18">
        <v>124.29</v>
      </c>
      <c r="E2512" s="18">
        <v>174.0</v>
      </c>
      <c r="F2512" s="18">
        <v>12.0</v>
      </c>
    </row>
    <row r="2513">
      <c r="A2513" s="15">
        <v>18.0</v>
      </c>
      <c r="B2513" s="16" t="s">
        <v>7812</v>
      </c>
      <c r="C2513" s="17" t="s">
        <v>6734</v>
      </c>
      <c r="D2513" s="18">
        <v>46.75</v>
      </c>
      <c r="E2513" s="18">
        <v>65.45</v>
      </c>
      <c r="F2513" s="18">
        <v>12.0</v>
      </c>
    </row>
    <row r="2514">
      <c r="A2514" s="15">
        <v>19.0</v>
      </c>
      <c r="B2514" s="16" t="s">
        <v>7813</v>
      </c>
      <c r="C2514" s="17" t="s">
        <v>7814</v>
      </c>
      <c r="D2514" s="18">
        <v>151.43</v>
      </c>
      <c r="E2514" s="18">
        <v>212.0</v>
      </c>
      <c r="F2514" s="18">
        <v>12.0</v>
      </c>
    </row>
    <row r="2515">
      <c r="A2515" s="15">
        <v>20.0</v>
      </c>
      <c r="B2515" s="16" t="s">
        <v>7815</v>
      </c>
      <c r="C2515" s="17" t="s">
        <v>5768</v>
      </c>
      <c r="D2515" s="18">
        <v>44.29</v>
      </c>
      <c r="E2515" s="18">
        <v>62.0</v>
      </c>
      <c r="F2515" s="18">
        <v>12.0</v>
      </c>
    </row>
    <row r="2516">
      <c r="A2516" s="15">
        <v>21.0</v>
      </c>
      <c r="B2516" s="16" t="s">
        <v>7816</v>
      </c>
      <c r="C2516" s="17" t="s">
        <v>7817</v>
      </c>
      <c r="D2516" s="18">
        <v>46.08</v>
      </c>
      <c r="E2516" s="18">
        <v>57.0</v>
      </c>
      <c r="F2516" s="18">
        <v>12.0</v>
      </c>
    </row>
    <row r="2517">
      <c r="A2517" s="15">
        <v>22.0</v>
      </c>
      <c r="B2517" s="16" t="s">
        <v>7818</v>
      </c>
      <c r="C2517" s="17" t="s">
        <v>5768</v>
      </c>
      <c r="D2517" s="18">
        <v>49.29</v>
      </c>
      <c r="E2517" s="18">
        <v>69.0</v>
      </c>
      <c r="F2517" s="18">
        <v>12.0</v>
      </c>
    </row>
    <row r="2518">
      <c r="A2518" s="15">
        <v>23.0</v>
      </c>
      <c r="B2518" s="16" t="s">
        <v>7819</v>
      </c>
      <c r="C2518" s="17" t="s">
        <v>5636</v>
      </c>
      <c r="D2518" s="18">
        <v>16.0</v>
      </c>
      <c r="E2518" s="18">
        <v>21.97</v>
      </c>
      <c r="F2518" s="18">
        <v>12.0</v>
      </c>
    </row>
    <row r="2519">
      <c r="A2519" s="15">
        <v>24.0</v>
      </c>
      <c r="B2519" s="16" t="s">
        <v>7820</v>
      </c>
      <c r="C2519" s="17" t="s">
        <v>7821</v>
      </c>
      <c r="D2519" s="18">
        <v>15.0</v>
      </c>
      <c r="E2519" s="18">
        <v>21.0</v>
      </c>
      <c r="F2519" s="18">
        <v>12.0</v>
      </c>
    </row>
    <row r="2520">
      <c r="A2520" s="15">
        <v>25.0</v>
      </c>
      <c r="B2520" s="16" t="s">
        <v>7820</v>
      </c>
      <c r="C2520" s="17" t="s">
        <v>7822</v>
      </c>
      <c r="D2520" s="18">
        <v>19.42</v>
      </c>
      <c r="E2520" s="18">
        <v>26.1</v>
      </c>
      <c r="F2520" s="18">
        <v>12.0</v>
      </c>
    </row>
    <row r="2521">
      <c r="A2521" s="15">
        <v>26.0</v>
      </c>
      <c r="B2521" s="16" t="s">
        <v>7820</v>
      </c>
      <c r="C2521" s="17" t="s">
        <v>7823</v>
      </c>
      <c r="D2521" s="18">
        <v>44.29</v>
      </c>
      <c r="E2521" s="18">
        <v>59.0</v>
      </c>
      <c r="F2521" s="18">
        <v>12.0</v>
      </c>
    </row>
    <row r="2522">
      <c r="A2522" s="15">
        <v>27.0</v>
      </c>
      <c r="B2522" s="16" t="s">
        <v>7824</v>
      </c>
      <c r="C2522" s="17" t="s">
        <v>7822</v>
      </c>
      <c r="D2522" s="18">
        <v>33.37</v>
      </c>
      <c r="E2522" s="18">
        <v>44.85</v>
      </c>
      <c r="F2522" s="18">
        <v>12.0</v>
      </c>
    </row>
    <row r="2523">
      <c r="A2523" s="15">
        <v>28.0</v>
      </c>
      <c r="B2523" s="16" t="s">
        <v>7824</v>
      </c>
      <c r="C2523" s="17" t="s">
        <v>7823</v>
      </c>
      <c r="D2523" s="18">
        <v>66.79</v>
      </c>
      <c r="E2523" s="18">
        <v>93.5</v>
      </c>
      <c r="F2523" s="18">
        <v>12.0</v>
      </c>
    </row>
    <row r="2524">
      <c r="A2524" s="15">
        <v>29.0</v>
      </c>
      <c r="B2524" s="16" t="s">
        <v>7825</v>
      </c>
      <c r="C2524" s="17" t="s">
        <v>5536</v>
      </c>
      <c r="D2524" s="18">
        <v>84.11</v>
      </c>
      <c r="E2524" s="18">
        <v>110.95</v>
      </c>
      <c r="F2524" s="18">
        <v>12.0</v>
      </c>
    </row>
    <row r="2525">
      <c r="A2525" s="15">
        <v>30.0</v>
      </c>
      <c r="B2525" s="16" t="s">
        <v>7826</v>
      </c>
      <c r="C2525" s="17" t="s">
        <v>6339</v>
      </c>
      <c r="D2525" s="18">
        <v>84.91</v>
      </c>
      <c r="E2525" s="18">
        <v>118.88</v>
      </c>
      <c r="F2525" s="18">
        <v>12.0</v>
      </c>
    </row>
    <row r="2526">
      <c r="A2526" s="15">
        <v>31.0</v>
      </c>
      <c r="B2526" s="16" t="s">
        <v>7827</v>
      </c>
      <c r="C2526" s="17" t="s">
        <v>7828</v>
      </c>
      <c r="D2526" s="18">
        <v>69.21</v>
      </c>
      <c r="E2526" s="18">
        <v>95.0</v>
      </c>
      <c r="F2526" s="18">
        <v>12.0</v>
      </c>
    </row>
    <row r="2527">
      <c r="A2527" s="15">
        <v>32.0</v>
      </c>
      <c r="B2527" s="16" t="s">
        <v>7827</v>
      </c>
      <c r="C2527" s="17" t="s">
        <v>6476</v>
      </c>
      <c r="D2527" s="18">
        <v>67.28</v>
      </c>
      <c r="E2527" s="18">
        <v>92.39</v>
      </c>
      <c r="F2527" s="18">
        <v>12.0</v>
      </c>
    </row>
    <row r="2528">
      <c r="A2528" s="15">
        <v>33.0</v>
      </c>
      <c r="B2528" s="16" t="s">
        <v>7829</v>
      </c>
      <c r="C2528" s="17" t="s">
        <v>7830</v>
      </c>
      <c r="D2528" s="18">
        <v>66.79</v>
      </c>
      <c r="E2528" s="18">
        <v>93.5</v>
      </c>
      <c r="F2528" s="18">
        <v>12.0</v>
      </c>
    </row>
    <row r="2529">
      <c r="A2529" s="15">
        <v>34.0</v>
      </c>
      <c r="B2529" s="16" t="s">
        <v>7831</v>
      </c>
      <c r="C2529" s="17" t="s">
        <v>5536</v>
      </c>
      <c r="D2529" s="18">
        <v>33.68</v>
      </c>
      <c r="E2529" s="18">
        <v>46.25</v>
      </c>
      <c r="F2529" s="18">
        <v>12.0</v>
      </c>
    </row>
    <row r="2530">
      <c r="A2530" s="15">
        <v>35.0</v>
      </c>
      <c r="B2530" s="16" t="s">
        <v>7832</v>
      </c>
      <c r="C2530" s="17" t="s">
        <v>5536</v>
      </c>
      <c r="D2530" s="18">
        <v>49.12</v>
      </c>
      <c r="E2530" s="18">
        <v>65.4</v>
      </c>
      <c r="F2530" s="18">
        <v>12.0</v>
      </c>
    </row>
    <row r="2531">
      <c r="A2531" s="15">
        <v>36.0</v>
      </c>
      <c r="B2531" s="16" t="s">
        <v>7833</v>
      </c>
      <c r="C2531" s="17" t="s">
        <v>5899</v>
      </c>
      <c r="D2531" s="18">
        <v>40.0</v>
      </c>
      <c r="E2531" s="18">
        <v>56.0</v>
      </c>
      <c r="F2531" s="18">
        <v>12.0</v>
      </c>
    </row>
    <row r="2532">
      <c r="A2532" s="15">
        <v>37.0</v>
      </c>
      <c r="B2532" s="16" t="s">
        <v>7834</v>
      </c>
      <c r="C2532" s="17" t="s">
        <v>5614</v>
      </c>
      <c r="D2532" s="18">
        <v>75.0</v>
      </c>
      <c r="E2532" s="18">
        <v>105.0</v>
      </c>
      <c r="F2532" s="18">
        <v>12.0</v>
      </c>
    </row>
    <row r="2533">
      <c r="A2533" s="15">
        <v>38.0</v>
      </c>
      <c r="B2533" s="16" t="s">
        <v>2033</v>
      </c>
      <c r="C2533" s="16" t="s">
        <v>5544</v>
      </c>
      <c r="D2533" s="18">
        <v>53.34</v>
      </c>
      <c r="E2533" s="18">
        <v>74.0</v>
      </c>
      <c r="F2533" s="18">
        <v>12.0</v>
      </c>
    </row>
    <row r="2534">
      <c r="A2534" s="6"/>
      <c r="B2534" s="7"/>
      <c r="C2534" s="7"/>
      <c r="D2534" s="7"/>
      <c r="E2534" s="7"/>
      <c r="F2534" s="8"/>
    </row>
    <row r="2535">
      <c r="A2535" s="9" t="s">
        <v>7835</v>
      </c>
      <c r="B2535" s="10"/>
      <c r="C2535" s="10"/>
      <c r="D2535" s="10"/>
      <c r="E2535" s="10"/>
      <c r="F2535" s="10"/>
    </row>
    <row r="2536">
      <c r="A2536" s="11">
        <v>1.0</v>
      </c>
      <c r="B2536" s="12" t="s">
        <v>7836</v>
      </c>
      <c r="C2536" s="13" t="s">
        <v>5657</v>
      </c>
      <c r="D2536" s="14">
        <v>72.14</v>
      </c>
      <c r="E2536" s="14">
        <v>101.0</v>
      </c>
      <c r="F2536" s="14">
        <v>12.0</v>
      </c>
    </row>
    <row r="2537">
      <c r="A2537" s="15">
        <v>2.0</v>
      </c>
      <c r="B2537" s="16" t="s">
        <v>7837</v>
      </c>
      <c r="C2537" s="17" t="s">
        <v>5902</v>
      </c>
      <c r="D2537" s="18">
        <v>10.31</v>
      </c>
      <c r="E2537" s="18">
        <v>14.44</v>
      </c>
      <c r="F2537" s="18">
        <v>12.0</v>
      </c>
    </row>
    <row r="2538">
      <c r="A2538" s="15">
        <v>3.0</v>
      </c>
      <c r="B2538" s="16" t="s">
        <v>7838</v>
      </c>
      <c r="C2538" s="17" t="s">
        <v>5902</v>
      </c>
      <c r="D2538" s="18">
        <v>23.43</v>
      </c>
      <c r="E2538" s="18">
        <v>32.8</v>
      </c>
      <c r="F2538" s="18">
        <v>12.0</v>
      </c>
    </row>
    <row r="2539">
      <c r="A2539" s="15">
        <v>4.0</v>
      </c>
      <c r="B2539" s="16" t="s">
        <v>7839</v>
      </c>
      <c r="C2539" s="17" t="s">
        <v>5636</v>
      </c>
      <c r="D2539" s="18">
        <v>47.14</v>
      </c>
      <c r="E2539" s="18">
        <v>66.0</v>
      </c>
      <c r="F2539" s="18">
        <v>12.0</v>
      </c>
    </row>
    <row r="2540">
      <c r="A2540" s="15">
        <v>5.0</v>
      </c>
      <c r="B2540" s="16" t="s">
        <v>7840</v>
      </c>
      <c r="C2540" s="17" t="s">
        <v>5636</v>
      </c>
      <c r="D2540" s="18">
        <v>36.14</v>
      </c>
      <c r="E2540" s="18">
        <v>50.6</v>
      </c>
      <c r="F2540" s="18">
        <v>12.0</v>
      </c>
    </row>
    <row r="2541">
      <c r="A2541" s="15">
        <v>6.0</v>
      </c>
      <c r="B2541" s="16" t="s">
        <v>7841</v>
      </c>
      <c r="C2541" s="17" t="s">
        <v>6754</v>
      </c>
      <c r="D2541" s="18">
        <v>101.7</v>
      </c>
      <c r="E2541" s="18">
        <v>150.0</v>
      </c>
      <c r="F2541" s="18">
        <v>18.0</v>
      </c>
    </row>
    <row r="2542">
      <c r="A2542" s="15">
        <v>7.0</v>
      </c>
      <c r="B2542" s="16" t="s">
        <v>7842</v>
      </c>
      <c r="C2542" s="17" t="s">
        <v>5636</v>
      </c>
      <c r="D2542" s="18">
        <v>43.21</v>
      </c>
      <c r="E2542" s="18">
        <v>60.5</v>
      </c>
      <c r="F2542" s="18">
        <v>12.0</v>
      </c>
    </row>
    <row r="2543">
      <c r="A2543" s="15">
        <v>8.0</v>
      </c>
      <c r="B2543" s="16" t="s">
        <v>7843</v>
      </c>
      <c r="C2543" s="17" t="s">
        <v>5636</v>
      </c>
      <c r="D2543" s="18">
        <v>55.0</v>
      </c>
      <c r="E2543" s="18">
        <v>77.0</v>
      </c>
      <c r="F2543" s="18">
        <v>12.0</v>
      </c>
    </row>
    <row r="2544">
      <c r="A2544" s="15">
        <v>9.0</v>
      </c>
      <c r="B2544" s="16" t="s">
        <v>7844</v>
      </c>
      <c r="C2544" s="17" t="s">
        <v>5636</v>
      </c>
      <c r="D2544" s="18">
        <v>25.71</v>
      </c>
      <c r="E2544" s="18">
        <v>36.0</v>
      </c>
      <c r="F2544" s="18">
        <v>12.0</v>
      </c>
    </row>
    <row r="2545">
      <c r="A2545" s="15">
        <v>10.0</v>
      </c>
      <c r="B2545" s="16" t="s">
        <v>7845</v>
      </c>
      <c r="C2545" s="17" t="s">
        <v>5536</v>
      </c>
      <c r="D2545" s="18">
        <v>24.54</v>
      </c>
      <c r="E2545" s="18">
        <v>34.35</v>
      </c>
      <c r="F2545" s="18">
        <v>12.0</v>
      </c>
    </row>
    <row r="2546">
      <c r="A2546" s="15">
        <v>11.0</v>
      </c>
      <c r="B2546" s="16" t="s">
        <v>7846</v>
      </c>
      <c r="C2546" s="17" t="s">
        <v>5536</v>
      </c>
      <c r="D2546" s="18">
        <v>46.36</v>
      </c>
      <c r="E2546" s="18">
        <v>64.9</v>
      </c>
      <c r="F2546" s="18">
        <v>12.0</v>
      </c>
    </row>
    <row r="2547">
      <c r="A2547" s="15">
        <v>12.0</v>
      </c>
      <c r="B2547" s="16" t="s">
        <v>7847</v>
      </c>
      <c r="C2547" s="17" t="s">
        <v>5636</v>
      </c>
      <c r="D2547" s="18">
        <v>46.43</v>
      </c>
      <c r="E2547" s="18">
        <v>65.0</v>
      </c>
      <c r="F2547" s="18">
        <v>12.0</v>
      </c>
    </row>
    <row r="2548">
      <c r="A2548" s="15">
        <v>13.0</v>
      </c>
      <c r="B2548" s="16" t="s">
        <v>7848</v>
      </c>
      <c r="C2548" s="17" t="s">
        <v>7849</v>
      </c>
      <c r="D2548" s="18">
        <v>71.25</v>
      </c>
      <c r="E2548" s="18">
        <v>95.0</v>
      </c>
      <c r="F2548" s="18">
        <v>12.0</v>
      </c>
    </row>
    <row r="2549">
      <c r="A2549" s="15">
        <v>14.0</v>
      </c>
      <c r="B2549" s="16" t="s">
        <v>7848</v>
      </c>
      <c r="C2549" s="17" t="s">
        <v>6899</v>
      </c>
      <c r="D2549" s="18">
        <v>136.21</v>
      </c>
      <c r="E2549" s="18">
        <v>190.7</v>
      </c>
      <c r="F2549" s="18">
        <v>12.0</v>
      </c>
    </row>
    <row r="2550">
      <c r="A2550" s="15">
        <v>15.0</v>
      </c>
      <c r="B2550" s="16" t="s">
        <v>7848</v>
      </c>
      <c r="C2550" s="17" t="s">
        <v>7850</v>
      </c>
      <c r="D2550" s="18">
        <v>79.29</v>
      </c>
      <c r="E2550" s="18">
        <v>111.0</v>
      </c>
      <c r="F2550" s="18">
        <v>12.0</v>
      </c>
    </row>
    <row r="2551">
      <c r="A2551" s="6"/>
      <c r="B2551" s="7"/>
      <c r="C2551" s="7"/>
      <c r="D2551" s="7"/>
      <c r="E2551" s="8"/>
      <c r="F2551" s="16" t="s">
        <v>7851</v>
      </c>
    </row>
    <row r="2552">
      <c r="A2552" s="6"/>
      <c r="B2552" s="7"/>
      <c r="C2552" s="7"/>
      <c r="D2552" s="7"/>
      <c r="E2552" s="7"/>
      <c r="F2552" s="8"/>
    </row>
    <row r="2553">
      <c r="A2553" s="6"/>
      <c r="B2553" s="7"/>
      <c r="C2553" s="7"/>
      <c r="D2553" s="7"/>
      <c r="E2553" s="7"/>
      <c r="F2553" s="8"/>
    </row>
    <row r="2554">
      <c r="A2554" s="6"/>
      <c r="B2554" s="7"/>
      <c r="C2554" s="7"/>
      <c r="D2554" s="7"/>
      <c r="E2554" s="7"/>
      <c r="F2554" s="8"/>
    </row>
    <row r="2555">
      <c r="A2555" s="6"/>
      <c r="B2555" s="7"/>
      <c r="C2555" s="7"/>
      <c r="D2555" s="7"/>
      <c r="E2555" s="7"/>
      <c r="F2555" s="8"/>
    </row>
    <row r="2556">
      <c r="A2556" s="9" t="s">
        <v>5582</v>
      </c>
      <c r="B2556" s="10"/>
      <c r="C2556" s="10"/>
      <c r="D2556" s="10"/>
      <c r="E2556" s="10"/>
      <c r="F2556" s="10"/>
    </row>
    <row r="2557">
      <c r="A2557" s="19" t="s">
        <v>5583</v>
      </c>
    </row>
    <row r="2558">
      <c r="A2558" s="6"/>
      <c r="B2558" s="7"/>
      <c r="C2558" s="7"/>
      <c r="D2558" s="8"/>
      <c r="E2558" s="12" t="s">
        <v>5584</v>
      </c>
      <c r="F2558" s="12" t="s">
        <v>7852</v>
      </c>
    </row>
    <row r="2559">
      <c r="A2559" s="20" t="s">
        <v>5522</v>
      </c>
      <c r="B2559" s="16" t="s">
        <v>5523</v>
      </c>
      <c r="C2559" s="16" t="s">
        <v>5524</v>
      </c>
      <c r="D2559" s="16" t="s">
        <v>5525</v>
      </c>
      <c r="E2559" s="16" t="s">
        <v>5526</v>
      </c>
      <c r="F2559" s="16" t="s">
        <v>5586</v>
      </c>
    </row>
    <row r="2560">
      <c r="A2560" s="15">
        <v>16.0</v>
      </c>
      <c r="B2560" s="16" t="s">
        <v>7848</v>
      </c>
      <c r="C2560" s="17" t="s">
        <v>7853</v>
      </c>
      <c r="D2560" s="18">
        <v>37.5</v>
      </c>
      <c r="E2560" s="18">
        <v>52.5</v>
      </c>
      <c r="F2560" s="18">
        <v>12.0</v>
      </c>
    </row>
    <row r="2561">
      <c r="A2561" s="15">
        <v>17.0</v>
      </c>
      <c r="B2561" s="16" t="s">
        <v>7848</v>
      </c>
      <c r="C2561" s="17" t="s">
        <v>7854</v>
      </c>
      <c r="D2561" s="18">
        <v>29.19</v>
      </c>
      <c r="E2561" s="18">
        <v>40.5</v>
      </c>
      <c r="F2561" s="18">
        <v>12.0</v>
      </c>
    </row>
    <row r="2562">
      <c r="A2562" s="15">
        <v>18.0</v>
      </c>
      <c r="B2562" s="16" t="s">
        <v>7855</v>
      </c>
      <c r="C2562" s="17" t="s">
        <v>6104</v>
      </c>
      <c r="D2562" s="18">
        <v>27.14</v>
      </c>
      <c r="E2562" s="18">
        <v>38.0</v>
      </c>
      <c r="F2562" s="18">
        <v>12.0</v>
      </c>
    </row>
    <row r="2563">
      <c r="A2563" s="15">
        <v>19.0</v>
      </c>
      <c r="B2563" s="16" t="s">
        <v>7856</v>
      </c>
      <c r="C2563" s="17" t="s">
        <v>7857</v>
      </c>
      <c r="D2563" s="18">
        <v>198.19</v>
      </c>
      <c r="E2563" s="18">
        <v>275.0</v>
      </c>
      <c r="F2563" s="18">
        <v>12.0</v>
      </c>
    </row>
    <row r="2564">
      <c r="A2564" s="15">
        <v>20.0</v>
      </c>
      <c r="B2564" s="16" t="s">
        <v>7856</v>
      </c>
      <c r="C2564" s="17" t="s">
        <v>7858</v>
      </c>
      <c r="D2564" s="18">
        <v>104.52</v>
      </c>
      <c r="E2564" s="18">
        <v>145.0</v>
      </c>
      <c r="F2564" s="18">
        <v>12.0</v>
      </c>
    </row>
    <row r="2565">
      <c r="A2565" s="15">
        <v>21.0</v>
      </c>
      <c r="B2565" s="16" t="s">
        <v>7859</v>
      </c>
      <c r="C2565" s="17" t="s">
        <v>7860</v>
      </c>
      <c r="D2565" s="18">
        <v>121.79</v>
      </c>
      <c r="E2565" s="18">
        <v>170.5</v>
      </c>
      <c r="F2565" s="18">
        <v>12.0</v>
      </c>
    </row>
    <row r="2566">
      <c r="A2566" s="15">
        <v>22.0</v>
      </c>
      <c r="B2566" s="16" t="s">
        <v>7861</v>
      </c>
      <c r="C2566" s="17" t="s">
        <v>5536</v>
      </c>
      <c r="D2566" s="18">
        <v>12.49</v>
      </c>
      <c r="E2566" s="18">
        <v>17.49</v>
      </c>
      <c r="F2566" s="18">
        <v>12.0</v>
      </c>
    </row>
    <row r="2567">
      <c r="A2567" s="15">
        <v>23.0</v>
      </c>
      <c r="B2567" s="16" t="s">
        <v>7862</v>
      </c>
      <c r="C2567" s="17" t="s">
        <v>5536</v>
      </c>
      <c r="D2567" s="18">
        <v>28.5</v>
      </c>
      <c r="E2567" s="18">
        <v>39.9</v>
      </c>
      <c r="F2567" s="18">
        <v>12.0</v>
      </c>
    </row>
    <row r="2568">
      <c r="A2568" s="15">
        <v>24.0</v>
      </c>
      <c r="B2568" s="16" t="s">
        <v>7863</v>
      </c>
      <c r="C2568" s="17" t="s">
        <v>5562</v>
      </c>
      <c r="D2568" s="18">
        <v>39.64</v>
      </c>
      <c r="E2568" s="18">
        <v>55.5</v>
      </c>
      <c r="F2568" s="18">
        <v>12.0</v>
      </c>
    </row>
    <row r="2569">
      <c r="A2569" s="15">
        <v>25.0</v>
      </c>
      <c r="B2569" s="16" t="s">
        <v>7864</v>
      </c>
      <c r="C2569" s="17" t="s">
        <v>5562</v>
      </c>
      <c r="D2569" s="18">
        <v>75.71</v>
      </c>
      <c r="E2569" s="18">
        <v>106.0</v>
      </c>
      <c r="F2569" s="18">
        <v>12.0</v>
      </c>
    </row>
    <row r="2570">
      <c r="A2570" s="15">
        <v>26.0</v>
      </c>
      <c r="B2570" s="16" t="s">
        <v>7865</v>
      </c>
      <c r="C2570" s="17" t="s">
        <v>5536</v>
      </c>
      <c r="D2570" s="18">
        <v>85.05</v>
      </c>
      <c r="E2570" s="18">
        <v>125.0</v>
      </c>
      <c r="F2570" s="18">
        <v>12.0</v>
      </c>
    </row>
    <row r="2571">
      <c r="A2571" s="15">
        <v>27.0</v>
      </c>
      <c r="B2571" s="16" t="s">
        <v>7866</v>
      </c>
      <c r="C2571" s="16" t="s">
        <v>7867</v>
      </c>
      <c r="D2571" s="18">
        <v>155.69</v>
      </c>
      <c r="E2571" s="18">
        <v>216.0</v>
      </c>
      <c r="F2571" s="18">
        <v>12.0</v>
      </c>
    </row>
    <row r="2572">
      <c r="A2572" s="15">
        <v>28.0</v>
      </c>
      <c r="B2572" s="16" t="s">
        <v>7868</v>
      </c>
      <c r="C2572" s="17" t="s">
        <v>5536</v>
      </c>
      <c r="D2572" s="18">
        <v>205.42</v>
      </c>
      <c r="E2572" s="18">
        <v>285.0</v>
      </c>
      <c r="F2572" s="18">
        <v>12.0</v>
      </c>
    </row>
    <row r="2573">
      <c r="A2573" s="15">
        <v>29.0</v>
      </c>
      <c r="B2573" s="16" t="s">
        <v>7869</v>
      </c>
      <c r="C2573" s="17" t="s">
        <v>5550</v>
      </c>
      <c r="D2573" s="18">
        <v>83.57</v>
      </c>
      <c r="E2573" s="18">
        <v>117.0</v>
      </c>
      <c r="F2573" s="18">
        <v>12.0</v>
      </c>
    </row>
    <row r="2574">
      <c r="A2574" s="15">
        <v>30.0</v>
      </c>
      <c r="B2574" s="16" t="s">
        <v>7869</v>
      </c>
      <c r="C2574" s="17" t="s">
        <v>5665</v>
      </c>
      <c r="D2574" s="18">
        <v>74.29</v>
      </c>
      <c r="E2574" s="18">
        <v>104.0</v>
      </c>
      <c r="F2574" s="18">
        <v>12.0</v>
      </c>
    </row>
    <row r="2575">
      <c r="A2575" s="15">
        <v>31.0</v>
      </c>
      <c r="B2575" s="16" t="s">
        <v>2065</v>
      </c>
      <c r="C2575" s="16" t="s">
        <v>5558</v>
      </c>
      <c r="D2575" s="18">
        <v>58.93</v>
      </c>
      <c r="E2575" s="18">
        <v>82.5</v>
      </c>
      <c r="F2575" s="18">
        <v>12.0</v>
      </c>
    </row>
    <row r="2576">
      <c r="A2576" s="15">
        <v>32.0</v>
      </c>
      <c r="B2576" s="16" t="s">
        <v>7870</v>
      </c>
      <c r="C2576" s="17" t="s">
        <v>5828</v>
      </c>
      <c r="D2576" s="18">
        <v>40.04</v>
      </c>
      <c r="E2576" s="18">
        <v>55.0</v>
      </c>
      <c r="F2576" s="18">
        <v>12.0</v>
      </c>
    </row>
    <row r="2577">
      <c r="A2577" s="15">
        <v>33.0</v>
      </c>
      <c r="B2577" s="16" t="s">
        <v>7871</v>
      </c>
      <c r="C2577" s="17" t="s">
        <v>5762</v>
      </c>
      <c r="D2577" s="18">
        <v>200.89</v>
      </c>
      <c r="E2577" s="18">
        <v>281.25</v>
      </c>
      <c r="F2577" s="18">
        <v>12.0</v>
      </c>
    </row>
    <row r="2578">
      <c r="A2578" s="15">
        <v>34.0</v>
      </c>
      <c r="B2578" s="16" t="s">
        <v>7872</v>
      </c>
      <c r="C2578" s="17" t="s">
        <v>7036</v>
      </c>
      <c r="D2578" s="18">
        <v>207.14</v>
      </c>
      <c r="E2578" s="18">
        <v>275.0</v>
      </c>
      <c r="F2578" s="18">
        <v>12.0</v>
      </c>
    </row>
    <row r="2579">
      <c r="A2579" s="15">
        <v>35.0</v>
      </c>
      <c r="B2579" s="16" t="s">
        <v>7873</v>
      </c>
      <c r="C2579" s="17" t="s">
        <v>5636</v>
      </c>
      <c r="D2579" s="18">
        <v>24.03</v>
      </c>
      <c r="E2579" s="18">
        <v>33.0</v>
      </c>
      <c r="F2579" s="18">
        <v>12.0</v>
      </c>
    </row>
    <row r="2580">
      <c r="A2580" s="15">
        <v>36.0</v>
      </c>
      <c r="B2580" s="16" t="s">
        <v>7874</v>
      </c>
      <c r="C2580" s="17" t="s">
        <v>5620</v>
      </c>
      <c r="D2580" s="18">
        <v>7.03</v>
      </c>
      <c r="E2580" s="18">
        <v>9.84</v>
      </c>
      <c r="F2580" s="18">
        <v>12.0</v>
      </c>
    </row>
    <row r="2581">
      <c r="A2581" s="15">
        <v>37.0</v>
      </c>
      <c r="B2581" s="16" t="s">
        <v>7875</v>
      </c>
      <c r="C2581" s="17" t="s">
        <v>5620</v>
      </c>
      <c r="D2581" s="18">
        <v>7.19</v>
      </c>
      <c r="E2581" s="18">
        <v>9.17</v>
      </c>
      <c r="F2581" s="18">
        <v>12.0</v>
      </c>
    </row>
    <row r="2582">
      <c r="A2582" s="15">
        <v>38.0</v>
      </c>
      <c r="B2582" s="16" t="s">
        <v>7876</v>
      </c>
      <c r="C2582" s="17" t="s">
        <v>5636</v>
      </c>
      <c r="D2582" s="18">
        <v>10.66</v>
      </c>
      <c r="E2582" s="18">
        <v>14.93</v>
      </c>
      <c r="F2582" s="18">
        <v>12.0</v>
      </c>
    </row>
    <row r="2583">
      <c r="A2583" s="15">
        <v>39.0</v>
      </c>
      <c r="B2583" s="16" t="s">
        <v>7877</v>
      </c>
      <c r="C2583" s="17" t="s">
        <v>5636</v>
      </c>
      <c r="D2583" s="18">
        <v>21.13</v>
      </c>
      <c r="E2583" s="18">
        <v>28.2</v>
      </c>
      <c r="F2583" s="18">
        <v>12.0</v>
      </c>
    </row>
    <row r="2584">
      <c r="A2584" s="15">
        <v>40.0</v>
      </c>
      <c r="B2584" s="16" t="s">
        <v>7878</v>
      </c>
      <c r="C2584" s="17" t="s">
        <v>5788</v>
      </c>
      <c r="D2584" s="18">
        <v>45.5</v>
      </c>
      <c r="E2584" s="18">
        <v>63.7</v>
      </c>
      <c r="F2584" s="18">
        <v>12.0</v>
      </c>
    </row>
    <row r="2585">
      <c r="A2585" s="15">
        <v>41.0</v>
      </c>
      <c r="B2585" s="16" t="s">
        <v>7878</v>
      </c>
      <c r="C2585" s="17" t="s">
        <v>5546</v>
      </c>
      <c r="D2585" s="18">
        <v>41.21</v>
      </c>
      <c r="E2585" s="18">
        <v>57.7</v>
      </c>
      <c r="F2585" s="18">
        <v>12.0</v>
      </c>
    </row>
    <row r="2586">
      <c r="A2586" s="15">
        <v>42.0</v>
      </c>
      <c r="B2586" s="16" t="s">
        <v>7879</v>
      </c>
      <c r="C2586" s="17" t="s">
        <v>5788</v>
      </c>
      <c r="D2586" s="18">
        <v>57.5</v>
      </c>
      <c r="E2586" s="18">
        <v>80.5</v>
      </c>
      <c r="F2586" s="18">
        <v>12.0</v>
      </c>
    </row>
    <row r="2587">
      <c r="A2587" s="15">
        <v>43.0</v>
      </c>
      <c r="B2587" s="16" t="s">
        <v>7879</v>
      </c>
      <c r="C2587" s="17" t="s">
        <v>5546</v>
      </c>
      <c r="D2587" s="18">
        <v>62.14</v>
      </c>
      <c r="E2587" s="18">
        <v>87.0</v>
      </c>
      <c r="F2587" s="18">
        <v>12.0</v>
      </c>
    </row>
    <row r="2588">
      <c r="A2588" s="15">
        <v>44.0</v>
      </c>
      <c r="B2588" s="16" t="s">
        <v>7880</v>
      </c>
      <c r="C2588" s="17" t="s">
        <v>7881</v>
      </c>
      <c r="D2588" s="18">
        <v>34.36</v>
      </c>
      <c r="E2588" s="18">
        <v>48.1</v>
      </c>
      <c r="F2588" s="18">
        <v>12.0</v>
      </c>
    </row>
    <row r="2589">
      <c r="A2589" s="15">
        <v>45.0</v>
      </c>
      <c r="B2589" s="16" t="s">
        <v>7880</v>
      </c>
      <c r="C2589" s="17" t="s">
        <v>7882</v>
      </c>
      <c r="D2589" s="18">
        <v>45.57</v>
      </c>
      <c r="E2589" s="18">
        <v>63.8</v>
      </c>
      <c r="F2589" s="18">
        <v>12.0</v>
      </c>
    </row>
    <row r="2590">
      <c r="A2590" s="15">
        <v>46.0</v>
      </c>
      <c r="B2590" s="16" t="s">
        <v>7883</v>
      </c>
      <c r="C2590" s="17" t="s">
        <v>5636</v>
      </c>
      <c r="D2590" s="18">
        <v>11.39</v>
      </c>
      <c r="E2590" s="18">
        <v>15.95</v>
      </c>
      <c r="F2590" s="18">
        <v>12.0</v>
      </c>
    </row>
    <row r="2591">
      <c r="A2591" s="15">
        <v>47.0</v>
      </c>
      <c r="B2591" s="16" t="s">
        <v>7884</v>
      </c>
      <c r="C2591" s="17" t="s">
        <v>5636</v>
      </c>
      <c r="D2591" s="18">
        <v>26.07</v>
      </c>
      <c r="E2591" s="18">
        <v>36.5</v>
      </c>
      <c r="F2591" s="18">
        <v>12.0</v>
      </c>
    </row>
    <row r="2592">
      <c r="A2592" s="15">
        <v>48.0</v>
      </c>
      <c r="B2592" s="16" t="s">
        <v>7885</v>
      </c>
      <c r="C2592" s="17" t="s">
        <v>5636</v>
      </c>
      <c r="D2592" s="18">
        <v>34.18</v>
      </c>
      <c r="E2592" s="18">
        <v>47.85</v>
      </c>
      <c r="F2592" s="18">
        <v>12.0</v>
      </c>
    </row>
    <row r="2593">
      <c r="A2593" s="15">
        <v>49.0</v>
      </c>
      <c r="B2593" s="16" t="s">
        <v>2083</v>
      </c>
      <c r="C2593" s="16" t="s">
        <v>5558</v>
      </c>
      <c r="D2593" s="18">
        <v>36.04</v>
      </c>
      <c r="E2593" s="18">
        <v>50.45</v>
      </c>
      <c r="F2593" s="18">
        <v>12.0</v>
      </c>
    </row>
    <row r="2594">
      <c r="A2594" s="15">
        <v>50.0</v>
      </c>
      <c r="B2594" s="16" t="s">
        <v>7886</v>
      </c>
      <c r="C2594" s="17" t="s">
        <v>5614</v>
      </c>
      <c r="D2594" s="18">
        <v>20.29</v>
      </c>
      <c r="E2594" s="18">
        <v>28.4</v>
      </c>
      <c r="F2594" s="18">
        <v>12.0</v>
      </c>
    </row>
    <row r="2595">
      <c r="A2595" s="15">
        <v>51.0</v>
      </c>
      <c r="B2595" s="16" t="s">
        <v>7887</v>
      </c>
      <c r="C2595" s="17" t="s">
        <v>5562</v>
      </c>
      <c r="D2595" s="18">
        <v>36.6</v>
      </c>
      <c r="E2595" s="18">
        <v>51.24</v>
      </c>
      <c r="F2595" s="18">
        <v>12.0</v>
      </c>
    </row>
    <row r="2596">
      <c r="A2596" s="15">
        <v>52.0</v>
      </c>
      <c r="B2596" s="16" t="s">
        <v>7888</v>
      </c>
      <c r="C2596" s="17" t="s">
        <v>5536</v>
      </c>
      <c r="D2596" s="18">
        <v>31.24</v>
      </c>
      <c r="E2596" s="18">
        <v>41.95</v>
      </c>
      <c r="F2596" s="18">
        <v>12.0</v>
      </c>
    </row>
    <row r="2597">
      <c r="A2597" s="15">
        <v>53.0</v>
      </c>
      <c r="B2597" s="16" t="s">
        <v>7889</v>
      </c>
      <c r="C2597" s="17" t="s">
        <v>5636</v>
      </c>
      <c r="D2597" s="18">
        <v>36.05</v>
      </c>
      <c r="E2597" s="18">
        <v>50.0</v>
      </c>
      <c r="F2597" s="18">
        <v>12.0</v>
      </c>
    </row>
    <row r="2598">
      <c r="A2598" s="15">
        <v>54.0</v>
      </c>
      <c r="B2598" s="16" t="s">
        <v>7890</v>
      </c>
      <c r="C2598" s="17" t="s">
        <v>5636</v>
      </c>
      <c r="D2598" s="18">
        <v>36.14</v>
      </c>
      <c r="E2598" s="18">
        <v>50.6</v>
      </c>
      <c r="F2598" s="18">
        <v>12.0</v>
      </c>
    </row>
    <row r="2599">
      <c r="A2599" s="15">
        <v>55.0</v>
      </c>
      <c r="B2599" s="16" t="s">
        <v>7891</v>
      </c>
      <c r="C2599" s="17" t="s">
        <v>5530</v>
      </c>
      <c r="D2599" s="18">
        <v>60.18</v>
      </c>
      <c r="E2599" s="18">
        <v>83.5</v>
      </c>
      <c r="F2599" s="18">
        <v>12.0</v>
      </c>
    </row>
    <row r="2600">
      <c r="A2600" s="15">
        <v>56.0</v>
      </c>
      <c r="B2600" s="16" t="s">
        <v>7891</v>
      </c>
      <c r="C2600" s="17" t="s">
        <v>5531</v>
      </c>
      <c r="D2600" s="18">
        <v>72.41</v>
      </c>
      <c r="E2600" s="18">
        <v>100.5</v>
      </c>
      <c r="F2600" s="18">
        <v>12.0</v>
      </c>
    </row>
    <row r="2601">
      <c r="A2601" s="15">
        <v>57.0</v>
      </c>
      <c r="B2601" s="16" t="s">
        <v>7892</v>
      </c>
      <c r="C2601" s="17" t="s">
        <v>5536</v>
      </c>
      <c r="D2601" s="18">
        <v>29.04</v>
      </c>
      <c r="E2601" s="18">
        <v>40.65</v>
      </c>
      <c r="F2601" s="18">
        <v>12.0</v>
      </c>
    </row>
    <row r="2602">
      <c r="A2602" s="15">
        <v>58.0</v>
      </c>
      <c r="B2602" s="16" t="s">
        <v>7893</v>
      </c>
      <c r="C2602" s="17" t="s">
        <v>5536</v>
      </c>
      <c r="D2602" s="18">
        <v>59.36</v>
      </c>
      <c r="E2602" s="18">
        <v>83.1</v>
      </c>
      <c r="F2602" s="18">
        <v>12.0</v>
      </c>
    </row>
    <row r="2603">
      <c r="A2603" s="15">
        <v>59.0</v>
      </c>
      <c r="B2603" s="16" t="s">
        <v>7894</v>
      </c>
      <c r="C2603" s="17" t="s">
        <v>5636</v>
      </c>
      <c r="D2603" s="18">
        <v>20.64</v>
      </c>
      <c r="E2603" s="18">
        <v>28.9</v>
      </c>
      <c r="F2603" s="18">
        <v>12.0</v>
      </c>
    </row>
    <row r="2604">
      <c r="A2604" s="15">
        <v>60.0</v>
      </c>
      <c r="B2604" s="16" t="s">
        <v>7895</v>
      </c>
      <c r="C2604" s="17" t="s">
        <v>5636</v>
      </c>
      <c r="D2604" s="18">
        <v>31.0</v>
      </c>
      <c r="E2604" s="18">
        <v>43.0</v>
      </c>
      <c r="F2604" s="18">
        <v>12.0</v>
      </c>
    </row>
    <row r="2605">
      <c r="A2605" s="15">
        <v>61.0</v>
      </c>
      <c r="B2605" s="16" t="s">
        <v>7896</v>
      </c>
      <c r="C2605" s="17" t="s">
        <v>5636</v>
      </c>
      <c r="D2605" s="18">
        <v>75.43</v>
      </c>
      <c r="E2605" s="18">
        <v>105.6</v>
      </c>
      <c r="F2605" s="18">
        <v>12.0</v>
      </c>
    </row>
    <row r="2606">
      <c r="A2606" s="15">
        <v>62.0</v>
      </c>
      <c r="B2606" s="16" t="s">
        <v>7897</v>
      </c>
      <c r="C2606" s="17" t="s">
        <v>6186</v>
      </c>
      <c r="D2606" s="18">
        <v>61.43</v>
      </c>
      <c r="E2606" s="18">
        <v>86.0</v>
      </c>
      <c r="F2606" s="18">
        <v>12.0</v>
      </c>
    </row>
    <row r="2607">
      <c r="A2607" s="15">
        <v>63.0</v>
      </c>
      <c r="B2607" s="16" t="s">
        <v>7898</v>
      </c>
      <c r="C2607" s="16" t="s">
        <v>6854</v>
      </c>
      <c r="D2607" s="18">
        <v>29.91</v>
      </c>
      <c r="E2607" s="18">
        <v>41.5</v>
      </c>
      <c r="F2607" s="18">
        <v>12.0</v>
      </c>
    </row>
    <row r="2608">
      <c r="A2608" s="15">
        <v>64.0</v>
      </c>
      <c r="B2608" s="16" t="s">
        <v>2098</v>
      </c>
      <c r="C2608" s="16" t="s">
        <v>5558</v>
      </c>
      <c r="D2608" s="18">
        <v>64.64</v>
      </c>
      <c r="E2608" s="18">
        <v>90.5</v>
      </c>
      <c r="F2608" s="18">
        <v>12.0</v>
      </c>
    </row>
    <row r="2609">
      <c r="A2609" s="15">
        <v>65.0</v>
      </c>
      <c r="B2609" s="16" t="s">
        <v>7899</v>
      </c>
      <c r="C2609" s="17" t="s">
        <v>5762</v>
      </c>
      <c r="D2609" s="18">
        <v>42.19</v>
      </c>
      <c r="E2609" s="18">
        <v>57.94</v>
      </c>
      <c r="F2609" s="18">
        <v>12.0</v>
      </c>
    </row>
    <row r="2610">
      <c r="A2610" s="6"/>
      <c r="B2610" s="7"/>
      <c r="C2610" s="7"/>
      <c r="D2610" s="7"/>
      <c r="E2610" s="7"/>
      <c r="F2610" s="8"/>
    </row>
    <row r="2611">
      <c r="A2611" s="9" t="s">
        <v>7900</v>
      </c>
      <c r="B2611" s="10"/>
      <c r="C2611" s="10"/>
      <c r="D2611" s="10"/>
      <c r="E2611" s="10"/>
      <c r="F2611" s="10"/>
    </row>
    <row r="2612">
      <c r="A2612" s="11">
        <v>1.0</v>
      </c>
      <c r="B2612" s="12" t="s">
        <v>7901</v>
      </c>
      <c r="C2612" s="13" t="s">
        <v>5536</v>
      </c>
      <c r="D2612" s="14">
        <v>31.71</v>
      </c>
      <c r="E2612" s="14">
        <v>44.0</v>
      </c>
      <c r="F2612" s="14">
        <v>12.0</v>
      </c>
    </row>
    <row r="2613">
      <c r="A2613" s="15">
        <v>2.0</v>
      </c>
      <c r="B2613" s="16" t="s">
        <v>7902</v>
      </c>
      <c r="C2613" s="17" t="s">
        <v>5653</v>
      </c>
      <c r="D2613" s="18">
        <v>102.14</v>
      </c>
      <c r="E2613" s="18">
        <v>143.0</v>
      </c>
      <c r="F2613" s="18">
        <v>12.0</v>
      </c>
    </row>
    <row r="2614">
      <c r="A2614" s="15">
        <v>3.0</v>
      </c>
      <c r="B2614" s="16" t="s">
        <v>7902</v>
      </c>
      <c r="C2614" s="17" t="s">
        <v>5655</v>
      </c>
      <c r="D2614" s="18">
        <v>74.96</v>
      </c>
      <c r="E2614" s="18">
        <v>104.0</v>
      </c>
      <c r="F2614" s="18">
        <v>12.0</v>
      </c>
    </row>
    <row r="2615">
      <c r="A2615" s="15">
        <v>4.0</v>
      </c>
      <c r="B2615" s="16" t="s">
        <v>7903</v>
      </c>
      <c r="C2615" s="17" t="s">
        <v>5536</v>
      </c>
      <c r="D2615" s="18">
        <v>46.93</v>
      </c>
      <c r="E2615" s="18">
        <v>62.5</v>
      </c>
      <c r="F2615" s="18">
        <v>12.0</v>
      </c>
    </row>
    <row r="2616">
      <c r="A2616" s="15">
        <v>5.0</v>
      </c>
      <c r="B2616" s="16" t="s">
        <v>7904</v>
      </c>
      <c r="C2616" s="17" t="s">
        <v>7905</v>
      </c>
      <c r="D2616" s="18">
        <v>40.36</v>
      </c>
      <c r="E2616" s="18">
        <v>56.5</v>
      </c>
      <c r="F2616" s="18">
        <v>12.0</v>
      </c>
    </row>
    <row r="2617">
      <c r="A2617" s="15">
        <v>6.0</v>
      </c>
      <c r="B2617" s="16" t="s">
        <v>7906</v>
      </c>
      <c r="C2617" s="17" t="s">
        <v>5530</v>
      </c>
      <c r="D2617" s="18">
        <v>24.77</v>
      </c>
      <c r="E2617" s="18">
        <v>33.0</v>
      </c>
      <c r="F2617" s="18">
        <v>12.0</v>
      </c>
    </row>
    <row r="2618">
      <c r="A2618" s="15">
        <v>7.0</v>
      </c>
      <c r="B2618" s="16" t="s">
        <v>7906</v>
      </c>
      <c r="C2618" s="17" t="s">
        <v>5531</v>
      </c>
      <c r="D2618" s="18">
        <v>37.54</v>
      </c>
      <c r="E2618" s="18">
        <v>50.0</v>
      </c>
      <c r="F2618" s="18">
        <v>12.0</v>
      </c>
    </row>
    <row r="2619">
      <c r="A2619" s="15">
        <v>8.0</v>
      </c>
      <c r="B2619" s="16" t="s">
        <v>7907</v>
      </c>
      <c r="C2619" s="17" t="s">
        <v>5536</v>
      </c>
      <c r="D2619" s="18">
        <v>28.83</v>
      </c>
      <c r="E2619" s="18">
        <v>40.0</v>
      </c>
      <c r="F2619" s="18">
        <v>12.0</v>
      </c>
    </row>
    <row r="2620">
      <c r="A2620" s="15">
        <v>9.0</v>
      </c>
      <c r="B2620" s="16" t="s">
        <v>7908</v>
      </c>
      <c r="C2620" s="17" t="s">
        <v>5536</v>
      </c>
      <c r="D2620" s="18">
        <v>43.21</v>
      </c>
      <c r="E2620" s="18">
        <v>60.5</v>
      </c>
      <c r="F2620" s="18">
        <v>12.0</v>
      </c>
    </row>
    <row r="2621">
      <c r="A2621" s="6"/>
      <c r="B2621" s="7"/>
      <c r="C2621" s="7"/>
      <c r="D2621" s="7"/>
      <c r="E2621" s="8"/>
      <c r="F2621" s="16" t="s">
        <v>7909</v>
      </c>
    </row>
    <row r="2622">
      <c r="A2622" s="6"/>
      <c r="B2622" s="7"/>
      <c r="C2622" s="7"/>
      <c r="D2622" s="7"/>
      <c r="E2622" s="7"/>
      <c r="F2622" s="8"/>
    </row>
    <row r="2623">
      <c r="A2623" s="6"/>
      <c r="B2623" s="7"/>
      <c r="C2623" s="7"/>
      <c r="D2623" s="7"/>
      <c r="E2623" s="7"/>
      <c r="F2623" s="8"/>
    </row>
    <row r="2624">
      <c r="A2624" s="6"/>
      <c r="B2624" s="7"/>
      <c r="C2624" s="7"/>
      <c r="D2624" s="7"/>
      <c r="E2624" s="7"/>
      <c r="F2624" s="8"/>
    </row>
    <row r="2625">
      <c r="A2625" s="6"/>
      <c r="B2625" s="7"/>
      <c r="C2625" s="7"/>
      <c r="D2625" s="7"/>
      <c r="E2625" s="7"/>
      <c r="F2625" s="8"/>
    </row>
    <row r="2626">
      <c r="A2626" s="9" t="s">
        <v>5582</v>
      </c>
      <c r="B2626" s="10"/>
      <c r="C2626" s="10"/>
      <c r="D2626" s="10"/>
      <c r="E2626" s="10"/>
      <c r="F2626" s="10"/>
    </row>
    <row r="2627">
      <c r="A2627" s="19" t="s">
        <v>5583</v>
      </c>
    </row>
    <row r="2628">
      <c r="A2628" s="6"/>
      <c r="B2628" s="7"/>
      <c r="C2628" s="7"/>
      <c r="D2628" s="8"/>
      <c r="E2628" s="12" t="s">
        <v>5584</v>
      </c>
      <c r="F2628" s="12" t="s">
        <v>7910</v>
      </c>
    </row>
    <row r="2629">
      <c r="A2629" s="20" t="s">
        <v>5522</v>
      </c>
      <c r="B2629" s="16" t="s">
        <v>5523</v>
      </c>
      <c r="C2629" s="16" t="s">
        <v>5524</v>
      </c>
      <c r="D2629" s="16" t="s">
        <v>5525</v>
      </c>
      <c r="E2629" s="16" t="s">
        <v>5526</v>
      </c>
      <c r="F2629" s="16" t="s">
        <v>5586</v>
      </c>
    </row>
    <row r="2630">
      <c r="A2630" s="15">
        <v>10.0</v>
      </c>
      <c r="B2630" s="16" t="s">
        <v>7911</v>
      </c>
      <c r="C2630" s="17" t="s">
        <v>7142</v>
      </c>
      <c r="D2630" s="18">
        <v>35.71</v>
      </c>
      <c r="E2630" s="18">
        <v>50.0</v>
      </c>
      <c r="F2630" s="18">
        <v>12.0</v>
      </c>
    </row>
    <row r="2631">
      <c r="A2631" s="15">
        <v>11.0</v>
      </c>
      <c r="B2631" s="16" t="s">
        <v>7911</v>
      </c>
      <c r="C2631" s="17" t="s">
        <v>7143</v>
      </c>
      <c r="D2631" s="18">
        <v>39.63</v>
      </c>
      <c r="E2631" s="18">
        <v>55.0</v>
      </c>
      <c r="F2631" s="18">
        <v>12.0</v>
      </c>
    </row>
    <row r="2632">
      <c r="A2632" s="15">
        <v>12.0</v>
      </c>
      <c r="B2632" s="16" t="s">
        <v>7912</v>
      </c>
      <c r="C2632" s="17" t="s">
        <v>5636</v>
      </c>
      <c r="D2632" s="18">
        <v>10.55</v>
      </c>
      <c r="E2632" s="18">
        <v>14.5</v>
      </c>
      <c r="F2632" s="18">
        <v>12.0</v>
      </c>
    </row>
    <row r="2633">
      <c r="A2633" s="15">
        <v>13.0</v>
      </c>
      <c r="B2633" s="16" t="s">
        <v>7913</v>
      </c>
      <c r="C2633" s="17" t="s">
        <v>5536</v>
      </c>
      <c r="D2633" s="18">
        <v>19.83</v>
      </c>
      <c r="E2633" s="18">
        <v>27.25</v>
      </c>
      <c r="F2633" s="18">
        <v>12.0</v>
      </c>
    </row>
    <row r="2634">
      <c r="A2634" s="6"/>
      <c r="B2634" s="7"/>
      <c r="C2634" s="7"/>
      <c r="D2634" s="7"/>
      <c r="E2634" s="7"/>
      <c r="F2634" s="8"/>
    </row>
    <row r="2635">
      <c r="A2635" s="9" t="s">
        <v>7914</v>
      </c>
      <c r="B2635" s="10"/>
      <c r="C2635" s="10"/>
      <c r="D2635" s="10"/>
      <c r="E2635" s="10"/>
      <c r="F2635" s="10"/>
    </row>
    <row r="2636">
      <c r="A2636" s="11">
        <v>1.0</v>
      </c>
      <c r="B2636" s="12" t="s">
        <v>7915</v>
      </c>
      <c r="C2636" s="13" t="s">
        <v>7916</v>
      </c>
      <c r="D2636" s="14">
        <v>142.86</v>
      </c>
      <c r="E2636" s="14">
        <v>200.0</v>
      </c>
      <c r="F2636" s="14">
        <v>12.0</v>
      </c>
    </row>
    <row r="2637">
      <c r="A2637" s="15">
        <v>2.0</v>
      </c>
      <c r="B2637" s="16" t="s">
        <v>7917</v>
      </c>
      <c r="C2637" s="17" t="s">
        <v>6626</v>
      </c>
      <c r="D2637" s="18">
        <v>36.07</v>
      </c>
      <c r="E2637" s="18">
        <v>50.5</v>
      </c>
      <c r="F2637" s="18">
        <v>12.0</v>
      </c>
    </row>
    <row r="2638">
      <c r="A2638" s="15">
        <v>3.0</v>
      </c>
      <c r="B2638" s="16" t="s">
        <v>7918</v>
      </c>
      <c r="C2638" s="17" t="s">
        <v>6626</v>
      </c>
      <c r="D2638" s="18">
        <v>161.43</v>
      </c>
      <c r="E2638" s="18">
        <v>226.0</v>
      </c>
      <c r="F2638" s="18">
        <v>12.0</v>
      </c>
    </row>
    <row r="2639">
      <c r="A2639" s="15">
        <v>4.0</v>
      </c>
      <c r="B2639" s="16" t="s">
        <v>7919</v>
      </c>
      <c r="C2639" s="17" t="s">
        <v>5562</v>
      </c>
      <c r="D2639" s="18">
        <v>36.1</v>
      </c>
      <c r="E2639" s="18">
        <v>47.38</v>
      </c>
      <c r="F2639" s="18">
        <v>5.0</v>
      </c>
    </row>
    <row r="2640">
      <c r="A2640" s="15">
        <v>5.0</v>
      </c>
      <c r="B2640" s="16" t="s">
        <v>7920</v>
      </c>
      <c r="C2640" s="17" t="s">
        <v>5704</v>
      </c>
      <c r="D2640" s="18">
        <v>43.29</v>
      </c>
      <c r="E2640" s="18">
        <v>60.6</v>
      </c>
      <c r="F2640" s="18">
        <v>12.0</v>
      </c>
    </row>
    <row r="2641">
      <c r="A2641" s="15">
        <v>6.0</v>
      </c>
      <c r="B2641" s="16" t="s">
        <v>7921</v>
      </c>
      <c r="C2641" s="17" t="s">
        <v>6626</v>
      </c>
      <c r="D2641" s="18">
        <v>250.0</v>
      </c>
      <c r="E2641" s="18">
        <v>350.0</v>
      </c>
      <c r="F2641" s="18">
        <v>12.0</v>
      </c>
    </row>
    <row r="2642">
      <c r="A2642" s="15">
        <v>7.0</v>
      </c>
      <c r="B2642" s="16" t="s">
        <v>7922</v>
      </c>
      <c r="C2642" s="17" t="s">
        <v>5704</v>
      </c>
      <c r="D2642" s="18">
        <v>90.25</v>
      </c>
      <c r="E2642" s="18">
        <v>126.35</v>
      </c>
      <c r="F2642" s="18">
        <v>12.0</v>
      </c>
    </row>
    <row r="2643">
      <c r="A2643" s="15">
        <v>8.0</v>
      </c>
      <c r="B2643" s="16" t="s">
        <v>7923</v>
      </c>
      <c r="C2643" s="17" t="s">
        <v>6626</v>
      </c>
      <c r="D2643" s="18">
        <v>28.68</v>
      </c>
      <c r="E2643" s="18">
        <v>40.15</v>
      </c>
      <c r="F2643" s="18">
        <v>12.0</v>
      </c>
    </row>
    <row r="2644">
      <c r="A2644" s="15">
        <v>9.0</v>
      </c>
      <c r="B2644" s="16" t="s">
        <v>7924</v>
      </c>
      <c r="C2644" s="17" t="s">
        <v>6596</v>
      </c>
      <c r="D2644" s="18">
        <v>92.71</v>
      </c>
      <c r="E2644" s="18">
        <v>129.0</v>
      </c>
      <c r="F2644" s="18">
        <v>12.0</v>
      </c>
    </row>
    <row r="2645">
      <c r="A2645" s="15">
        <v>10.0</v>
      </c>
      <c r="B2645" s="16" t="s">
        <v>7925</v>
      </c>
      <c r="C2645" s="17" t="s">
        <v>6626</v>
      </c>
      <c r="D2645" s="18">
        <v>8.84</v>
      </c>
      <c r="E2645" s="18">
        <v>12.37</v>
      </c>
      <c r="F2645" s="18">
        <v>12.0</v>
      </c>
    </row>
    <row r="2646">
      <c r="A2646" s="15">
        <v>11.0</v>
      </c>
      <c r="B2646" s="16" t="s">
        <v>7925</v>
      </c>
      <c r="C2646" s="17" t="s">
        <v>5707</v>
      </c>
      <c r="D2646" s="18">
        <v>17.67</v>
      </c>
      <c r="E2646" s="18">
        <v>24.74</v>
      </c>
      <c r="F2646" s="18">
        <v>12.0</v>
      </c>
    </row>
    <row r="2647">
      <c r="A2647" s="15">
        <v>12.0</v>
      </c>
      <c r="B2647" s="16" t="s">
        <v>7926</v>
      </c>
      <c r="C2647" s="17" t="s">
        <v>7619</v>
      </c>
      <c r="D2647" s="18">
        <v>85.71</v>
      </c>
      <c r="E2647" s="18">
        <v>120.0</v>
      </c>
      <c r="F2647" s="18">
        <v>12.0</v>
      </c>
    </row>
    <row r="2648">
      <c r="A2648" s="15">
        <v>13.0</v>
      </c>
      <c r="B2648" s="16" t="s">
        <v>7927</v>
      </c>
      <c r="C2648" s="17" t="s">
        <v>6626</v>
      </c>
      <c r="D2648" s="18">
        <v>54.64</v>
      </c>
      <c r="E2648" s="18">
        <v>76.5</v>
      </c>
      <c r="F2648" s="18">
        <v>12.0</v>
      </c>
    </row>
    <row r="2649">
      <c r="A2649" s="15">
        <v>14.0</v>
      </c>
      <c r="B2649" s="16" t="s">
        <v>7927</v>
      </c>
      <c r="C2649" s="17" t="s">
        <v>6422</v>
      </c>
      <c r="D2649" s="18">
        <v>30.76</v>
      </c>
      <c r="E2649" s="18">
        <v>42.25</v>
      </c>
      <c r="F2649" s="18">
        <v>12.0</v>
      </c>
    </row>
    <row r="2650">
      <c r="A2650" s="15">
        <v>15.0</v>
      </c>
      <c r="B2650" s="16" t="s">
        <v>7928</v>
      </c>
      <c r="C2650" s="17" t="s">
        <v>6626</v>
      </c>
      <c r="D2650" s="18">
        <v>109.09</v>
      </c>
      <c r="E2650" s="18">
        <v>149.82</v>
      </c>
      <c r="F2650" s="18">
        <v>12.0</v>
      </c>
    </row>
    <row r="2651">
      <c r="A2651" s="15">
        <v>16.0</v>
      </c>
      <c r="B2651" s="16" t="s">
        <v>7929</v>
      </c>
      <c r="C2651" s="17" t="s">
        <v>6626</v>
      </c>
      <c r="D2651" s="18">
        <v>203.14</v>
      </c>
      <c r="E2651" s="18">
        <v>279.0</v>
      </c>
      <c r="F2651" s="18">
        <v>12.0</v>
      </c>
    </row>
    <row r="2652">
      <c r="A2652" s="15">
        <v>17.0</v>
      </c>
      <c r="B2652" s="16" t="s">
        <v>7930</v>
      </c>
      <c r="C2652" s="17" t="s">
        <v>6626</v>
      </c>
      <c r="D2652" s="18">
        <v>44.07</v>
      </c>
      <c r="E2652" s="18">
        <v>61.7</v>
      </c>
      <c r="F2652" s="18">
        <v>12.0</v>
      </c>
    </row>
    <row r="2653">
      <c r="A2653" s="15">
        <v>18.0</v>
      </c>
      <c r="B2653" s="16" t="s">
        <v>7931</v>
      </c>
      <c r="C2653" s="17" t="s">
        <v>6422</v>
      </c>
      <c r="D2653" s="18">
        <v>41.5</v>
      </c>
      <c r="E2653" s="18">
        <v>58.1</v>
      </c>
      <c r="F2653" s="18">
        <v>12.0</v>
      </c>
    </row>
    <row r="2654">
      <c r="A2654" s="15">
        <v>19.0</v>
      </c>
      <c r="B2654" s="16" t="s">
        <v>2133</v>
      </c>
      <c r="C2654" s="16" t="s">
        <v>7497</v>
      </c>
      <c r="D2654" s="18">
        <v>180.58</v>
      </c>
      <c r="E2654" s="18">
        <v>285.0</v>
      </c>
      <c r="F2654" s="18">
        <v>28.0</v>
      </c>
    </row>
    <row r="2655">
      <c r="A2655" s="15">
        <v>20.0</v>
      </c>
      <c r="B2655" s="16" t="s">
        <v>7932</v>
      </c>
      <c r="C2655" s="17" t="s">
        <v>5704</v>
      </c>
      <c r="D2655" s="18">
        <v>41.98</v>
      </c>
      <c r="E2655" s="18">
        <v>55.1</v>
      </c>
      <c r="F2655" s="18">
        <v>5.0</v>
      </c>
    </row>
    <row r="2656">
      <c r="A2656" s="15">
        <v>21.0</v>
      </c>
      <c r="B2656" s="16" t="s">
        <v>7933</v>
      </c>
      <c r="C2656" s="17" t="s">
        <v>7934</v>
      </c>
      <c r="D2656" s="18">
        <v>97.5</v>
      </c>
      <c r="E2656" s="18">
        <v>136.5</v>
      </c>
      <c r="F2656" s="18">
        <v>12.0</v>
      </c>
    </row>
    <row r="2657">
      <c r="A2657" s="15">
        <v>22.0</v>
      </c>
      <c r="B2657" s="16" t="s">
        <v>7933</v>
      </c>
      <c r="C2657" s="17" t="s">
        <v>7935</v>
      </c>
      <c r="D2657" s="18">
        <v>43.7</v>
      </c>
      <c r="E2657" s="18">
        <v>60.0</v>
      </c>
      <c r="F2657" s="18">
        <v>12.0</v>
      </c>
    </row>
    <row r="2658">
      <c r="A2658" s="15">
        <v>23.0</v>
      </c>
      <c r="B2658" s="16" t="s">
        <v>7936</v>
      </c>
      <c r="C2658" s="17" t="s">
        <v>7937</v>
      </c>
      <c r="D2658" s="18">
        <v>8.86</v>
      </c>
      <c r="E2658" s="18">
        <v>12.4</v>
      </c>
      <c r="F2658" s="18">
        <v>12.0</v>
      </c>
    </row>
    <row r="2659">
      <c r="A2659" s="15">
        <v>24.0</v>
      </c>
      <c r="B2659" s="16" t="s">
        <v>7936</v>
      </c>
      <c r="C2659" s="17" t="s">
        <v>7938</v>
      </c>
      <c r="D2659" s="18">
        <v>17.71</v>
      </c>
      <c r="E2659" s="18">
        <v>24.8</v>
      </c>
      <c r="F2659" s="18">
        <v>12.0</v>
      </c>
    </row>
    <row r="2660">
      <c r="A2660" s="15">
        <v>25.0</v>
      </c>
      <c r="B2660" s="16" t="s">
        <v>7939</v>
      </c>
      <c r="C2660" s="17" t="s">
        <v>6626</v>
      </c>
      <c r="D2660" s="18">
        <v>41.25</v>
      </c>
      <c r="E2660" s="18">
        <v>52.5</v>
      </c>
      <c r="F2660" s="18">
        <v>12.0</v>
      </c>
    </row>
    <row r="2661">
      <c r="A2661" s="15">
        <v>26.0</v>
      </c>
      <c r="B2661" s="16" t="s">
        <v>7940</v>
      </c>
      <c r="C2661" s="16" t="s">
        <v>7306</v>
      </c>
      <c r="D2661" s="18">
        <v>8.97</v>
      </c>
      <c r="E2661" s="18">
        <v>11.5</v>
      </c>
      <c r="F2661" s="18">
        <v>12.0</v>
      </c>
    </row>
    <row r="2662">
      <c r="A2662" s="15">
        <v>27.0</v>
      </c>
      <c r="B2662" s="16" t="s">
        <v>7941</v>
      </c>
      <c r="C2662" s="17" t="s">
        <v>6626</v>
      </c>
      <c r="D2662" s="18">
        <v>8.21</v>
      </c>
      <c r="E2662" s="18">
        <v>11.5</v>
      </c>
      <c r="F2662" s="18">
        <v>12.0</v>
      </c>
    </row>
    <row r="2663">
      <c r="A2663" s="15">
        <v>28.0</v>
      </c>
      <c r="B2663" s="16" t="s">
        <v>7942</v>
      </c>
      <c r="C2663" s="16" t="s">
        <v>6287</v>
      </c>
      <c r="D2663" s="18">
        <v>26.71</v>
      </c>
      <c r="E2663" s="18">
        <v>37.4</v>
      </c>
      <c r="F2663" s="18">
        <v>12.0</v>
      </c>
    </row>
    <row r="2664">
      <c r="A2664" s="6"/>
      <c r="B2664" s="7"/>
      <c r="C2664" s="7"/>
      <c r="D2664" s="7"/>
      <c r="E2664" s="7"/>
      <c r="F2664" s="8"/>
    </row>
    <row r="2665">
      <c r="A2665" s="9" t="s">
        <v>7943</v>
      </c>
      <c r="B2665" s="10"/>
      <c r="C2665" s="10"/>
      <c r="D2665" s="10"/>
      <c r="E2665" s="10"/>
      <c r="F2665" s="10"/>
    </row>
    <row r="2666">
      <c r="A2666" s="11">
        <v>1.0</v>
      </c>
      <c r="B2666" s="12" t="s">
        <v>7944</v>
      </c>
      <c r="C2666" s="13" t="s">
        <v>7945</v>
      </c>
      <c r="D2666" s="14">
        <v>15.04</v>
      </c>
      <c r="E2666" s="14">
        <v>19.74</v>
      </c>
      <c r="F2666" s="14">
        <v>5.0</v>
      </c>
    </row>
    <row r="2667">
      <c r="A2667" s="15">
        <v>2.0</v>
      </c>
      <c r="B2667" s="16" t="s">
        <v>7944</v>
      </c>
      <c r="C2667" s="17" t="s">
        <v>7946</v>
      </c>
      <c r="D2667" s="18">
        <v>3.09</v>
      </c>
      <c r="E2667" s="18">
        <v>4.05</v>
      </c>
      <c r="F2667" s="18">
        <v>5.0</v>
      </c>
    </row>
    <row r="2668">
      <c r="A2668" s="15">
        <v>3.0</v>
      </c>
      <c r="B2668" s="16" t="s">
        <v>7944</v>
      </c>
      <c r="C2668" s="17" t="s">
        <v>7947</v>
      </c>
      <c r="D2668" s="18">
        <v>3.04</v>
      </c>
      <c r="E2668" s="18">
        <v>3.99</v>
      </c>
      <c r="F2668" s="18">
        <v>5.0</v>
      </c>
    </row>
    <row r="2669">
      <c r="A2669" s="15">
        <v>4.0</v>
      </c>
      <c r="B2669" s="16" t="s">
        <v>7944</v>
      </c>
      <c r="C2669" s="17" t="s">
        <v>7948</v>
      </c>
      <c r="D2669" s="18">
        <v>14.77</v>
      </c>
      <c r="E2669" s="18">
        <v>19.39</v>
      </c>
      <c r="F2669" s="18">
        <v>5.0</v>
      </c>
    </row>
    <row r="2670">
      <c r="A2670" s="15">
        <v>5.0</v>
      </c>
      <c r="B2670" s="16" t="s">
        <v>7944</v>
      </c>
      <c r="C2670" s="17" t="s">
        <v>7949</v>
      </c>
      <c r="D2670" s="18">
        <v>18.42</v>
      </c>
      <c r="E2670" s="18">
        <v>24.18</v>
      </c>
      <c r="F2670" s="18">
        <v>5.0</v>
      </c>
    </row>
    <row r="2671">
      <c r="A2671" s="15">
        <v>6.0</v>
      </c>
      <c r="B2671" s="16" t="s">
        <v>7944</v>
      </c>
      <c r="C2671" s="17" t="s">
        <v>7950</v>
      </c>
      <c r="D2671" s="18">
        <v>18.42</v>
      </c>
      <c r="E2671" s="18">
        <v>24.18</v>
      </c>
      <c r="F2671" s="18">
        <v>5.0</v>
      </c>
    </row>
    <row r="2672">
      <c r="A2672" s="15">
        <v>7.0</v>
      </c>
      <c r="B2672" s="16" t="s">
        <v>7944</v>
      </c>
      <c r="C2672" s="17" t="s">
        <v>7951</v>
      </c>
      <c r="D2672" s="18">
        <v>18.76</v>
      </c>
      <c r="E2672" s="18">
        <v>24.62</v>
      </c>
      <c r="F2672" s="18">
        <v>5.0</v>
      </c>
    </row>
    <row r="2673">
      <c r="A2673" s="15">
        <v>8.0</v>
      </c>
      <c r="B2673" s="16" t="s">
        <v>7952</v>
      </c>
      <c r="C2673" s="17" t="s">
        <v>7953</v>
      </c>
      <c r="D2673" s="18">
        <v>46.43</v>
      </c>
      <c r="E2673" s="18">
        <v>65.0</v>
      </c>
      <c r="F2673" s="18">
        <v>12.0</v>
      </c>
    </row>
    <row r="2674">
      <c r="A2674" s="15">
        <v>9.0</v>
      </c>
      <c r="B2674" s="16" t="s">
        <v>7954</v>
      </c>
      <c r="C2674" s="17" t="s">
        <v>7955</v>
      </c>
      <c r="D2674" s="18">
        <v>210.17</v>
      </c>
      <c r="E2674" s="18">
        <v>310.0</v>
      </c>
      <c r="F2674" s="18">
        <v>18.0</v>
      </c>
    </row>
    <row r="2675">
      <c r="A2675" s="15">
        <v>10.0</v>
      </c>
      <c r="B2675" s="16" t="s">
        <v>7954</v>
      </c>
      <c r="C2675" s="17" t="s">
        <v>7956</v>
      </c>
      <c r="D2675" s="18">
        <v>254.23</v>
      </c>
      <c r="E2675" s="18">
        <v>375.0</v>
      </c>
      <c r="F2675" s="18">
        <v>18.0</v>
      </c>
    </row>
    <row r="2676">
      <c r="A2676" s="15">
        <v>11.0</v>
      </c>
      <c r="B2676" s="16" t="s">
        <v>7957</v>
      </c>
      <c r="C2676" s="17" t="s">
        <v>7958</v>
      </c>
      <c r="D2676" s="18">
        <v>190.73</v>
      </c>
      <c r="E2676" s="18">
        <v>280.0</v>
      </c>
      <c r="F2676" s="18">
        <v>18.0</v>
      </c>
    </row>
    <row r="2677">
      <c r="A2677" s="15">
        <v>12.0</v>
      </c>
      <c r="B2677" s="16" t="s">
        <v>7959</v>
      </c>
      <c r="C2677" s="17" t="s">
        <v>7960</v>
      </c>
      <c r="D2677" s="18">
        <v>142.37</v>
      </c>
      <c r="E2677" s="18">
        <v>210.0</v>
      </c>
      <c r="F2677" s="18">
        <v>18.0</v>
      </c>
    </row>
    <row r="2678">
      <c r="A2678" s="15">
        <v>13.0</v>
      </c>
      <c r="B2678" s="16" t="s">
        <v>7959</v>
      </c>
      <c r="C2678" s="17" t="s">
        <v>7961</v>
      </c>
      <c r="D2678" s="18">
        <v>74.58</v>
      </c>
      <c r="E2678" s="18">
        <v>110.0</v>
      </c>
      <c r="F2678" s="18">
        <v>18.0</v>
      </c>
    </row>
    <row r="2679">
      <c r="A2679" s="15">
        <v>14.0</v>
      </c>
      <c r="B2679" s="16" t="s">
        <v>7959</v>
      </c>
      <c r="C2679" s="17" t="s">
        <v>7494</v>
      </c>
      <c r="D2679" s="18">
        <v>149.15</v>
      </c>
      <c r="E2679" s="18">
        <v>220.0</v>
      </c>
      <c r="F2679" s="18">
        <v>18.0</v>
      </c>
    </row>
    <row r="2680">
      <c r="A2680" s="15">
        <v>15.0</v>
      </c>
      <c r="B2680" s="16" t="s">
        <v>7959</v>
      </c>
      <c r="C2680" s="17" t="s">
        <v>7958</v>
      </c>
      <c r="D2680" s="18">
        <v>288.14</v>
      </c>
      <c r="E2680" s="18">
        <v>425.0</v>
      </c>
      <c r="F2680" s="18">
        <v>18.0</v>
      </c>
    </row>
    <row r="2681">
      <c r="A2681" s="15">
        <v>16.0</v>
      </c>
      <c r="B2681" s="16" t="s">
        <v>7962</v>
      </c>
      <c r="C2681" s="17" t="s">
        <v>7963</v>
      </c>
      <c r="D2681" s="18">
        <v>176.27</v>
      </c>
      <c r="E2681" s="18">
        <v>260.0</v>
      </c>
      <c r="F2681" s="18">
        <v>18.0</v>
      </c>
    </row>
    <row r="2682">
      <c r="A2682" s="15">
        <v>17.0</v>
      </c>
      <c r="B2682" s="16" t="s">
        <v>7962</v>
      </c>
      <c r="C2682" s="17" t="s">
        <v>7964</v>
      </c>
      <c r="D2682" s="18">
        <v>176.27</v>
      </c>
      <c r="E2682" s="18">
        <v>260.0</v>
      </c>
      <c r="F2682" s="18">
        <v>18.0</v>
      </c>
    </row>
    <row r="2683">
      <c r="A2683" s="15">
        <v>18.0</v>
      </c>
      <c r="B2683" s="16" t="s">
        <v>7965</v>
      </c>
      <c r="C2683" s="17" t="s">
        <v>7966</v>
      </c>
      <c r="D2683" s="18">
        <v>53.43</v>
      </c>
      <c r="E2683" s="18">
        <v>74.8</v>
      </c>
      <c r="F2683" s="18">
        <v>12.0</v>
      </c>
    </row>
    <row r="2684">
      <c r="A2684" s="6"/>
      <c r="B2684" s="7"/>
      <c r="C2684" s="7"/>
      <c r="D2684" s="7"/>
      <c r="E2684" s="7"/>
      <c r="F2684" s="8"/>
    </row>
    <row r="2685">
      <c r="A2685" s="9" t="s">
        <v>7967</v>
      </c>
      <c r="B2685" s="10"/>
      <c r="C2685" s="10"/>
      <c r="D2685" s="10"/>
      <c r="E2685" s="10"/>
      <c r="F2685" s="10"/>
    </row>
    <row r="2686">
      <c r="A2686" s="11">
        <v>1.0</v>
      </c>
      <c r="B2686" s="12" t="s">
        <v>7968</v>
      </c>
      <c r="C2686" s="13" t="s">
        <v>7969</v>
      </c>
      <c r="D2686" s="14">
        <v>37.44</v>
      </c>
      <c r="E2686" s="14">
        <v>55.23</v>
      </c>
      <c r="F2686" s="14">
        <v>18.0</v>
      </c>
    </row>
    <row r="2687">
      <c r="A2687" s="15">
        <v>2.0</v>
      </c>
      <c r="B2687" s="16" t="s">
        <v>7970</v>
      </c>
      <c r="C2687" s="17" t="s">
        <v>7548</v>
      </c>
      <c r="D2687" s="18">
        <v>36.54</v>
      </c>
      <c r="E2687" s="18">
        <v>53.9</v>
      </c>
      <c r="F2687" s="18">
        <v>18.0</v>
      </c>
    </row>
    <row r="2688">
      <c r="A2688" s="15">
        <v>3.0</v>
      </c>
      <c r="B2688" s="16" t="s">
        <v>7970</v>
      </c>
      <c r="C2688" s="17" t="s">
        <v>5960</v>
      </c>
      <c r="D2688" s="18">
        <v>93.22</v>
      </c>
      <c r="E2688" s="18">
        <v>137.5</v>
      </c>
      <c r="F2688" s="18">
        <v>18.0</v>
      </c>
    </row>
    <row r="2689">
      <c r="A2689" s="15">
        <v>4.0</v>
      </c>
      <c r="B2689" s="16" t="s">
        <v>7970</v>
      </c>
      <c r="C2689" s="17" t="s">
        <v>5636</v>
      </c>
      <c r="D2689" s="18">
        <v>45.08</v>
      </c>
      <c r="E2689" s="18">
        <v>66.5</v>
      </c>
      <c r="F2689" s="18">
        <v>18.0</v>
      </c>
    </row>
    <row r="2690">
      <c r="A2690" s="15">
        <v>5.0</v>
      </c>
      <c r="B2690" s="16" t="s">
        <v>7971</v>
      </c>
      <c r="C2690" s="17" t="s">
        <v>7972</v>
      </c>
      <c r="D2690" s="18">
        <v>142.37</v>
      </c>
      <c r="E2690" s="18">
        <v>210.0</v>
      </c>
      <c r="F2690" s="18">
        <v>18.0</v>
      </c>
    </row>
    <row r="2691">
      <c r="A2691" s="6"/>
      <c r="B2691" s="7"/>
      <c r="C2691" s="7"/>
      <c r="D2691" s="7"/>
      <c r="E2691" s="8"/>
      <c r="F2691" s="16" t="s">
        <v>7973</v>
      </c>
    </row>
    <row r="2692">
      <c r="A2692" s="6"/>
      <c r="B2692" s="7"/>
      <c r="C2692" s="7"/>
      <c r="D2692" s="7"/>
      <c r="E2692" s="7"/>
      <c r="F2692" s="8"/>
    </row>
    <row r="2693">
      <c r="A2693" s="6"/>
      <c r="B2693" s="7"/>
      <c r="C2693" s="7"/>
      <c r="D2693" s="7"/>
      <c r="E2693" s="7"/>
      <c r="F2693" s="8"/>
    </row>
    <row r="2694">
      <c r="A2694" s="6"/>
      <c r="B2694" s="7"/>
      <c r="C2694" s="7"/>
      <c r="D2694" s="7"/>
      <c r="E2694" s="7"/>
      <c r="F2694" s="8"/>
    </row>
    <row r="2695">
      <c r="A2695" s="6"/>
      <c r="B2695" s="7"/>
      <c r="C2695" s="7"/>
      <c r="D2695" s="7"/>
      <c r="E2695" s="7"/>
      <c r="F2695" s="8"/>
    </row>
    <row r="2696">
      <c r="A2696" s="9" t="s">
        <v>5582</v>
      </c>
      <c r="B2696" s="10"/>
      <c r="C2696" s="10"/>
      <c r="D2696" s="10"/>
      <c r="E2696" s="10"/>
      <c r="F2696" s="10"/>
    </row>
    <row r="2697">
      <c r="A2697" s="19" t="s">
        <v>5583</v>
      </c>
    </row>
    <row r="2698">
      <c r="A2698" s="6"/>
      <c r="B2698" s="7"/>
      <c r="C2698" s="7"/>
      <c r="D2698" s="8"/>
      <c r="E2698" s="12" t="s">
        <v>5584</v>
      </c>
      <c r="F2698" s="12" t="s">
        <v>7974</v>
      </c>
    </row>
    <row r="2699">
      <c r="A2699" s="20" t="s">
        <v>5522</v>
      </c>
      <c r="B2699" s="16" t="s">
        <v>5523</v>
      </c>
      <c r="C2699" s="16" t="s">
        <v>5524</v>
      </c>
      <c r="D2699" s="16" t="s">
        <v>5525</v>
      </c>
      <c r="E2699" s="16" t="s">
        <v>5526</v>
      </c>
      <c r="F2699" s="16" t="s">
        <v>5586</v>
      </c>
    </row>
    <row r="2700">
      <c r="A2700" s="15">
        <v>6.0</v>
      </c>
      <c r="B2700" s="16" t="s">
        <v>7975</v>
      </c>
      <c r="C2700" s="17" t="s">
        <v>7976</v>
      </c>
      <c r="D2700" s="18">
        <v>39.4</v>
      </c>
      <c r="E2700" s="18">
        <v>55.16</v>
      </c>
      <c r="F2700" s="18">
        <v>12.0</v>
      </c>
    </row>
    <row r="2701">
      <c r="A2701" s="15">
        <v>7.0</v>
      </c>
      <c r="B2701" s="16" t="s">
        <v>7977</v>
      </c>
      <c r="C2701" s="17" t="s">
        <v>5536</v>
      </c>
      <c r="D2701" s="18">
        <v>130.6</v>
      </c>
      <c r="E2701" s="18">
        <v>182.84</v>
      </c>
      <c r="F2701" s="18">
        <v>12.0</v>
      </c>
    </row>
    <row r="2702">
      <c r="A2702" s="15">
        <v>8.0</v>
      </c>
      <c r="B2702" s="16" t="s">
        <v>7978</v>
      </c>
      <c r="C2702" s="17" t="s">
        <v>7548</v>
      </c>
      <c r="D2702" s="18">
        <v>32.14</v>
      </c>
      <c r="E2702" s="18">
        <v>45.0</v>
      </c>
      <c r="F2702" s="18">
        <v>12.0</v>
      </c>
    </row>
    <row r="2703">
      <c r="A2703" s="15">
        <v>9.0</v>
      </c>
      <c r="B2703" s="16" t="s">
        <v>7978</v>
      </c>
      <c r="C2703" s="17" t="s">
        <v>7540</v>
      </c>
      <c r="D2703" s="18">
        <v>56.79</v>
      </c>
      <c r="E2703" s="18">
        <v>79.5</v>
      </c>
      <c r="F2703" s="18">
        <v>12.0</v>
      </c>
    </row>
    <row r="2704">
      <c r="A2704" s="15">
        <v>10.0</v>
      </c>
      <c r="B2704" s="16" t="s">
        <v>7979</v>
      </c>
      <c r="C2704" s="17" t="s">
        <v>7980</v>
      </c>
      <c r="D2704" s="18">
        <v>44.7</v>
      </c>
      <c r="E2704" s="18">
        <v>62.58</v>
      </c>
      <c r="F2704" s="18">
        <v>12.0</v>
      </c>
    </row>
    <row r="2705">
      <c r="A2705" s="15">
        <v>11.0</v>
      </c>
      <c r="B2705" s="16" t="s">
        <v>7981</v>
      </c>
      <c r="C2705" s="17" t="s">
        <v>7540</v>
      </c>
      <c r="D2705" s="18">
        <v>41.56</v>
      </c>
      <c r="E2705" s="18">
        <v>58.18</v>
      </c>
      <c r="F2705" s="18">
        <v>12.0</v>
      </c>
    </row>
    <row r="2706">
      <c r="A2706" s="15">
        <v>12.0</v>
      </c>
      <c r="B2706" s="16" t="s">
        <v>7982</v>
      </c>
      <c r="C2706" s="17" t="s">
        <v>5636</v>
      </c>
      <c r="D2706" s="18">
        <v>36.69</v>
      </c>
      <c r="E2706" s="18">
        <v>51.37</v>
      </c>
      <c r="F2706" s="18">
        <v>12.0</v>
      </c>
    </row>
    <row r="2707">
      <c r="A2707" s="15">
        <v>13.0</v>
      </c>
      <c r="B2707" s="16" t="s">
        <v>7983</v>
      </c>
      <c r="C2707" s="16" t="s">
        <v>6854</v>
      </c>
      <c r="D2707" s="18">
        <v>26.27</v>
      </c>
      <c r="E2707" s="18">
        <v>36.78</v>
      </c>
      <c r="F2707" s="18">
        <v>12.0</v>
      </c>
    </row>
    <row r="2708">
      <c r="A2708" s="15">
        <v>14.0</v>
      </c>
      <c r="B2708" s="16" t="s">
        <v>7984</v>
      </c>
      <c r="C2708" s="17" t="s">
        <v>5804</v>
      </c>
      <c r="D2708" s="18">
        <v>47.11</v>
      </c>
      <c r="E2708" s="18">
        <v>66.0</v>
      </c>
      <c r="F2708" s="18">
        <v>12.0</v>
      </c>
    </row>
    <row r="2709">
      <c r="A2709" s="15">
        <v>15.0</v>
      </c>
      <c r="B2709" s="16" t="s">
        <v>7984</v>
      </c>
      <c r="C2709" s="17" t="s">
        <v>5636</v>
      </c>
      <c r="D2709" s="18">
        <v>66.54</v>
      </c>
      <c r="E2709" s="18">
        <v>93.15</v>
      </c>
      <c r="F2709" s="18">
        <v>12.0</v>
      </c>
    </row>
    <row r="2710">
      <c r="A2710" s="15">
        <v>16.0</v>
      </c>
      <c r="B2710" s="16" t="s">
        <v>7985</v>
      </c>
      <c r="C2710" s="17" t="s">
        <v>5827</v>
      </c>
      <c r="D2710" s="18">
        <v>70.71</v>
      </c>
      <c r="E2710" s="18">
        <v>99.0</v>
      </c>
      <c r="F2710" s="18">
        <v>12.0</v>
      </c>
    </row>
    <row r="2711">
      <c r="A2711" s="15">
        <v>17.0</v>
      </c>
      <c r="B2711" s="16" t="s">
        <v>7985</v>
      </c>
      <c r="C2711" s="17" t="s">
        <v>7986</v>
      </c>
      <c r="D2711" s="18">
        <v>177.86</v>
      </c>
      <c r="E2711" s="18">
        <v>249.0</v>
      </c>
      <c r="F2711" s="18">
        <v>12.0</v>
      </c>
    </row>
    <row r="2712">
      <c r="A2712" s="15">
        <v>18.0</v>
      </c>
      <c r="B2712" s="16" t="s">
        <v>7987</v>
      </c>
      <c r="C2712" s="17" t="s">
        <v>7722</v>
      </c>
      <c r="D2712" s="18">
        <v>18.25</v>
      </c>
      <c r="E2712" s="18">
        <v>23.95</v>
      </c>
      <c r="F2712" s="18">
        <v>5.0</v>
      </c>
    </row>
    <row r="2713">
      <c r="A2713" s="15">
        <v>19.0</v>
      </c>
      <c r="B2713" s="16" t="s">
        <v>7988</v>
      </c>
      <c r="C2713" s="17" t="s">
        <v>7989</v>
      </c>
      <c r="D2713" s="18">
        <v>78.08</v>
      </c>
      <c r="E2713" s="18">
        <v>102.48</v>
      </c>
      <c r="F2713" s="18">
        <v>5.0</v>
      </c>
    </row>
    <row r="2714">
      <c r="A2714" s="15">
        <v>20.0</v>
      </c>
      <c r="B2714" s="16" t="s">
        <v>7990</v>
      </c>
      <c r="C2714" s="17" t="s">
        <v>7722</v>
      </c>
      <c r="D2714" s="18">
        <v>42.2</v>
      </c>
      <c r="E2714" s="18">
        <v>59.08</v>
      </c>
      <c r="F2714" s="18">
        <v>12.0</v>
      </c>
    </row>
    <row r="2715">
      <c r="A2715" s="15">
        <v>21.0</v>
      </c>
      <c r="B2715" s="16" t="s">
        <v>7991</v>
      </c>
      <c r="C2715" s="17" t="s">
        <v>6337</v>
      </c>
      <c r="D2715" s="18">
        <v>18.17</v>
      </c>
      <c r="E2715" s="18">
        <v>25.44</v>
      </c>
      <c r="F2715" s="18">
        <v>12.0</v>
      </c>
    </row>
    <row r="2716">
      <c r="A2716" s="15">
        <v>22.0</v>
      </c>
      <c r="B2716" s="16" t="s">
        <v>7992</v>
      </c>
      <c r="C2716" s="17" t="s">
        <v>7993</v>
      </c>
      <c r="D2716" s="18">
        <v>172.07</v>
      </c>
      <c r="E2716" s="18">
        <v>240.9</v>
      </c>
      <c r="F2716" s="18">
        <v>12.0</v>
      </c>
    </row>
    <row r="2717">
      <c r="A2717" s="15">
        <v>23.0</v>
      </c>
      <c r="B2717" s="16" t="s">
        <v>7994</v>
      </c>
      <c r="C2717" s="17" t="s">
        <v>6148</v>
      </c>
      <c r="D2717" s="18">
        <v>58.09</v>
      </c>
      <c r="E2717" s="18">
        <v>81.33</v>
      </c>
      <c r="F2717" s="18">
        <v>12.0</v>
      </c>
    </row>
    <row r="2718">
      <c r="A2718" s="15">
        <v>24.0</v>
      </c>
      <c r="B2718" s="16" t="s">
        <v>7994</v>
      </c>
      <c r="C2718" s="17" t="s">
        <v>6300</v>
      </c>
      <c r="D2718" s="18">
        <v>87.38</v>
      </c>
      <c r="E2718" s="18">
        <v>94.17</v>
      </c>
      <c r="F2718" s="18">
        <v>12.0</v>
      </c>
    </row>
    <row r="2719">
      <c r="A2719" s="15">
        <v>25.0</v>
      </c>
      <c r="B2719" s="16" t="s">
        <v>7994</v>
      </c>
      <c r="C2719" s="17" t="s">
        <v>7995</v>
      </c>
      <c r="D2719" s="18">
        <v>32.52</v>
      </c>
      <c r="E2719" s="18">
        <v>45.53</v>
      </c>
      <c r="F2719" s="18">
        <v>12.0</v>
      </c>
    </row>
    <row r="2720">
      <c r="A2720" s="15">
        <v>26.0</v>
      </c>
      <c r="B2720" s="16" t="s">
        <v>7994</v>
      </c>
      <c r="C2720" s="17" t="s">
        <v>7996</v>
      </c>
      <c r="D2720" s="18">
        <v>48.43</v>
      </c>
      <c r="E2720" s="18">
        <v>67.87</v>
      </c>
      <c r="F2720" s="18">
        <v>12.0</v>
      </c>
    </row>
    <row r="2721">
      <c r="A2721" s="15">
        <v>27.0</v>
      </c>
      <c r="B2721" s="16" t="s">
        <v>7997</v>
      </c>
      <c r="C2721" s="17" t="s">
        <v>7998</v>
      </c>
      <c r="D2721" s="18">
        <v>111.49</v>
      </c>
      <c r="E2721" s="18">
        <v>156.08</v>
      </c>
      <c r="F2721" s="18">
        <v>12.0</v>
      </c>
    </row>
    <row r="2722">
      <c r="A2722" s="15">
        <v>28.0</v>
      </c>
      <c r="B2722" s="16" t="s">
        <v>7999</v>
      </c>
      <c r="C2722" s="17" t="s">
        <v>5562</v>
      </c>
      <c r="D2722" s="18">
        <v>60.36</v>
      </c>
      <c r="E2722" s="18">
        <v>84.51</v>
      </c>
      <c r="F2722" s="18">
        <v>12.0</v>
      </c>
    </row>
    <row r="2723">
      <c r="A2723" s="15">
        <v>29.0</v>
      </c>
      <c r="B2723" s="16" t="s">
        <v>7999</v>
      </c>
      <c r="C2723" s="17" t="s">
        <v>8000</v>
      </c>
      <c r="D2723" s="18">
        <v>82.23</v>
      </c>
      <c r="E2723" s="18">
        <v>115.12</v>
      </c>
      <c r="F2723" s="18">
        <v>12.0</v>
      </c>
    </row>
    <row r="2724">
      <c r="A2724" s="15">
        <v>30.0</v>
      </c>
      <c r="B2724" s="16" t="s">
        <v>8001</v>
      </c>
      <c r="C2724" s="17" t="s">
        <v>5636</v>
      </c>
      <c r="D2724" s="18">
        <v>24.57</v>
      </c>
      <c r="E2724" s="18">
        <v>34.4</v>
      </c>
      <c r="F2724" s="18">
        <v>12.0</v>
      </c>
    </row>
    <row r="2725">
      <c r="A2725" s="15">
        <v>31.0</v>
      </c>
      <c r="B2725" s="16" t="s">
        <v>2193</v>
      </c>
      <c r="C2725" s="16" t="s">
        <v>5558</v>
      </c>
      <c r="D2725" s="18">
        <v>77.79</v>
      </c>
      <c r="E2725" s="18">
        <v>108.9</v>
      </c>
      <c r="F2725" s="18">
        <v>12.0</v>
      </c>
    </row>
    <row r="2726">
      <c r="A2726" s="15">
        <v>32.0</v>
      </c>
      <c r="B2726" s="16" t="s">
        <v>8002</v>
      </c>
      <c r="C2726" s="17" t="s">
        <v>5636</v>
      </c>
      <c r="D2726" s="18">
        <v>76.57</v>
      </c>
      <c r="E2726" s="18">
        <v>107.2</v>
      </c>
      <c r="F2726" s="18">
        <v>12.0</v>
      </c>
    </row>
    <row r="2727">
      <c r="A2727" s="6"/>
      <c r="B2727" s="7"/>
      <c r="C2727" s="7"/>
      <c r="D2727" s="7"/>
      <c r="E2727" s="7"/>
      <c r="F2727" s="8"/>
    </row>
    <row r="2728">
      <c r="A2728" s="9" t="s">
        <v>8003</v>
      </c>
      <c r="B2728" s="10"/>
      <c r="C2728" s="10"/>
      <c r="D2728" s="10"/>
      <c r="E2728" s="10"/>
      <c r="F2728" s="10"/>
    </row>
    <row r="2729">
      <c r="A2729" s="11">
        <v>1.0</v>
      </c>
      <c r="B2729" s="12" t="s">
        <v>8004</v>
      </c>
      <c r="C2729" s="13" t="s">
        <v>5694</v>
      </c>
      <c r="D2729" s="14">
        <v>78.64</v>
      </c>
      <c r="E2729" s="14">
        <v>108.0</v>
      </c>
      <c r="F2729" s="14">
        <v>12.0</v>
      </c>
    </row>
    <row r="2730">
      <c r="A2730" s="15">
        <v>2.0</v>
      </c>
      <c r="B2730" s="16" t="s">
        <v>8005</v>
      </c>
      <c r="C2730" s="17" t="s">
        <v>8006</v>
      </c>
      <c r="D2730" s="18">
        <v>23.54</v>
      </c>
      <c r="E2730" s="18">
        <v>30.0</v>
      </c>
      <c r="F2730" s="18">
        <v>18.0</v>
      </c>
    </row>
    <row r="2731">
      <c r="A2731" s="15">
        <v>3.0</v>
      </c>
      <c r="B2731" s="16" t="s">
        <v>2198</v>
      </c>
      <c r="C2731" s="16" t="s">
        <v>8007</v>
      </c>
      <c r="D2731" s="18">
        <v>0.0</v>
      </c>
      <c r="E2731" s="18">
        <v>0.0</v>
      </c>
      <c r="F2731" s="18">
        <v>12.0</v>
      </c>
    </row>
    <row r="2732">
      <c r="A2732" s="15">
        <v>4.0</v>
      </c>
      <c r="B2732" s="16" t="s">
        <v>8008</v>
      </c>
      <c r="C2732" s="16" t="s">
        <v>301</v>
      </c>
      <c r="D2732" s="18">
        <v>47.29</v>
      </c>
      <c r="E2732" s="18">
        <v>65.6</v>
      </c>
      <c r="F2732" s="18">
        <v>12.0</v>
      </c>
    </row>
    <row r="2733">
      <c r="A2733" s="15">
        <v>5.0</v>
      </c>
      <c r="B2733" s="16" t="s">
        <v>8009</v>
      </c>
      <c r="C2733" s="17" t="s">
        <v>5928</v>
      </c>
      <c r="D2733" s="18">
        <v>72.09</v>
      </c>
      <c r="E2733" s="18">
        <v>99.0</v>
      </c>
      <c r="F2733" s="18">
        <v>12.0</v>
      </c>
    </row>
    <row r="2734">
      <c r="A2734" s="15">
        <v>6.0</v>
      </c>
      <c r="B2734" s="16" t="s">
        <v>8010</v>
      </c>
      <c r="C2734" s="16" t="s">
        <v>7306</v>
      </c>
      <c r="D2734" s="18">
        <v>54.62</v>
      </c>
      <c r="E2734" s="18">
        <v>75.0</v>
      </c>
      <c r="F2734" s="18">
        <v>12.0</v>
      </c>
    </row>
    <row r="2735">
      <c r="A2735" s="15">
        <v>7.0</v>
      </c>
      <c r="B2735" s="16" t="s">
        <v>8009</v>
      </c>
      <c r="C2735" s="17" t="s">
        <v>8011</v>
      </c>
      <c r="D2735" s="18">
        <v>47.33</v>
      </c>
      <c r="E2735" s="18">
        <v>65.0</v>
      </c>
      <c r="F2735" s="18">
        <v>12.0</v>
      </c>
    </row>
    <row r="2736">
      <c r="A2736" s="15">
        <v>8.0</v>
      </c>
      <c r="B2736" s="16" t="s">
        <v>8012</v>
      </c>
      <c r="C2736" s="17" t="s">
        <v>5912</v>
      </c>
      <c r="D2736" s="18">
        <v>64.81</v>
      </c>
      <c r="E2736" s="18">
        <v>89.0</v>
      </c>
      <c r="F2736" s="18">
        <v>12.0</v>
      </c>
    </row>
    <row r="2737">
      <c r="A2737" s="15">
        <v>9.0</v>
      </c>
      <c r="B2737" s="16" t="s">
        <v>8009</v>
      </c>
      <c r="C2737" s="17" t="s">
        <v>8013</v>
      </c>
      <c r="D2737" s="18">
        <v>69.21</v>
      </c>
      <c r="E2737" s="18">
        <v>94.89</v>
      </c>
      <c r="F2737" s="18">
        <v>12.0</v>
      </c>
    </row>
    <row r="2738">
      <c r="A2738" s="15">
        <v>10.0</v>
      </c>
      <c r="B2738" s="16" t="s">
        <v>8014</v>
      </c>
      <c r="C2738" s="16" t="s">
        <v>6411</v>
      </c>
      <c r="D2738" s="18">
        <v>101.42</v>
      </c>
      <c r="E2738" s="18">
        <v>160.0</v>
      </c>
      <c r="F2738" s="18">
        <v>28.0</v>
      </c>
    </row>
    <row r="2739">
      <c r="A2739" s="15">
        <v>11.0</v>
      </c>
      <c r="B2739" s="16" t="s">
        <v>8014</v>
      </c>
      <c r="C2739" s="16" t="s">
        <v>6176</v>
      </c>
      <c r="D2739" s="18">
        <v>173.44</v>
      </c>
      <c r="E2739" s="18">
        <v>280.0</v>
      </c>
      <c r="F2739" s="18">
        <v>28.0</v>
      </c>
    </row>
    <row r="2740">
      <c r="A2740" s="15">
        <v>12.0</v>
      </c>
      <c r="B2740" s="16" t="s">
        <v>8014</v>
      </c>
      <c r="C2740" s="16" t="s">
        <v>8015</v>
      </c>
      <c r="D2740" s="18">
        <v>28.52</v>
      </c>
      <c r="E2740" s="18">
        <v>45.0</v>
      </c>
      <c r="F2740" s="18">
        <v>28.0</v>
      </c>
    </row>
    <row r="2741">
      <c r="A2741" s="15">
        <v>13.0</v>
      </c>
      <c r="B2741" s="16" t="s">
        <v>8014</v>
      </c>
      <c r="C2741" s="17" t="s">
        <v>8016</v>
      </c>
      <c r="D2741" s="18">
        <v>62.62</v>
      </c>
      <c r="E2741" s="18">
        <v>100.0</v>
      </c>
      <c r="F2741" s="18">
        <v>18.0</v>
      </c>
    </row>
    <row r="2742">
      <c r="A2742" s="6"/>
      <c r="B2742" s="7"/>
      <c r="C2742" s="7"/>
      <c r="D2742" s="7"/>
      <c r="E2742" s="7"/>
      <c r="F2742" s="8"/>
    </row>
    <row r="2743">
      <c r="A2743" s="9" t="s">
        <v>8017</v>
      </c>
      <c r="B2743" s="10"/>
      <c r="C2743" s="10"/>
      <c r="D2743" s="10"/>
      <c r="E2743" s="10"/>
      <c r="F2743" s="10"/>
    </row>
    <row r="2744">
      <c r="A2744" s="11">
        <v>1.0</v>
      </c>
      <c r="B2744" s="22"/>
      <c r="C2744" s="13" t="s">
        <v>2209</v>
      </c>
      <c r="D2744" s="14">
        <v>23.54</v>
      </c>
      <c r="E2744" s="14">
        <v>30.0</v>
      </c>
      <c r="F2744" s="14">
        <v>18.0</v>
      </c>
    </row>
    <row r="2745">
      <c r="A2745" s="15">
        <v>2.0</v>
      </c>
      <c r="B2745" s="16" t="s">
        <v>8018</v>
      </c>
      <c r="C2745" s="17" t="s">
        <v>5546</v>
      </c>
      <c r="D2745" s="18">
        <v>22.07</v>
      </c>
      <c r="E2745" s="18">
        <v>30.24</v>
      </c>
      <c r="F2745" s="18">
        <v>12.0</v>
      </c>
    </row>
    <row r="2746">
      <c r="A2746" s="15">
        <v>3.0</v>
      </c>
      <c r="B2746" s="16" t="s">
        <v>8019</v>
      </c>
      <c r="C2746" s="17" t="s">
        <v>8020</v>
      </c>
      <c r="D2746" s="18">
        <v>11.15</v>
      </c>
      <c r="E2746" s="18">
        <v>15.28</v>
      </c>
      <c r="F2746" s="18">
        <v>12.0</v>
      </c>
    </row>
    <row r="2747">
      <c r="A2747" s="15">
        <v>4.0</v>
      </c>
      <c r="B2747" s="16" t="s">
        <v>8021</v>
      </c>
      <c r="C2747" s="17" t="s">
        <v>8022</v>
      </c>
      <c r="D2747" s="18">
        <v>36.39</v>
      </c>
      <c r="E2747" s="18">
        <v>49.85</v>
      </c>
      <c r="F2747" s="18">
        <v>12.0</v>
      </c>
    </row>
    <row r="2748">
      <c r="A2748" s="15">
        <v>5.0</v>
      </c>
      <c r="B2748" s="16" t="s">
        <v>8019</v>
      </c>
      <c r="C2748" s="17" t="s">
        <v>7548</v>
      </c>
      <c r="D2748" s="18">
        <v>19.74</v>
      </c>
      <c r="E2748" s="18">
        <v>27.04</v>
      </c>
      <c r="F2748" s="18">
        <v>12.0</v>
      </c>
    </row>
    <row r="2749">
      <c r="A2749" s="15">
        <v>6.0</v>
      </c>
      <c r="B2749" s="16" t="s">
        <v>8023</v>
      </c>
      <c r="C2749" s="17" t="s">
        <v>5747</v>
      </c>
      <c r="D2749" s="18">
        <v>37.64</v>
      </c>
      <c r="E2749" s="18">
        <v>51.56</v>
      </c>
      <c r="F2749" s="16">
        <v>12.0</v>
      </c>
    </row>
    <row r="2750">
      <c r="A2750" s="15">
        <v>7.0</v>
      </c>
      <c r="B2750" s="16" t="s">
        <v>8024</v>
      </c>
      <c r="C2750" s="17" t="s">
        <v>8025</v>
      </c>
      <c r="D2750" s="18">
        <v>43.62</v>
      </c>
      <c r="E2750" s="18">
        <v>59.76</v>
      </c>
      <c r="F2750" s="18">
        <v>12.0</v>
      </c>
    </row>
    <row r="2751">
      <c r="A2751" s="15">
        <v>8.0</v>
      </c>
      <c r="B2751" s="16" t="s">
        <v>8019</v>
      </c>
      <c r="C2751" s="17" t="s">
        <v>5747</v>
      </c>
      <c r="D2751" s="18">
        <v>25.99</v>
      </c>
      <c r="E2751" s="18">
        <v>34.94</v>
      </c>
      <c r="F2751" s="18">
        <v>12.0</v>
      </c>
    </row>
    <row r="2752">
      <c r="A2752" s="15">
        <v>9.0</v>
      </c>
      <c r="B2752" s="16" t="s">
        <v>8026</v>
      </c>
      <c r="C2752" s="17" t="s">
        <v>5647</v>
      </c>
      <c r="D2752" s="18">
        <v>55.95</v>
      </c>
      <c r="E2752" s="18">
        <v>76.15</v>
      </c>
      <c r="F2752" s="18">
        <v>12.0</v>
      </c>
    </row>
    <row r="2753">
      <c r="A2753" s="15">
        <v>10.0</v>
      </c>
      <c r="B2753" s="16" t="s">
        <v>8026</v>
      </c>
      <c r="C2753" s="17" t="s">
        <v>8027</v>
      </c>
      <c r="D2753" s="18">
        <v>118.76</v>
      </c>
      <c r="E2753" s="18">
        <v>162.7</v>
      </c>
      <c r="F2753" s="18">
        <v>12.0</v>
      </c>
    </row>
    <row r="2754">
      <c r="A2754" s="15">
        <v>11.0</v>
      </c>
      <c r="B2754" s="16" t="s">
        <v>8026</v>
      </c>
      <c r="C2754" s="17" t="s">
        <v>8028</v>
      </c>
      <c r="D2754" s="18">
        <v>100.59</v>
      </c>
      <c r="E2754" s="18">
        <v>137.81</v>
      </c>
      <c r="F2754" s="18">
        <v>12.0</v>
      </c>
    </row>
    <row r="2755">
      <c r="A2755" s="15">
        <v>12.0</v>
      </c>
      <c r="B2755" s="16" t="s">
        <v>8029</v>
      </c>
      <c r="C2755" s="17" t="s">
        <v>8030</v>
      </c>
      <c r="D2755" s="18">
        <v>41.52</v>
      </c>
      <c r="E2755" s="18">
        <v>64.0</v>
      </c>
      <c r="F2755" s="18">
        <v>12.0</v>
      </c>
    </row>
    <row r="2756">
      <c r="A2756" s="15">
        <v>13.0</v>
      </c>
      <c r="B2756" s="16" t="s">
        <v>8029</v>
      </c>
      <c r="C2756" s="17" t="s">
        <v>8031</v>
      </c>
      <c r="D2756" s="18">
        <v>37.01</v>
      </c>
      <c r="E2756" s="18">
        <v>51.81</v>
      </c>
      <c r="F2756" s="18">
        <v>12.0</v>
      </c>
    </row>
    <row r="2757">
      <c r="A2757" s="15">
        <v>14.0</v>
      </c>
      <c r="B2757" s="16" t="s">
        <v>8029</v>
      </c>
      <c r="C2757" s="17" t="s">
        <v>8032</v>
      </c>
      <c r="D2757" s="18">
        <v>57.86</v>
      </c>
      <c r="E2757" s="18">
        <v>80.0</v>
      </c>
      <c r="F2757" s="18">
        <v>12.0</v>
      </c>
    </row>
    <row r="2758">
      <c r="A2758" s="15">
        <v>15.0</v>
      </c>
      <c r="B2758" s="16" t="s">
        <v>8029</v>
      </c>
      <c r="C2758" s="17" t="s">
        <v>8033</v>
      </c>
      <c r="D2758" s="18">
        <v>37.47</v>
      </c>
      <c r="E2758" s="18">
        <v>51.81</v>
      </c>
      <c r="F2758" s="18">
        <v>12.0</v>
      </c>
    </row>
    <row r="2759">
      <c r="A2759" s="15">
        <v>16.0</v>
      </c>
      <c r="B2759" s="16" t="s">
        <v>8034</v>
      </c>
      <c r="C2759" s="17" t="s">
        <v>7593</v>
      </c>
      <c r="D2759" s="18">
        <v>25.73</v>
      </c>
      <c r="E2759" s="18">
        <v>34.0</v>
      </c>
      <c r="F2759" s="18">
        <v>12.0</v>
      </c>
    </row>
    <row r="2760">
      <c r="A2760" s="15">
        <v>17.0</v>
      </c>
      <c r="B2760" s="16" t="s">
        <v>5590</v>
      </c>
      <c r="C2760" s="17" t="s">
        <v>8035</v>
      </c>
      <c r="D2760" s="18">
        <v>40.39</v>
      </c>
      <c r="E2760" s="18">
        <v>60.0</v>
      </c>
      <c r="F2760" s="18">
        <v>18.0</v>
      </c>
    </row>
    <row r="2761">
      <c r="A2761" s="15">
        <v>18.0</v>
      </c>
      <c r="B2761" s="16" t="s">
        <v>5590</v>
      </c>
      <c r="C2761" s="17" t="s">
        <v>8036</v>
      </c>
      <c r="D2761" s="18">
        <v>70.7</v>
      </c>
      <c r="E2761" s="18">
        <v>105.0</v>
      </c>
      <c r="F2761" s="18">
        <v>18.0</v>
      </c>
    </row>
    <row r="2762">
      <c r="A2762" s="15">
        <v>19.0</v>
      </c>
      <c r="B2762" s="16" t="s">
        <v>5590</v>
      </c>
      <c r="C2762" s="17" t="s">
        <v>8037</v>
      </c>
      <c r="D2762" s="18">
        <v>16.94</v>
      </c>
      <c r="E2762" s="18">
        <v>25.0</v>
      </c>
      <c r="F2762" s="18">
        <v>18.0</v>
      </c>
    </row>
    <row r="2763">
      <c r="A2763" s="15">
        <v>20.0</v>
      </c>
      <c r="B2763" s="16" t="s">
        <v>5590</v>
      </c>
      <c r="C2763" s="17" t="s">
        <v>8038</v>
      </c>
      <c r="D2763" s="18">
        <v>40.39</v>
      </c>
      <c r="E2763" s="18">
        <v>60.0</v>
      </c>
      <c r="F2763" s="18">
        <v>18.0</v>
      </c>
    </row>
    <row r="2764">
      <c r="A2764" s="15">
        <v>21.0</v>
      </c>
      <c r="B2764" s="16" t="s">
        <v>5590</v>
      </c>
      <c r="C2764" s="17" t="s">
        <v>8039</v>
      </c>
      <c r="D2764" s="18">
        <v>70.7</v>
      </c>
      <c r="E2764" s="18">
        <v>105.0</v>
      </c>
      <c r="F2764" s="18">
        <v>18.0</v>
      </c>
    </row>
    <row r="2765">
      <c r="A2765" s="15">
        <v>22.0</v>
      </c>
      <c r="B2765" s="16" t="s">
        <v>5590</v>
      </c>
      <c r="C2765" s="17" t="s">
        <v>8040</v>
      </c>
      <c r="D2765" s="18">
        <v>53.86</v>
      </c>
      <c r="E2765" s="18">
        <v>70.0</v>
      </c>
      <c r="F2765" s="18">
        <v>18.0</v>
      </c>
    </row>
    <row r="2766">
      <c r="A2766" s="15">
        <v>23.0</v>
      </c>
      <c r="B2766" s="16" t="s">
        <v>5590</v>
      </c>
      <c r="C2766" s="17" t="s">
        <v>8041</v>
      </c>
      <c r="D2766" s="18">
        <v>101.0</v>
      </c>
      <c r="E2766" s="18">
        <v>150.0</v>
      </c>
      <c r="F2766" s="18">
        <v>28.0</v>
      </c>
    </row>
    <row r="2767">
      <c r="A2767" s="15">
        <v>24.0</v>
      </c>
      <c r="B2767" s="16" t="s">
        <v>5590</v>
      </c>
      <c r="C2767" s="17" t="s">
        <v>8042</v>
      </c>
      <c r="D2767" s="18">
        <v>101.0</v>
      </c>
      <c r="E2767" s="18">
        <v>150.0</v>
      </c>
      <c r="F2767" s="18">
        <v>18.0</v>
      </c>
    </row>
    <row r="2768">
      <c r="A2768" s="15">
        <v>25.0</v>
      </c>
      <c r="B2768" s="16" t="s">
        <v>5590</v>
      </c>
      <c r="C2768" s="17" t="s">
        <v>8043</v>
      </c>
      <c r="D2768" s="18">
        <v>80.83</v>
      </c>
      <c r="E2768" s="18">
        <v>120.0</v>
      </c>
      <c r="F2768" s="18">
        <v>18.0</v>
      </c>
    </row>
    <row r="2769">
      <c r="A2769" s="15">
        <v>26.0</v>
      </c>
      <c r="B2769" s="16" t="s">
        <v>8044</v>
      </c>
      <c r="C2769" s="17" t="s">
        <v>7548</v>
      </c>
      <c r="D2769" s="18">
        <v>55.69</v>
      </c>
      <c r="E2769" s="18">
        <v>77.0</v>
      </c>
      <c r="F2769" s="18">
        <v>12.0</v>
      </c>
    </row>
    <row r="2770">
      <c r="A2770" s="15">
        <v>27.0</v>
      </c>
      <c r="B2770" s="16" t="s">
        <v>8044</v>
      </c>
      <c r="C2770" s="17" t="s">
        <v>5804</v>
      </c>
      <c r="D2770" s="18">
        <v>59.67</v>
      </c>
      <c r="E2770" s="18">
        <v>82.5</v>
      </c>
      <c r="F2770" s="18">
        <v>12.0</v>
      </c>
    </row>
    <row r="2771">
      <c r="A2771" s="6"/>
      <c r="B2771" s="7"/>
      <c r="C2771" s="7"/>
      <c r="D2771" s="7"/>
      <c r="E2771" s="7"/>
      <c r="F2771" s="8"/>
    </row>
    <row r="2772">
      <c r="A2772" s="9" t="s">
        <v>8045</v>
      </c>
      <c r="B2772" s="10"/>
      <c r="C2772" s="10"/>
      <c r="D2772" s="10"/>
      <c r="E2772" s="10"/>
      <c r="F2772" s="10"/>
    </row>
    <row r="2773">
      <c r="A2773" s="11">
        <v>1.0</v>
      </c>
      <c r="B2773" s="12" t="s">
        <v>8046</v>
      </c>
      <c r="C2773" s="13" t="s">
        <v>5536</v>
      </c>
      <c r="D2773" s="14">
        <v>20.07</v>
      </c>
      <c r="E2773" s="14">
        <v>28.1</v>
      </c>
      <c r="F2773" s="14">
        <v>12.0</v>
      </c>
    </row>
    <row r="2774">
      <c r="A2774" s="15">
        <v>2.0</v>
      </c>
      <c r="B2774" s="16" t="s">
        <v>8047</v>
      </c>
      <c r="C2774" s="17" t="s">
        <v>5536</v>
      </c>
      <c r="D2774" s="18">
        <v>20.93</v>
      </c>
      <c r="E2774" s="18">
        <v>29.3</v>
      </c>
      <c r="F2774" s="18">
        <v>12.0</v>
      </c>
    </row>
    <row r="2775">
      <c r="A2775" s="15">
        <v>3.0</v>
      </c>
      <c r="B2775" s="16" t="s">
        <v>8048</v>
      </c>
      <c r="C2775" s="17" t="s">
        <v>5657</v>
      </c>
      <c r="D2775" s="18">
        <v>20.1</v>
      </c>
      <c r="E2775" s="18">
        <v>27.6</v>
      </c>
      <c r="F2775" s="18">
        <v>12.0</v>
      </c>
    </row>
    <row r="2776">
      <c r="A2776" s="15">
        <v>4.0</v>
      </c>
      <c r="B2776" s="16" t="s">
        <v>8049</v>
      </c>
      <c r="C2776" s="17" t="s">
        <v>5580</v>
      </c>
      <c r="D2776" s="18">
        <v>40.72</v>
      </c>
      <c r="E2776" s="18">
        <v>57.01</v>
      </c>
      <c r="F2776" s="18">
        <v>12.0</v>
      </c>
    </row>
    <row r="2777">
      <c r="A2777" s="15">
        <v>5.0</v>
      </c>
      <c r="B2777" s="16" t="s">
        <v>8050</v>
      </c>
      <c r="C2777" s="17" t="s">
        <v>8051</v>
      </c>
      <c r="D2777" s="18">
        <v>164.29</v>
      </c>
      <c r="E2777" s="18">
        <v>230.0</v>
      </c>
      <c r="F2777" s="18">
        <v>12.0</v>
      </c>
    </row>
    <row r="2778">
      <c r="A2778" s="15">
        <v>6.0</v>
      </c>
      <c r="B2778" s="16" t="s">
        <v>8052</v>
      </c>
      <c r="C2778" s="17" t="s">
        <v>8053</v>
      </c>
      <c r="D2778" s="18">
        <v>57.32</v>
      </c>
      <c r="E2778" s="18">
        <v>80.25</v>
      </c>
      <c r="F2778" s="18">
        <v>12.0</v>
      </c>
    </row>
    <row r="2779">
      <c r="A2779" s="15">
        <v>7.0</v>
      </c>
      <c r="B2779" s="16" t="s">
        <v>8054</v>
      </c>
      <c r="C2779" s="17" t="s">
        <v>8053</v>
      </c>
      <c r="D2779" s="18">
        <v>99.29</v>
      </c>
      <c r="E2779" s="18">
        <v>130.9</v>
      </c>
      <c r="F2779" s="18">
        <v>12.0</v>
      </c>
    </row>
    <row r="2780">
      <c r="A2780" s="15">
        <v>8.0</v>
      </c>
      <c r="B2780" s="16" t="s">
        <v>8055</v>
      </c>
      <c r="C2780" s="17" t="s">
        <v>8056</v>
      </c>
      <c r="D2780" s="18">
        <v>30.86</v>
      </c>
      <c r="E2780" s="18">
        <v>43.2</v>
      </c>
      <c r="F2780" s="18">
        <v>12.0</v>
      </c>
    </row>
    <row r="2781">
      <c r="A2781" s="15">
        <v>9.0</v>
      </c>
      <c r="B2781" s="16" t="s">
        <v>8057</v>
      </c>
      <c r="C2781" s="17" t="s">
        <v>8058</v>
      </c>
      <c r="D2781" s="18">
        <v>402.15</v>
      </c>
      <c r="E2781" s="18">
        <v>558.0</v>
      </c>
      <c r="F2781" s="18">
        <v>12.0</v>
      </c>
    </row>
    <row r="2782">
      <c r="A2782" s="15">
        <v>10.0</v>
      </c>
      <c r="B2782" s="16" t="s">
        <v>8057</v>
      </c>
      <c r="C2782" s="17" t="s">
        <v>8059</v>
      </c>
      <c r="D2782" s="18">
        <v>535.71</v>
      </c>
      <c r="E2782" s="18">
        <v>750.0</v>
      </c>
      <c r="F2782" s="18">
        <v>12.0</v>
      </c>
    </row>
    <row r="2783">
      <c r="A2783" s="15">
        <v>11.0</v>
      </c>
      <c r="B2783" s="16" t="s">
        <v>8057</v>
      </c>
      <c r="C2783" s="17" t="s">
        <v>8060</v>
      </c>
      <c r="D2783" s="18">
        <v>324.33</v>
      </c>
      <c r="E2783" s="18">
        <v>450.0</v>
      </c>
      <c r="F2783" s="18">
        <v>12.0</v>
      </c>
    </row>
    <row r="2784">
      <c r="A2784" s="15">
        <v>12.0</v>
      </c>
      <c r="B2784" s="16" t="s">
        <v>8061</v>
      </c>
      <c r="C2784" s="17" t="s">
        <v>8062</v>
      </c>
      <c r="D2784" s="18">
        <v>49.1</v>
      </c>
      <c r="E2784" s="18">
        <v>150.0</v>
      </c>
      <c r="F2784" s="18">
        <v>5.0</v>
      </c>
    </row>
    <row r="2785">
      <c r="A2785" s="15">
        <v>13.0</v>
      </c>
      <c r="B2785" s="16" t="s">
        <v>8061</v>
      </c>
      <c r="C2785" s="17" t="s">
        <v>8063</v>
      </c>
      <c r="D2785" s="18">
        <v>209.82</v>
      </c>
      <c r="E2785" s="18">
        <v>580.0</v>
      </c>
      <c r="F2785" s="18">
        <v>5.0</v>
      </c>
    </row>
    <row r="2786">
      <c r="A2786" s="6"/>
      <c r="B2786" s="7"/>
      <c r="C2786" s="7"/>
      <c r="D2786" s="7"/>
      <c r="E2786" s="7"/>
      <c r="F2786" s="8"/>
    </row>
    <row r="2787">
      <c r="A2787" s="20" t="s">
        <v>8064</v>
      </c>
      <c r="B2787" s="16" t="s">
        <v>8065</v>
      </c>
      <c r="C2787" s="16" t="s">
        <v>8066</v>
      </c>
      <c r="D2787" s="21"/>
      <c r="E2787" s="21"/>
      <c r="F2787" s="21"/>
    </row>
    <row r="2788">
      <c r="A2788" s="15">
        <v>1.0</v>
      </c>
      <c r="B2788" s="16" t="s">
        <v>8067</v>
      </c>
      <c r="C2788" s="17" t="s">
        <v>8068</v>
      </c>
      <c r="D2788" s="18">
        <v>27.96</v>
      </c>
      <c r="E2788" s="18">
        <v>37.28</v>
      </c>
      <c r="F2788" s="18">
        <v>12.0</v>
      </c>
    </row>
    <row r="2789">
      <c r="A2789" s="15">
        <v>2.0</v>
      </c>
      <c r="B2789" s="16" t="s">
        <v>8069</v>
      </c>
      <c r="C2789" s="17" t="s">
        <v>7937</v>
      </c>
      <c r="D2789" s="18">
        <v>11.82</v>
      </c>
      <c r="E2789" s="18">
        <v>16.55</v>
      </c>
      <c r="F2789" s="18">
        <v>12.0</v>
      </c>
    </row>
    <row r="2790">
      <c r="A2790" s="15">
        <v>3.0</v>
      </c>
      <c r="B2790" s="16" t="s">
        <v>8067</v>
      </c>
      <c r="C2790" s="17" t="s">
        <v>8070</v>
      </c>
      <c r="D2790" s="18">
        <v>13.79</v>
      </c>
      <c r="E2790" s="18">
        <v>19.3</v>
      </c>
      <c r="F2790" s="18">
        <v>12.0</v>
      </c>
    </row>
    <row r="2791">
      <c r="A2791" s="15">
        <v>4.0</v>
      </c>
      <c r="B2791" s="16" t="s">
        <v>8067</v>
      </c>
      <c r="C2791" s="17" t="s">
        <v>7448</v>
      </c>
      <c r="D2791" s="18">
        <v>8.36</v>
      </c>
      <c r="E2791" s="18">
        <v>11.7</v>
      </c>
      <c r="F2791" s="18">
        <v>12.0</v>
      </c>
    </row>
    <row r="2792">
      <c r="A2792" s="15">
        <v>5.0</v>
      </c>
      <c r="B2792" s="16" t="s">
        <v>8071</v>
      </c>
      <c r="C2792" s="17" t="s">
        <v>8072</v>
      </c>
      <c r="D2792" s="18">
        <v>28.32</v>
      </c>
      <c r="E2792" s="18">
        <v>39.65</v>
      </c>
      <c r="F2792" s="18">
        <v>12.0</v>
      </c>
    </row>
    <row r="2793">
      <c r="A2793" s="15">
        <v>6.0</v>
      </c>
      <c r="B2793" s="16" t="s">
        <v>8073</v>
      </c>
      <c r="C2793" s="17" t="s">
        <v>5546</v>
      </c>
      <c r="D2793" s="18">
        <v>10.69</v>
      </c>
      <c r="E2793" s="18">
        <v>14.96</v>
      </c>
      <c r="F2793" s="18">
        <v>12.0</v>
      </c>
    </row>
    <row r="2794">
      <c r="A2794" s="15">
        <v>7.0</v>
      </c>
      <c r="B2794" s="16" t="s">
        <v>8074</v>
      </c>
      <c r="C2794" s="17" t="s">
        <v>5546</v>
      </c>
      <c r="D2794" s="18">
        <v>21.6</v>
      </c>
      <c r="E2794" s="18">
        <v>30.24</v>
      </c>
      <c r="F2794" s="18">
        <v>12.0</v>
      </c>
    </row>
    <row r="2795">
      <c r="A2795" s="15">
        <v>8.0</v>
      </c>
      <c r="B2795" s="16" t="s">
        <v>8075</v>
      </c>
      <c r="C2795" s="17" t="s">
        <v>8076</v>
      </c>
      <c r="D2795" s="18">
        <v>19.31</v>
      </c>
      <c r="E2795" s="18">
        <v>27.04</v>
      </c>
      <c r="F2795" s="18">
        <v>12.0</v>
      </c>
    </row>
    <row r="2796">
      <c r="A2796" s="15">
        <v>9.0</v>
      </c>
      <c r="B2796" s="16" t="s">
        <v>8075</v>
      </c>
      <c r="C2796" s="17" t="s">
        <v>8077</v>
      </c>
      <c r="D2796" s="18">
        <v>24.79</v>
      </c>
      <c r="E2796" s="18">
        <v>34.71</v>
      </c>
      <c r="F2796" s="18">
        <v>12.0</v>
      </c>
    </row>
    <row r="2797">
      <c r="A2797" s="15">
        <v>10.0</v>
      </c>
      <c r="B2797" s="16" t="s">
        <v>8078</v>
      </c>
      <c r="C2797" s="17" t="s">
        <v>5603</v>
      </c>
      <c r="D2797" s="18">
        <v>49.93</v>
      </c>
      <c r="E2797" s="18">
        <v>69.9</v>
      </c>
      <c r="F2797" s="18">
        <v>12.0</v>
      </c>
    </row>
    <row r="2798">
      <c r="A2798" s="15">
        <v>11.0</v>
      </c>
      <c r="B2798" s="16" t="s">
        <v>8079</v>
      </c>
      <c r="C2798" s="17" t="s">
        <v>5636</v>
      </c>
      <c r="D2798" s="18">
        <v>31.93</v>
      </c>
      <c r="E2798" s="18">
        <v>44.7</v>
      </c>
      <c r="F2798" s="18">
        <v>12.0</v>
      </c>
    </row>
    <row r="2799">
      <c r="A2799" s="15">
        <v>12.0</v>
      </c>
      <c r="B2799" s="16" t="s">
        <v>8080</v>
      </c>
      <c r="C2799" s="16" t="s">
        <v>5700</v>
      </c>
      <c r="D2799" s="18">
        <v>26.69</v>
      </c>
      <c r="E2799" s="18">
        <v>37.37</v>
      </c>
      <c r="F2799" s="18">
        <v>12.0</v>
      </c>
    </row>
    <row r="2800">
      <c r="A2800" s="15">
        <v>13.0</v>
      </c>
      <c r="B2800" s="16" t="s">
        <v>2264</v>
      </c>
      <c r="C2800" s="16" t="s">
        <v>5558</v>
      </c>
      <c r="D2800" s="18">
        <v>12.36</v>
      </c>
      <c r="E2800" s="18">
        <v>17.3</v>
      </c>
      <c r="F2800" s="18">
        <v>12.0</v>
      </c>
    </row>
    <row r="2801">
      <c r="A2801" s="15">
        <v>14.0</v>
      </c>
      <c r="B2801" s="16" t="s">
        <v>8081</v>
      </c>
      <c r="C2801" s="17" t="s">
        <v>8082</v>
      </c>
      <c r="D2801" s="18">
        <v>20.59</v>
      </c>
      <c r="E2801" s="18">
        <v>27.45</v>
      </c>
      <c r="F2801" s="18">
        <v>12.0</v>
      </c>
    </row>
    <row r="2802">
      <c r="A2802" s="15">
        <v>15.0</v>
      </c>
      <c r="B2802" s="16" t="s">
        <v>7669</v>
      </c>
      <c r="C2802" s="17" t="s">
        <v>5562</v>
      </c>
      <c r="D2802" s="18">
        <v>189.83</v>
      </c>
      <c r="E2802" s="18">
        <v>280.0</v>
      </c>
      <c r="F2802" s="18">
        <v>18.0</v>
      </c>
    </row>
    <row r="2803">
      <c r="A2803" s="15">
        <v>16.0</v>
      </c>
      <c r="B2803" s="16" t="s">
        <v>2267</v>
      </c>
      <c r="C2803" s="16" t="s">
        <v>8083</v>
      </c>
      <c r="D2803" s="18">
        <v>122.25</v>
      </c>
      <c r="E2803" s="18">
        <v>171.15</v>
      </c>
      <c r="F2803" s="18">
        <v>12.0</v>
      </c>
    </row>
    <row r="2804">
      <c r="A2804" s="15">
        <v>17.0</v>
      </c>
      <c r="B2804" s="16" t="s">
        <v>8084</v>
      </c>
      <c r="C2804" s="17" t="s">
        <v>8085</v>
      </c>
      <c r="D2804" s="18">
        <v>57.62</v>
      </c>
      <c r="E2804" s="18">
        <v>85.0</v>
      </c>
      <c r="F2804" s="18">
        <v>18.0</v>
      </c>
    </row>
    <row r="2805">
      <c r="A2805" s="15">
        <v>18.0</v>
      </c>
      <c r="B2805" s="16" t="s">
        <v>8086</v>
      </c>
      <c r="C2805" s="17" t="s">
        <v>8087</v>
      </c>
      <c r="D2805" s="18">
        <v>48.15</v>
      </c>
      <c r="E2805" s="18">
        <v>63.2</v>
      </c>
      <c r="F2805" s="18">
        <v>5.0</v>
      </c>
    </row>
    <row r="2806">
      <c r="A2806" s="15">
        <v>19.0</v>
      </c>
      <c r="B2806" s="16" t="s">
        <v>8086</v>
      </c>
      <c r="C2806" s="17" t="s">
        <v>6422</v>
      </c>
      <c r="D2806" s="18">
        <v>45.03</v>
      </c>
      <c r="E2806" s="18">
        <v>59.1</v>
      </c>
      <c r="F2806" s="18">
        <v>5.0</v>
      </c>
    </row>
    <row r="2807">
      <c r="A2807" s="15">
        <v>20.0</v>
      </c>
      <c r="B2807" s="16" t="s">
        <v>8088</v>
      </c>
      <c r="C2807" s="17" t="s">
        <v>7790</v>
      </c>
      <c r="D2807" s="18">
        <v>32.14</v>
      </c>
      <c r="E2807" s="18">
        <v>45.0</v>
      </c>
      <c r="F2807" s="18">
        <v>12.0</v>
      </c>
    </row>
    <row r="2808">
      <c r="A2808" s="15">
        <v>21.0</v>
      </c>
      <c r="B2808" s="16" t="s">
        <v>8088</v>
      </c>
      <c r="C2808" s="17" t="s">
        <v>5751</v>
      </c>
      <c r="D2808" s="18">
        <v>50.79</v>
      </c>
      <c r="E2808" s="18">
        <v>71.1</v>
      </c>
      <c r="F2808" s="18">
        <v>12.0</v>
      </c>
    </row>
    <row r="2809">
      <c r="A2809" s="15">
        <v>22.0</v>
      </c>
      <c r="B2809" s="16" t="s">
        <v>8088</v>
      </c>
      <c r="C2809" s="17" t="s">
        <v>8089</v>
      </c>
      <c r="D2809" s="18">
        <v>62.05</v>
      </c>
      <c r="E2809" s="18">
        <v>87.75</v>
      </c>
      <c r="F2809" s="18">
        <v>12.0</v>
      </c>
    </row>
    <row r="2810">
      <c r="A2810" s="15">
        <v>23.0</v>
      </c>
      <c r="B2810" s="16" t="s">
        <v>2275</v>
      </c>
      <c r="C2810" s="16" t="s">
        <v>5679</v>
      </c>
      <c r="D2810" s="18">
        <v>80.63</v>
      </c>
      <c r="E2810" s="18">
        <v>110.75</v>
      </c>
      <c r="F2810" s="18">
        <v>12.0</v>
      </c>
    </row>
    <row r="2811">
      <c r="A2811" s="15">
        <v>24.0</v>
      </c>
      <c r="B2811" s="16" t="s">
        <v>2276</v>
      </c>
      <c r="C2811" s="16" t="s">
        <v>5558</v>
      </c>
      <c r="D2811" s="18">
        <v>61.19</v>
      </c>
      <c r="E2811" s="18">
        <v>84.0</v>
      </c>
      <c r="F2811" s="18">
        <v>12.0</v>
      </c>
    </row>
    <row r="2812">
      <c r="A2812" s="15">
        <v>25.0</v>
      </c>
      <c r="B2812" s="16" t="s">
        <v>8090</v>
      </c>
      <c r="C2812" s="17" t="s">
        <v>8091</v>
      </c>
      <c r="D2812" s="18">
        <v>65.82</v>
      </c>
      <c r="E2812" s="18">
        <v>92.15</v>
      </c>
      <c r="F2812" s="18">
        <v>12.0</v>
      </c>
    </row>
    <row r="2813">
      <c r="A2813" s="15">
        <v>26.0</v>
      </c>
      <c r="B2813" s="16" t="s">
        <v>8092</v>
      </c>
      <c r="C2813" s="17" t="s">
        <v>5614</v>
      </c>
      <c r="D2813" s="18">
        <v>115.36</v>
      </c>
      <c r="E2813" s="18">
        <v>144.2</v>
      </c>
      <c r="F2813" s="18">
        <v>12.0</v>
      </c>
    </row>
    <row r="2814">
      <c r="A2814" s="15">
        <v>27.0</v>
      </c>
      <c r="B2814" s="16" t="s">
        <v>8092</v>
      </c>
      <c r="C2814" s="17" t="s">
        <v>6390</v>
      </c>
      <c r="D2814" s="18">
        <v>114.47</v>
      </c>
      <c r="E2814" s="18">
        <v>160.25</v>
      </c>
      <c r="F2814" s="18">
        <v>12.0</v>
      </c>
    </row>
    <row r="2815">
      <c r="A2815" s="15">
        <v>28.0</v>
      </c>
      <c r="B2815" s="16" t="s">
        <v>8092</v>
      </c>
      <c r="C2815" s="17" t="s">
        <v>8091</v>
      </c>
      <c r="D2815" s="18">
        <v>103.0</v>
      </c>
      <c r="E2815" s="18">
        <v>145.7</v>
      </c>
      <c r="F2815" s="18">
        <v>12.0</v>
      </c>
    </row>
    <row r="2816">
      <c r="A2816" s="6"/>
      <c r="B2816" s="7"/>
      <c r="C2816" s="7"/>
      <c r="D2816" s="7"/>
      <c r="E2816" s="8"/>
      <c r="F2816" s="16" t="s">
        <v>8093</v>
      </c>
    </row>
    <row r="2817">
      <c r="A2817" s="6"/>
      <c r="B2817" s="7"/>
      <c r="C2817" s="7"/>
      <c r="D2817" s="7"/>
      <c r="E2817" s="7"/>
      <c r="F2817" s="8"/>
    </row>
    <row r="2818">
      <c r="A2818" s="6"/>
      <c r="B2818" s="7"/>
      <c r="C2818" s="7"/>
      <c r="D2818" s="7"/>
      <c r="E2818" s="7"/>
      <c r="F2818" s="8"/>
    </row>
    <row r="2819">
      <c r="A2819" s="6"/>
      <c r="B2819" s="7"/>
      <c r="C2819" s="7"/>
      <c r="D2819" s="7"/>
      <c r="E2819" s="7"/>
      <c r="F2819" s="8"/>
    </row>
    <row r="2820">
      <c r="A2820" s="6"/>
      <c r="B2820" s="7"/>
      <c r="C2820" s="7"/>
      <c r="D2820" s="7"/>
      <c r="E2820" s="7"/>
      <c r="F2820" s="8"/>
    </row>
    <row r="2821">
      <c r="A2821" s="9" t="s">
        <v>5582</v>
      </c>
      <c r="B2821" s="10"/>
      <c r="C2821" s="10"/>
      <c r="D2821" s="10"/>
      <c r="E2821" s="10"/>
      <c r="F2821" s="10"/>
    </row>
    <row r="2822">
      <c r="A2822" s="19" t="s">
        <v>5583</v>
      </c>
    </row>
    <row r="2823">
      <c r="A2823" s="6"/>
      <c r="B2823" s="7"/>
      <c r="C2823" s="7"/>
      <c r="D2823" s="8"/>
      <c r="E2823" s="12" t="s">
        <v>5584</v>
      </c>
      <c r="F2823" s="12" t="s">
        <v>8094</v>
      </c>
    </row>
    <row r="2824">
      <c r="A2824" s="20" t="s">
        <v>5522</v>
      </c>
      <c r="B2824" s="16" t="s">
        <v>5523</v>
      </c>
      <c r="C2824" s="16" t="s">
        <v>5524</v>
      </c>
      <c r="D2824" s="16" t="s">
        <v>5525</v>
      </c>
      <c r="E2824" s="16" t="s">
        <v>5526</v>
      </c>
      <c r="F2824" s="16" t="s">
        <v>5586</v>
      </c>
    </row>
    <row r="2825">
      <c r="A2825" s="15">
        <v>29.0</v>
      </c>
      <c r="B2825" s="16" t="s">
        <v>8095</v>
      </c>
      <c r="C2825" s="17" t="s">
        <v>5614</v>
      </c>
      <c r="D2825" s="18">
        <v>127.68</v>
      </c>
      <c r="E2825" s="18">
        <v>178.75</v>
      </c>
      <c r="F2825" s="18">
        <v>12.0</v>
      </c>
    </row>
    <row r="2826">
      <c r="A2826" s="15">
        <v>30.0</v>
      </c>
      <c r="B2826" s="16" t="s">
        <v>8096</v>
      </c>
      <c r="C2826" s="17" t="s">
        <v>6898</v>
      </c>
      <c r="D2826" s="18">
        <v>145.68</v>
      </c>
      <c r="E2826" s="18">
        <v>203.95</v>
      </c>
      <c r="F2826" s="18">
        <v>12.0</v>
      </c>
    </row>
    <row r="2827">
      <c r="A2827" s="15">
        <v>31.0</v>
      </c>
      <c r="B2827" s="16" t="s">
        <v>8096</v>
      </c>
      <c r="C2827" s="17" t="s">
        <v>6083</v>
      </c>
      <c r="D2827" s="18">
        <v>251.43</v>
      </c>
      <c r="E2827" s="18">
        <v>352.0</v>
      </c>
      <c r="F2827" s="18">
        <v>12.0</v>
      </c>
    </row>
    <row r="2828">
      <c r="A2828" s="15">
        <v>32.0</v>
      </c>
      <c r="B2828" s="16" t="s">
        <v>8097</v>
      </c>
      <c r="C2828" s="16" t="s">
        <v>7306</v>
      </c>
      <c r="D2828" s="18">
        <v>55.32</v>
      </c>
      <c r="E2828" s="18">
        <v>77.45</v>
      </c>
      <c r="F2828" s="18">
        <v>12.0</v>
      </c>
    </row>
    <row r="2829">
      <c r="A2829" s="15">
        <v>33.0</v>
      </c>
      <c r="B2829" s="16" t="s">
        <v>8098</v>
      </c>
      <c r="C2829" s="17" t="s">
        <v>6374</v>
      </c>
      <c r="D2829" s="18">
        <v>74.64</v>
      </c>
      <c r="E2829" s="18">
        <v>104.5</v>
      </c>
      <c r="F2829" s="18">
        <v>12.0</v>
      </c>
    </row>
    <row r="2830">
      <c r="A2830" s="15">
        <v>34.0</v>
      </c>
      <c r="B2830" s="16" t="s">
        <v>8099</v>
      </c>
      <c r="C2830" s="17" t="s">
        <v>5636</v>
      </c>
      <c r="D2830" s="18">
        <v>49.21</v>
      </c>
      <c r="E2830" s="18">
        <v>68.9</v>
      </c>
      <c r="F2830" s="18">
        <v>12.0</v>
      </c>
    </row>
    <row r="2831">
      <c r="A2831" s="15">
        <v>35.0</v>
      </c>
      <c r="B2831" s="16" t="s">
        <v>8100</v>
      </c>
      <c r="C2831" s="17" t="s">
        <v>8101</v>
      </c>
      <c r="D2831" s="18">
        <v>67.04</v>
      </c>
      <c r="E2831" s="18">
        <v>93.85</v>
      </c>
      <c r="F2831" s="18">
        <v>12.0</v>
      </c>
    </row>
    <row r="2832">
      <c r="A2832" s="15">
        <v>36.0</v>
      </c>
      <c r="B2832" s="16" t="s">
        <v>8102</v>
      </c>
      <c r="C2832" s="17" t="s">
        <v>7817</v>
      </c>
      <c r="D2832" s="18">
        <v>60.79</v>
      </c>
      <c r="E2832" s="18">
        <v>85.1</v>
      </c>
      <c r="F2832" s="18">
        <v>12.0</v>
      </c>
    </row>
    <row r="2833">
      <c r="A2833" s="15">
        <v>37.0</v>
      </c>
      <c r="B2833" s="16" t="s">
        <v>8103</v>
      </c>
      <c r="C2833" s="17" t="s">
        <v>8104</v>
      </c>
      <c r="D2833" s="18">
        <v>66.74</v>
      </c>
      <c r="E2833" s="18">
        <v>87.6</v>
      </c>
      <c r="F2833" s="18">
        <v>5.0</v>
      </c>
    </row>
    <row r="2834">
      <c r="A2834" s="15">
        <v>38.0</v>
      </c>
      <c r="B2834" s="16" t="s">
        <v>8105</v>
      </c>
      <c r="C2834" s="17" t="s">
        <v>5580</v>
      </c>
      <c r="D2834" s="18">
        <v>207.03</v>
      </c>
      <c r="E2834" s="18">
        <v>284.35</v>
      </c>
      <c r="F2834" s="18">
        <v>12.0</v>
      </c>
    </row>
    <row r="2835">
      <c r="A2835" s="15">
        <v>39.0</v>
      </c>
      <c r="B2835" s="16" t="s">
        <v>8105</v>
      </c>
      <c r="C2835" s="17" t="s">
        <v>8106</v>
      </c>
      <c r="D2835" s="18">
        <v>317.34</v>
      </c>
      <c r="E2835" s="18">
        <v>435.7</v>
      </c>
      <c r="F2835" s="18">
        <v>12.0</v>
      </c>
    </row>
    <row r="2836">
      <c r="A2836" s="15">
        <v>40.0</v>
      </c>
      <c r="B2836" s="16" t="s">
        <v>8107</v>
      </c>
      <c r="C2836" s="17" t="s">
        <v>6749</v>
      </c>
      <c r="D2836" s="18">
        <v>6.02</v>
      </c>
      <c r="E2836" s="18">
        <v>8.43</v>
      </c>
      <c r="F2836" s="18">
        <v>12.0</v>
      </c>
    </row>
    <row r="2837">
      <c r="A2837" s="15">
        <v>41.0</v>
      </c>
      <c r="B2837" s="16" t="s">
        <v>8108</v>
      </c>
      <c r="C2837" s="17" t="s">
        <v>8109</v>
      </c>
      <c r="D2837" s="18">
        <v>12.71</v>
      </c>
      <c r="E2837" s="18">
        <v>17.79</v>
      </c>
      <c r="F2837" s="18">
        <v>12.0</v>
      </c>
    </row>
    <row r="2838">
      <c r="A2838" s="15">
        <v>42.0</v>
      </c>
      <c r="B2838" s="16" t="s">
        <v>2295</v>
      </c>
      <c r="C2838" s="16" t="s">
        <v>8083</v>
      </c>
      <c r="D2838" s="18">
        <v>31.58</v>
      </c>
      <c r="E2838" s="18">
        <v>42.1</v>
      </c>
      <c r="F2838" s="18">
        <v>12.0</v>
      </c>
    </row>
    <row r="2839">
      <c r="A2839" s="15">
        <v>43.0</v>
      </c>
      <c r="B2839" s="16" t="s">
        <v>8110</v>
      </c>
      <c r="C2839" s="17" t="s">
        <v>5598</v>
      </c>
      <c r="D2839" s="18">
        <v>16.16</v>
      </c>
      <c r="E2839" s="18">
        <v>22.62</v>
      </c>
      <c r="F2839" s="18">
        <v>12.0</v>
      </c>
    </row>
    <row r="2840">
      <c r="A2840" s="15">
        <v>44.0</v>
      </c>
      <c r="B2840" s="16" t="s">
        <v>8111</v>
      </c>
      <c r="C2840" s="17" t="s">
        <v>5536</v>
      </c>
      <c r="D2840" s="18">
        <v>12.64</v>
      </c>
      <c r="E2840" s="18">
        <v>17.7</v>
      </c>
      <c r="F2840" s="18">
        <v>12.0</v>
      </c>
    </row>
    <row r="2841">
      <c r="A2841" s="15">
        <v>45.0</v>
      </c>
      <c r="B2841" s="16" t="s">
        <v>8112</v>
      </c>
      <c r="C2841" s="17" t="s">
        <v>8113</v>
      </c>
      <c r="D2841" s="18">
        <v>7.96</v>
      </c>
      <c r="E2841" s="18">
        <v>11.15</v>
      </c>
      <c r="F2841" s="18">
        <v>12.0</v>
      </c>
    </row>
    <row r="2842">
      <c r="A2842" s="6"/>
      <c r="B2842" s="7"/>
      <c r="C2842" s="7"/>
      <c r="D2842" s="7"/>
      <c r="E2842" s="7"/>
      <c r="F2842" s="8"/>
    </row>
    <row r="2843">
      <c r="A2843" s="20" t="s">
        <v>8064</v>
      </c>
      <c r="B2843" s="16" t="s">
        <v>8114</v>
      </c>
      <c r="C2843" s="17" t="s">
        <v>8115</v>
      </c>
      <c r="D2843" s="21"/>
      <c r="E2843" s="21"/>
      <c r="F2843" s="21"/>
    </row>
    <row r="2844">
      <c r="A2844" s="15">
        <v>1.0</v>
      </c>
      <c r="B2844" s="16" t="s">
        <v>8067</v>
      </c>
      <c r="C2844" s="17" t="s">
        <v>8116</v>
      </c>
      <c r="D2844" s="18">
        <v>13.86</v>
      </c>
      <c r="E2844" s="18">
        <v>19.4</v>
      </c>
      <c r="F2844" s="18">
        <v>12.0</v>
      </c>
    </row>
    <row r="2845">
      <c r="A2845" s="15">
        <v>2.0</v>
      </c>
      <c r="B2845" s="16" t="s">
        <v>8117</v>
      </c>
      <c r="C2845" s="17" t="s">
        <v>8118</v>
      </c>
      <c r="D2845" s="18">
        <v>285.27</v>
      </c>
      <c r="E2845" s="18">
        <v>374.42</v>
      </c>
      <c r="F2845" s="18">
        <v>5.0</v>
      </c>
    </row>
    <row r="2846">
      <c r="A2846" s="15">
        <v>3.0</v>
      </c>
      <c r="B2846" s="16" t="s">
        <v>8119</v>
      </c>
      <c r="C2846" s="17" t="s">
        <v>7287</v>
      </c>
      <c r="D2846" s="18">
        <v>132.39</v>
      </c>
      <c r="E2846" s="18">
        <v>185.35</v>
      </c>
      <c r="F2846" s="18">
        <v>12.0</v>
      </c>
    </row>
    <row r="2847">
      <c r="A2847" s="15">
        <v>4.0</v>
      </c>
      <c r="B2847" s="16" t="s">
        <v>8119</v>
      </c>
      <c r="C2847" s="17" t="s">
        <v>5928</v>
      </c>
      <c r="D2847" s="18">
        <v>79.39</v>
      </c>
      <c r="E2847" s="18">
        <v>111.15</v>
      </c>
      <c r="F2847" s="18">
        <v>12.0</v>
      </c>
    </row>
    <row r="2848">
      <c r="A2848" s="15">
        <v>5.0</v>
      </c>
      <c r="B2848" s="16" t="s">
        <v>8120</v>
      </c>
      <c r="C2848" s="16" t="s">
        <v>6399</v>
      </c>
      <c r="D2848" s="18">
        <v>156.07</v>
      </c>
      <c r="E2848" s="18">
        <v>218.5</v>
      </c>
      <c r="F2848" s="18">
        <v>12.0</v>
      </c>
    </row>
    <row r="2849">
      <c r="A2849" s="15">
        <v>6.0</v>
      </c>
      <c r="B2849" s="16" t="s">
        <v>8121</v>
      </c>
      <c r="C2849" s="17" t="s">
        <v>5674</v>
      </c>
      <c r="D2849" s="18">
        <v>62.5</v>
      </c>
      <c r="E2849" s="18">
        <v>87.5</v>
      </c>
      <c r="F2849" s="18">
        <v>12.0</v>
      </c>
    </row>
    <row r="2850">
      <c r="A2850" s="15">
        <v>7.0</v>
      </c>
      <c r="B2850" s="16" t="s">
        <v>8122</v>
      </c>
      <c r="C2850" s="17" t="s">
        <v>5731</v>
      </c>
      <c r="D2850" s="18">
        <v>59.61</v>
      </c>
      <c r="E2850" s="18">
        <v>83.45</v>
      </c>
      <c r="F2850" s="18">
        <v>12.0</v>
      </c>
    </row>
    <row r="2851">
      <c r="A2851" s="15">
        <v>8.0</v>
      </c>
      <c r="B2851" s="16" t="s">
        <v>8123</v>
      </c>
      <c r="C2851" s="17" t="s">
        <v>5731</v>
      </c>
      <c r="D2851" s="18">
        <v>72.25</v>
      </c>
      <c r="E2851" s="18">
        <v>101.15</v>
      </c>
      <c r="F2851" s="18">
        <v>12.0</v>
      </c>
    </row>
    <row r="2852">
      <c r="A2852" s="15">
        <v>9.0</v>
      </c>
      <c r="B2852" s="16" t="s">
        <v>8124</v>
      </c>
      <c r="C2852" s="17" t="s">
        <v>6864</v>
      </c>
      <c r="D2852" s="18">
        <v>139.46</v>
      </c>
      <c r="E2852" s="18">
        <v>195.25</v>
      </c>
      <c r="F2852" s="18">
        <v>12.0</v>
      </c>
    </row>
    <row r="2853">
      <c r="A2853" s="15">
        <v>10.0</v>
      </c>
      <c r="B2853" s="16" t="s">
        <v>8124</v>
      </c>
      <c r="C2853" s="17" t="s">
        <v>6422</v>
      </c>
      <c r="D2853" s="18">
        <v>79.1</v>
      </c>
      <c r="E2853" s="18">
        <v>108.65</v>
      </c>
      <c r="F2853" s="18">
        <v>12.0</v>
      </c>
    </row>
    <row r="2854">
      <c r="A2854" s="15">
        <v>11.0</v>
      </c>
      <c r="B2854" s="16" t="s">
        <v>8125</v>
      </c>
      <c r="C2854" s="17" t="s">
        <v>5827</v>
      </c>
      <c r="D2854" s="18">
        <v>115.25</v>
      </c>
      <c r="E2854" s="18">
        <v>161.35</v>
      </c>
      <c r="F2854" s="18">
        <v>12.0</v>
      </c>
    </row>
    <row r="2855">
      <c r="A2855" s="15">
        <v>12.0</v>
      </c>
      <c r="B2855" s="16" t="s">
        <v>8126</v>
      </c>
      <c r="C2855" s="17" t="s">
        <v>5827</v>
      </c>
      <c r="D2855" s="18">
        <v>74.64</v>
      </c>
      <c r="E2855" s="18">
        <v>104.5</v>
      </c>
      <c r="F2855" s="18">
        <v>12.0</v>
      </c>
    </row>
    <row r="2856">
      <c r="A2856" s="15">
        <v>13.0</v>
      </c>
      <c r="B2856" s="16" t="s">
        <v>8126</v>
      </c>
      <c r="C2856" s="17" t="s">
        <v>5828</v>
      </c>
      <c r="D2856" s="18">
        <v>196.32</v>
      </c>
      <c r="E2856" s="18">
        <v>274.85</v>
      </c>
      <c r="F2856" s="18">
        <v>12.0</v>
      </c>
    </row>
    <row r="2857">
      <c r="A2857" s="15">
        <v>14.0</v>
      </c>
      <c r="B2857" s="16" t="s">
        <v>8125</v>
      </c>
      <c r="C2857" s="17" t="s">
        <v>8127</v>
      </c>
      <c r="D2857" s="18">
        <v>103.54</v>
      </c>
      <c r="E2857" s="18">
        <v>144.95</v>
      </c>
      <c r="F2857" s="18">
        <v>12.0</v>
      </c>
    </row>
    <row r="2858">
      <c r="A2858" s="15">
        <v>15.0</v>
      </c>
      <c r="B2858" s="16" t="s">
        <v>8128</v>
      </c>
      <c r="C2858" s="17" t="s">
        <v>5580</v>
      </c>
      <c r="D2858" s="18">
        <v>13.34</v>
      </c>
      <c r="E2858" s="18">
        <v>17.79</v>
      </c>
      <c r="F2858" s="18">
        <v>12.0</v>
      </c>
    </row>
    <row r="2859">
      <c r="A2859" s="15">
        <v>16.0</v>
      </c>
      <c r="B2859" s="16" t="s">
        <v>2314</v>
      </c>
      <c r="C2859" s="16" t="s">
        <v>5558</v>
      </c>
      <c r="D2859" s="18">
        <v>18.39</v>
      </c>
      <c r="E2859" s="18">
        <v>25.25</v>
      </c>
      <c r="F2859" s="18">
        <v>12.0</v>
      </c>
    </row>
    <row r="2860">
      <c r="A2860" s="15">
        <v>17.0</v>
      </c>
      <c r="B2860" s="16" t="s">
        <v>8129</v>
      </c>
      <c r="C2860" s="17" t="s">
        <v>8130</v>
      </c>
      <c r="D2860" s="18">
        <v>36.25</v>
      </c>
      <c r="E2860" s="18">
        <v>44.73</v>
      </c>
      <c r="F2860" s="18">
        <v>5.0</v>
      </c>
    </row>
    <row r="2861">
      <c r="A2861" s="15">
        <v>18.0</v>
      </c>
      <c r="B2861" s="16" t="s">
        <v>8131</v>
      </c>
      <c r="C2861" s="17" t="s">
        <v>8132</v>
      </c>
      <c r="D2861" s="18">
        <v>92.48</v>
      </c>
      <c r="E2861" s="18">
        <v>136.4</v>
      </c>
      <c r="F2861" s="18">
        <v>18.0</v>
      </c>
    </row>
    <row r="2862">
      <c r="A2862" s="15">
        <v>19.0</v>
      </c>
      <c r="B2862" s="16" t="s">
        <v>8131</v>
      </c>
      <c r="C2862" s="17" t="s">
        <v>8133</v>
      </c>
      <c r="D2862" s="18">
        <v>41.23</v>
      </c>
      <c r="E2862" s="18">
        <v>66.0</v>
      </c>
      <c r="F2862" s="18">
        <v>18.0</v>
      </c>
    </row>
    <row r="2863">
      <c r="A2863" s="15">
        <v>20.0</v>
      </c>
      <c r="B2863" s="16" t="s">
        <v>8134</v>
      </c>
      <c r="C2863" s="17" t="s">
        <v>8135</v>
      </c>
      <c r="D2863" s="18">
        <v>51.86</v>
      </c>
      <c r="E2863" s="18">
        <v>76.5</v>
      </c>
      <c r="F2863" s="18">
        <v>18.0</v>
      </c>
    </row>
    <row r="2864">
      <c r="A2864" s="15">
        <v>21.0</v>
      </c>
      <c r="B2864" s="16" t="s">
        <v>8136</v>
      </c>
      <c r="C2864" s="16" t="s">
        <v>8137</v>
      </c>
      <c r="D2864" s="18">
        <v>43.97</v>
      </c>
      <c r="E2864" s="18">
        <v>67.3</v>
      </c>
      <c r="F2864" s="18">
        <v>18.0</v>
      </c>
    </row>
    <row r="2865">
      <c r="A2865" s="15">
        <v>22.0</v>
      </c>
      <c r="B2865" s="16" t="s">
        <v>8138</v>
      </c>
      <c r="C2865" s="17" t="s">
        <v>5536</v>
      </c>
      <c r="D2865" s="18">
        <v>23.87</v>
      </c>
      <c r="E2865" s="18">
        <v>32.8</v>
      </c>
      <c r="F2865" s="18">
        <v>12.0</v>
      </c>
    </row>
    <row r="2866">
      <c r="A2866" s="15">
        <v>23.0</v>
      </c>
      <c r="B2866" s="16" t="s">
        <v>2321</v>
      </c>
      <c r="C2866" s="16" t="s">
        <v>5558</v>
      </c>
      <c r="D2866" s="18">
        <v>23.11</v>
      </c>
      <c r="E2866" s="18">
        <v>31.75</v>
      </c>
      <c r="F2866" s="18">
        <v>12.0</v>
      </c>
    </row>
    <row r="2867">
      <c r="A2867" s="15">
        <v>24.0</v>
      </c>
      <c r="B2867" s="16" t="s">
        <v>8139</v>
      </c>
      <c r="C2867" s="17" t="s">
        <v>8140</v>
      </c>
      <c r="D2867" s="18">
        <v>172.57</v>
      </c>
      <c r="E2867" s="18">
        <v>241.6</v>
      </c>
      <c r="F2867" s="18">
        <v>12.0</v>
      </c>
    </row>
    <row r="2868">
      <c r="A2868" s="15">
        <v>25.0</v>
      </c>
      <c r="B2868" s="16" t="s">
        <v>8141</v>
      </c>
      <c r="C2868" s="17" t="s">
        <v>6421</v>
      </c>
      <c r="D2868" s="18">
        <v>96.71</v>
      </c>
      <c r="E2868" s="18">
        <v>135.4</v>
      </c>
      <c r="F2868" s="18">
        <v>12.0</v>
      </c>
    </row>
    <row r="2869">
      <c r="A2869" s="15">
        <v>26.0</v>
      </c>
      <c r="B2869" s="16" t="s">
        <v>8142</v>
      </c>
      <c r="C2869" s="17" t="s">
        <v>8104</v>
      </c>
      <c r="D2869" s="18">
        <v>207.36</v>
      </c>
      <c r="E2869" s="18">
        <v>290.3</v>
      </c>
      <c r="F2869" s="18">
        <v>12.0</v>
      </c>
    </row>
    <row r="2870">
      <c r="A2870" s="15">
        <v>27.0</v>
      </c>
      <c r="B2870" s="16" t="s">
        <v>8141</v>
      </c>
      <c r="C2870" s="17" t="s">
        <v>6422</v>
      </c>
      <c r="D2870" s="18">
        <v>87.04</v>
      </c>
      <c r="E2870" s="18">
        <v>121.85</v>
      </c>
      <c r="F2870" s="18">
        <v>12.0</v>
      </c>
    </row>
    <row r="2871">
      <c r="A2871" s="15">
        <v>28.0</v>
      </c>
      <c r="B2871" s="16" t="s">
        <v>8143</v>
      </c>
      <c r="C2871" s="17" t="s">
        <v>5827</v>
      </c>
      <c r="D2871" s="18">
        <v>24.54</v>
      </c>
      <c r="E2871" s="18">
        <v>34.35</v>
      </c>
      <c r="F2871" s="18">
        <v>12.0</v>
      </c>
    </row>
    <row r="2872">
      <c r="A2872" s="15">
        <v>29.0</v>
      </c>
      <c r="B2872" s="16" t="s">
        <v>8144</v>
      </c>
      <c r="C2872" s="17" t="s">
        <v>5731</v>
      </c>
      <c r="D2872" s="18">
        <v>64.89</v>
      </c>
      <c r="E2872" s="18">
        <v>90.85</v>
      </c>
      <c r="F2872" s="18">
        <v>12.0</v>
      </c>
    </row>
    <row r="2873">
      <c r="A2873" s="15">
        <v>30.0</v>
      </c>
      <c r="B2873" s="16" t="s">
        <v>8145</v>
      </c>
      <c r="C2873" s="17" t="s">
        <v>5827</v>
      </c>
      <c r="D2873" s="18">
        <v>25.74</v>
      </c>
      <c r="E2873" s="18">
        <v>35.35</v>
      </c>
      <c r="F2873" s="18">
        <v>12.0</v>
      </c>
    </row>
    <row r="2874">
      <c r="A2874" s="15">
        <v>31.0</v>
      </c>
      <c r="B2874" s="16" t="s">
        <v>8146</v>
      </c>
      <c r="C2874" s="17" t="s">
        <v>8104</v>
      </c>
      <c r="D2874" s="18">
        <v>58.71</v>
      </c>
      <c r="E2874" s="18">
        <v>82.2</v>
      </c>
      <c r="F2874" s="18">
        <v>12.0</v>
      </c>
    </row>
    <row r="2875">
      <c r="A2875" s="15">
        <v>32.0</v>
      </c>
      <c r="B2875" s="16" t="s">
        <v>8146</v>
      </c>
      <c r="C2875" s="17" t="s">
        <v>8147</v>
      </c>
      <c r="D2875" s="18">
        <v>83.82</v>
      </c>
      <c r="E2875" s="18">
        <v>117.35</v>
      </c>
      <c r="F2875" s="18">
        <v>12.0</v>
      </c>
    </row>
    <row r="2876">
      <c r="A2876" s="15">
        <v>33.0</v>
      </c>
      <c r="B2876" s="16" t="s">
        <v>8148</v>
      </c>
      <c r="C2876" s="17" t="s">
        <v>5636</v>
      </c>
      <c r="D2876" s="18">
        <v>38.84</v>
      </c>
      <c r="E2876" s="18">
        <v>53.35</v>
      </c>
      <c r="F2876" s="18">
        <v>12.0</v>
      </c>
    </row>
    <row r="2877">
      <c r="A2877" s="15">
        <v>34.0</v>
      </c>
      <c r="B2877" s="16" t="s">
        <v>8149</v>
      </c>
      <c r="C2877" s="17" t="s">
        <v>7223</v>
      </c>
      <c r="D2877" s="18">
        <v>201.07</v>
      </c>
      <c r="E2877" s="18">
        <v>281.5</v>
      </c>
      <c r="F2877" s="18">
        <v>12.0</v>
      </c>
    </row>
    <row r="2878">
      <c r="A2878" s="15">
        <v>35.0</v>
      </c>
      <c r="B2878" s="16" t="s">
        <v>8150</v>
      </c>
      <c r="C2878" s="16" t="s">
        <v>1124</v>
      </c>
      <c r="D2878" s="18">
        <v>59.82</v>
      </c>
      <c r="E2878" s="18">
        <v>83.75</v>
      </c>
      <c r="F2878" s="18">
        <v>12.0</v>
      </c>
    </row>
    <row r="2879">
      <c r="A2879" s="15">
        <v>36.0</v>
      </c>
      <c r="B2879" s="16" t="s">
        <v>8151</v>
      </c>
      <c r="C2879" s="17" t="s">
        <v>6475</v>
      </c>
      <c r="D2879" s="18">
        <v>156.5</v>
      </c>
      <c r="E2879" s="18">
        <v>219.1</v>
      </c>
      <c r="F2879" s="18">
        <v>12.0</v>
      </c>
    </row>
    <row r="2880">
      <c r="A2880" s="15">
        <v>37.0</v>
      </c>
      <c r="B2880" s="16" t="s">
        <v>8152</v>
      </c>
      <c r="C2880" s="17" t="s">
        <v>7036</v>
      </c>
      <c r="D2880" s="18">
        <v>97.64</v>
      </c>
      <c r="E2880" s="18">
        <v>136.7</v>
      </c>
      <c r="F2880" s="18">
        <v>12.0</v>
      </c>
    </row>
    <row r="2881">
      <c r="A2881" s="15">
        <v>38.0</v>
      </c>
      <c r="B2881" s="16" t="s">
        <v>8153</v>
      </c>
      <c r="C2881" s="17" t="s">
        <v>5828</v>
      </c>
      <c r="D2881" s="18">
        <v>152.14</v>
      </c>
      <c r="E2881" s="18">
        <v>213.0</v>
      </c>
      <c r="F2881" s="18">
        <v>12.0</v>
      </c>
    </row>
    <row r="2882">
      <c r="A2882" s="15">
        <v>39.0</v>
      </c>
      <c r="B2882" s="16" t="s">
        <v>8154</v>
      </c>
      <c r="C2882" s="17" t="s">
        <v>6339</v>
      </c>
      <c r="D2882" s="18">
        <v>25.45</v>
      </c>
      <c r="E2882" s="18">
        <v>35.62</v>
      </c>
      <c r="F2882" s="18">
        <v>12.0</v>
      </c>
    </row>
    <row r="2883">
      <c r="A2883" s="15">
        <v>40.0</v>
      </c>
      <c r="B2883" s="16" t="s">
        <v>8155</v>
      </c>
      <c r="C2883" s="17" t="s">
        <v>5536</v>
      </c>
      <c r="D2883" s="18">
        <v>96.32</v>
      </c>
      <c r="E2883" s="18">
        <v>134.85</v>
      </c>
      <c r="F2883" s="18">
        <v>12.0</v>
      </c>
    </row>
    <row r="2884">
      <c r="A2884" s="15">
        <v>41.0</v>
      </c>
      <c r="B2884" s="16" t="s">
        <v>8156</v>
      </c>
      <c r="C2884" s="17" t="s">
        <v>6339</v>
      </c>
      <c r="D2884" s="18">
        <v>119.25</v>
      </c>
      <c r="E2884" s="18">
        <v>166.95</v>
      </c>
      <c r="F2884" s="18">
        <v>12.0</v>
      </c>
    </row>
    <row r="2885">
      <c r="A2885" s="15">
        <v>42.0</v>
      </c>
      <c r="B2885" s="16" t="s">
        <v>8157</v>
      </c>
      <c r="C2885" s="17" t="s">
        <v>6754</v>
      </c>
      <c r="D2885" s="18">
        <v>100.8</v>
      </c>
      <c r="E2885" s="18">
        <v>141.12</v>
      </c>
      <c r="F2885" s="18">
        <v>12.0</v>
      </c>
    </row>
    <row r="2886">
      <c r="A2886" s="6"/>
      <c r="B2886" s="7"/>
      <c r="C2886" s="7"/>
      <c r="D2886" s="7"/>
      <c r="E2886" s="8"/>
      <c r="F2886" s="16" t="s">
        <v>8158</v>
      </c>
    </row>
    <row r="2887">
      <c r="A2887" s="6"/>
      <c r="B2887" s="7"/>
      <c r="C2887" s="7"/>
      <c r="D2887" s="7"/>
      <c r="E2887" s="7"/>
      <c r="F2887" s="8"/>
    </row>
    <row r="2888">
      <c r="A2888" s="6"/>
      <c r="B2888" s="7"/>
      <c r="C2888" s="7"/>
      <c r="D2888" s="7"/>
      <c r="E2888" s="7"/>
      <c r="F2888" s="8"/>
    </row>
    <row r="2889">
      <c r="A2889" s="6"/>
      <c r="B2889" s="7"/>
      <c r="C2889" s="7"/>
      <c r="D2889" s="7"/>
      <c r="E2889" s="7"/>
      <c r="F2889" s="8"/>
    </row>
    <row r="2890">
      <c r="A2890" s="6"/>
      <c r="B2890" s="7"/>
      <c r="C2890" s="7"/>
      <c r="D2890" s="7"/>
      <c r="E2890" s="7"/>
      <c r="F2890" s="8"/>
    </row>
    <row r="2891">
      <c r="A2891" s="9" t="s">
        <v>5582</v>
      </c>
      <c r="B2891" s="10"/>
      <c r="C2891" s="10"/>
      <c r="D2891" s="10"/>
      <c r="E2891" s="10"/>
      <c r="F2891" s="10"/>
    </row>
    <row r="2892">
      <c r="A2892" s="19" t="s">
        <v>5583</v>
      </c>
    </row>
    <row r="2893">
      <c r="A2893" s="6"/>
      <c r="B2893" s="7"/>
      <c r="C2893" s="7"/>
      <c r="D2893" s="8"/>
      <c r="E2893" s="12" t="s">
        <v>5584</v>
      </c>
      <c r="F2893" s="12" t="s">
        <v>8159</v>
      </c>
    </row>
    <row r="2894">
      <c r="A2894" s="20" t="s">
        <v>5522</v>
      </c>
      <c r="B2894" s="16" t="s">
        <v>5523</v>
      </c>
      <c r="C2894" s="16" t="s">
        <v>5524</v>
      </c>
      <c r="D2894" s="16" t="s">
        <v>5525</v>
      </c>
      <c r="E2894" s="16" t="s">
        <v>5526</v>
      </c>
      <c r="F2894" s="16" t="s">
        <v>5586</v>
      </c>
    </row>
    <row r="2895">
      <c r="A2895" s="6"/>
      <c r="B2895" s="7"/>
      <c r="C2895" s="7"/>
      <c r="D2895" s="7"/>
      <c r="E2895" s="7"/>
      <c r="F2895" s="8"/>
    </row>
    <row r="2896">
      <c r="A2896" s="20" t="s">
        <v>8064</v>
      </c>
      <c r="B2896" s="16" t="s">
        <v>8114</v>
      </c>
      <c r="C2896" s="17" t="s">
        <v>8160</v>
      </c>
      <c r="D2896" s="21"/>
      <c r="E2896" s="21"/>
      <c r="F2896" s="21"/>
    </row>
    <row r="2897">
      <c r="A2897" s="15">
        <v>1.0</v>
      </c>
      <c r="B2897" s="16" t="s">
        <v>8161</v>
      </c>
      <c r="C2897" s="17" t="s">
        <v>8162</v>
      </c>
      <c r="D2897" s="18">
        <v>85.29</v>
      </c>
      <c r="E2897" s="18">
        <v>125.8</v>
      </c>
      <c r="F2897" s="18">
        <v>18.0</v>
      </c>
    </row>
    <row r="2898">
      <c r="A2898" s="15">
        <v>2.0</v>
      </c>
      <c r="B2898" s="16" t="s">
        <v>8161</v>
      </c>
      <c r="C2898" s="17" t="s">
        <v>8163</v>
      </c>
      <c r="D2898" s="18">
        <v>52.92</v>
      </c>
      <c r="E2898" s="18">
        <v>84.7</v>
      </c>
      <c r="F2898" s="18">
        <v>18.0</v>
      </c>
    </row>
    <row r="2899">
      <c r="A2899" s="15">
        <v>3.0</v>
      </c>
      <c r="B2899" s="16" t="s">
        <v>8161</v>
      </c>
      <c r="C2899" s="17" t="s">
        <v>8164</v>
      </c>
      <c r="D2899" s="18">
        <v>136.37</v>
      </c>
      <c r="E2899" s="18">
        <v>201.15</v>
      </c>
      <c r="F2899" s="18">
        <v>18.0</v>
      </c>
    </row>
    <row r="2900">
      <c r="A2900" s="15">
        <v>4.0</v>
      </c>
      <c r="B2900" s="16" t="s">
        <v>8165</v>
      </c>
      <c r="C2900" s="17" t="s">
        <v>8166</v>
      </c>
      <c r="D2900" s="18">
        <v>644.07</v>
      </c>
      <c r="E2900" s="18">
        <v>950.0</v>
      </c>
      <c r="F2900" s="18">
        <v>18.0</v>
      </c>
    </row>
    <row r="2901">
      <c r="A2901" s="15">
        <v>5.0</v>
      </c>
      <c r="B2901" s="16" t="s">
        <v>8167</v>
      </c>
      <c r="C2901" s="17" t="s">
        <v>8168</v>
      </c>
      <c r="D2901" s="18">
        <v>467.8</v>
      </c>
      <c r="E2901" s="18">
        <v>690.0</v>
      </c>
      <c r="F2901" s="18">
        <v>18.0</v>
      </c>
    </row>
    <row r="2902">
      <c r="A2902" s="15">
        <v>6.0</v>
      </c>
      <c r="B2902" s="16" t="s">
        <v>8169</v>
      </c>
      <c r="C2902" s="17" t="s">
        <v>5742</v>
      </c>
      <c r="D2902" s="18">
        <v>80.64</v>
      </c>
      <c r="E2902" s="18">
        <v>112.9</v>
      </c>
      <c r="F2902" s="18">
        <v>12.0</v>
      </c>
    </row>
    <row r="2903">
      <c r="A2903" s="15">
        <v>7.0</v>
      </c>
      <c r="B2903" s="16" t="s">
        <v>8169</v>
      </c>
      <c r="C2903" s="17" t="s">
        <v>8170</v>
      </c>
      <c r="D2903" s="18">
        <v>99.57</v>
      </c>
      <c r="E2903" s="18">
        <v>139.4</v>
      </c>
      <c r="F2903" s="18">
        <v>12.0</v>
      </c>
    </row>
    <row r="2904">
      <c r="A2904" s="15">
        <v>8.0</v>
      </c>
      <c r="B2904" s="16" t="s">
        <v>8134</v>
      </c>
      <c r="C2904" s="17" t="s">
        <v>8171</v>
      </c>
      <c r="D2904" s="18">
        <v>83.0</v>
      </c>
      <c r="E2904" s="18">
        <v>116.2</v>
      </c>
      <c r="F2904" s="18">
        <v>12.0</v>
      </c>
    </row>
    <row r="2905">
      <c r="A2905" s="15">
        <v>9.0</v>
      </c>
      <c r="B2905" s="16" t="s">
        <v>8134</v>
      </c>
      <c r="C2905" s="17" t="s">
        <v>8172</v>
      </c>
      <c r="D2905" s="18">
        <v>140.34</v>
      </c>
      <c r="E2905" s="18">
        <v>207.0</v>
      </c>
      <c r="F2905" s="18">
        <v>18.0</v>
      </c>
    </row>
    <row r="2906">
      <c r="A2906" s="15">
        <v>10.0</v>
      </c>
      <c r="B2906" s="16" t="s">
        <v>8134</v>
      </c>
      <c r="C2906" s="17" t="s">
        <v>8173</v>
      </c>
      <c r="D2906" s="18">
        <v>180.0</v>
      </c>
      <c r="E2906" s="18">
        <v>265.5</v>
      </c>
      <c r="F2906" s="18">
        <v>18.0</v>
      </c>
    </row>
    <row r="2907">
      <c r="A2907" s="15">
        <v>11.0</v>
      </c>
      <c r="B2907" s="16" t="s">
        <v>8174</v>
      </c>
      <c r="C2907" s="17" t="s">
        <v>8175</v>
      </c>
      <c r="D2907" s="18">
        <v>322.71</v>
      </c>
      <c r="E2907" s="18">
        <v>476.0</v>
      </c>
      <c r="F2907" s="18">
        <v>18.0</v>
      </c>
    </row>
    <row r="2908">
      <c r="A2908" s="15">
        <v>12.0</v>
      </c>
      <c r="B2908" s="16" t="s">
        <v>8174</v>
      </c>
      <c r="C2908" s="17" t="s">
        <v>8176</v>
      </c>
      <c r="D2908" s="18">
        <v>322.71</v>
      </c>
      <c r="E2908" s="18">
        <v>476.0</v>
      </c>
      <c r="F2908" s="18">
        <v>18.0</v>
      </c>
    </row>
    <row r="2909">
      <c r="A2909" s="15">
        <v>13.0</v>
      </c>
      <c r="B2909" s="16" t="s">
        <v>8174</v>
      </c>
      <c r="C2909" s="17" t="s">
        <v>5674</v>
      </c>
      <c r="D2909" s="18">
        <v>239.59</v>
      </c>
      <c r="E2909" s="18">
        <v>353.4</v>
      </c>
      <c r="F2909" s="18">
        <v>18.0</v>
      </c>
    </row>
    <row r="2910">
      <c r="A2910" s="15">
        <v>14.0</v>
      </c>
      <c r="B2910" s="16" t="s">
        <v>8174</v>
      </c>
      <c r="C2910" s="17" t="s">
        <v>8177</v>
      </c>
      <c r="D2910" s="18">
        <v>322.03</v>
      </c>
      <c r="E2910" s="18">
        <v>475.0</v>
      </c>
      <c r="F2910" s="18">
        <v>18.0</v>
      </c>
    </row>
    <row r="2911">
      <c r="A2911" s="15">
        <v>15.0</v>
      </c>
      <c r="B2911" s="16" t="s">
        <v>8174</v>
      </c>
      <c r="C2911" s="17" t="s">
        <v>7287</v>
      </c>
      <c r="D2911" s="18">
        <v>275.25</v>
      </c>
      <c r="E2911" s="18">
        <v>406.0</v>
      </c>
      <c r="F2911" s="18">
        <v>18.0</v>
      </c>
    </row>
    <row r="2912">
      <c r="A2912" s="15">
        <v>16.0</v>
      </c>
      <c r="B2912" s="16" t="s">
        <v>8178</v>
      </c>
      <c r="C2912" s="17" t="s">
        <v>8179</v>
      </c>
      <c r="D2912" s="18">
        <v>82.03</v>
      </c>
      <c r="E2912" s="18">
        <v>121.0</v>
      </c>
      <c r="F2912" s="18">
        <v>18.0</v>
      </c>
    </row>
    <row r="2913">
      <c r="A2913" s="15">
        <v>17.0</v>
      </c>
      <c r="B2913" s="16" t="s">
        <v>8180</v>
      </c>
      <c r="C2913" s="17" t="s">
        <v>8181</v>
      </c>
      <c r="D2913" s="18">
        <v>183.73</v>
      </c>
      <c r="E2913" s="18">
        <v>271.0</v>
      </c>
      <c r="F2913" s="18">
        <v>18.0</v>
      </c>
    </row>
    <row r="2914">
      <c r="A2914" s="15">
        <v>18.0</v>
      </c>
      <c r="B2914" s="16" t="s">
        <v>8182</v>
      </c>
      <c r="C2914" s="17" t="s">
        <v>8183</v>
      </c>
      <c r="D2914" s="18">
        <v>112.46</v>
      </c>
      <c r="E2914" s="18">
        <v>157.45</v>
      </c>
      <c r="F2914" s="18">
        <v>12.0</v>
      </c>
    </row>
    <row r="2915">
      <c r="A2915" s="15">
        <v>19.0</v>
      </c>
      <c r="B2915" s="16" t="s">
        <v>8182</v>
      </c>
      <c r="C2915" s="17" t="s">
        <v>8184</v>
      </c>
      <c r="D2915" s="18">
        <v>316.54</v>
      </c>
      <c r="E2915" s="18">
        <v>443.15</v>
      </c>
      <c r="F2915" s="18">
        <v>12.0</v>
      </c>
    </row>
    <row r="2916">
      <c r="A2916" s="6"/>
      <c r="B2916" s="7"/>
      <c r="C2916" s="7"/>
      <c r="D2916" s="7"/>
      <c r="E2916" s="7"/>
      <c r="F2916" s="8"/>
    </row>
    <row r="2917">
      <c r="A2917" s="20" t="s">
        <v>8064</v>
      </c>
      <c r="B2917" s="16" t="s">
        <v>8185</v>
      </c>
      <c r="C2917" s="16" t="s">
        <v>8186</v>
      </c>
      <c r="D2917" s="21"/>
      <c r="E2917" s="21"/>
      <c r="F2917" s="21"/>
    </row>
    <row r="2918">
      <c r="A2918" s="6"/>
      <c r="B2918" s="7"/>
      <c r="C2918" s="7"/>
      <c r="D2918" s="7"/>
      <c r="E2918" s="7"/>
      <c r="F2918" s="8"/>
    </row>
    <row r="2919">
      <c r="A2919" s="20" t="s">
        <v>8064</v>
      </c>
      <c r="B2919" s="16" t="s">
        <v>8187</v>
      </c>
      <c r="C2919" s="16" t="s">
        <v>8188</v>
      </c>
      <c r="D2919" s="21"/>
      <c r="E2919" s="21"/>
      <c r="F2919" s="21"/>
    </row>
    <row r="2920">
      <c r="A2920" s="15">
        <v>1.0</v>
      </c>
      <c r="B2920" s="16" t="s">
        <v>8189</v>
      </c>
      <c r="C2920" s="17" t="s">
        <v>5636</v>
      </c>
      <c r="D2920" s="18">
        <v>59.29</v>
      </c>
      <c r="E2920" s="18">
        <v>83.0</v>
      </c>
      <c r="F2920" s="18">
        <v>12.0</v>
      </c>
    </row>
    <row r="2921">
      <c r="A2921" s="15">
        <v>2.0</v>
      </c>
      <c r="B2921" s="16" t="s">
        <v>8190</v>
      </c>
      <c r="C2921" s="17" t="s">
        <v>8191</v>
      </c>
      <c r="D2921" s="18">
        <v>31.12</v>
      </c>
      <c r="E2921" s="18">
        <v>40.85</v>
      </c>
      <c r="F2921" s="18">
        <v>5.0</v>
      </c>
    </row>
    <row r="2922">
      <c r="A2922" s="15">
        <v>3.0</v>
      </c>
      <c r="B2922" s="16" t="s">
        <v>8192</v>
      </c>
      <c r="C2922" s="17" t="s">
        <v>8193</v>
      </c>
      <c r="D2922" s="18">
        <v>28.8</v>
      </c>
      <c r="E2922" s="18">
        <v>38.4</v>
      </c>
      <c r="F2922" s="18">
        <v>12.0</v>
      </c>
    </row>
    <row r="2923">
      <c r="A2923" s="15">
        <v>4.0</v>
      </c>
      <c r="B2923" s="16" t="s">
        <v>8194</v>
      </c>
      <c r="C2923" s="17" t="s">
        <v>5828</v>
      </c>
      <c r="D2923" s="18">
        <v>34.64</v>
      </c>
      <c r="E2923" s="18">
        <v>48.5</v>
      </c>
      <c r="F2923" s="18">
        <v>12.0</v>
      </c>
    </row>
    <row r="2924">
      <c r="A2924" s="15">
        <v>5.0</v>
      </c>
      <c r="B2924" s="16" t="s">
        <v>8195</v>
      </c>
      <c r="C2924" s="17" t="s">
        <v>5742</v>
      </c>
      <c r="D2924" s="18">
        <v>13.35</v>
      </c>
      <c r="E2924" s="18">
        <v>18.69</v>
      </c>
      <c r="F2924" s="18">
        <v>12.0</v>
      </c>
    </row>
    <row r="2925">
      <c r="A2925" s="15">
        <v>6.0</v>
      </c>
      <c r="B2925" s="16" t="s">
        <v>8195</v>
      </c>
      <c r="C2925" s="17" t="s">
        <v>8196</v>
      </c>
      <c r="D2925" s="18">
        <v>22.14</v>
      </c>
      <c r="E2925" s="18">
        <v>31.0</v>
      </c>
      <c r="F2925" s="18">
        <v>12.0</v>
      </c>
    </row>
    <row r="2926">
      <c r="A2926" s="15">
        <v>7.0</v>
      </c>
      <c r="B2926" s="16" t="s">
        <v>8197</v>
      </c>
      <c r="C2926" s="17" t="s">
        <v>5742</v>
      </c>
      <c r="D2926" s="18">
        <v>23.79</v>
      </c>
      <c r="E2926" s="18">
        <v>33.3</v>
      </c>
      <c r="F2926" s="18">
        <v>12.0</v>
      </c>
    </row>
    <row r="2927">
      <c r="A2927" s="15">
        <v>8.0</v>
      </c>
      <c r="B2927" s="16" t="s">
        <v>8198</v>
      </c>
      <c r="C2927" s="17" t="s">
        <v>5742</v>
      </c>
      <c r="D2927" s="18">
        <v>21.46</v>
      </c>
      <c r="E2927" s="18">
        <v>30.05</v>
      </c>
      <c r="F2927" s="18">
        <v>12.0</v>
      </c>
    </row>
    <row r="2928">
      <c r="A2928" s="15">
        <v>9.0</v>
      </c>
      <c r="B2928" s="16" t="s">
        <v>8199</v>
      </c>
      <c r="C2928" s="17" t="s">
        <v>5636</v>
      </c>
      <c r="D2928" s="18">
        <v>20.82</v>
      </c>
      <c r="E2928" s="18">
        <v>29.15</v>
      </c>
      <c r="F2928" s="18">
        <v>12.0</v>
      </c>
    </row>
    <row r="2929">
      <c r="A2929" s="15">
        <v>10.0</v>
      </c>
      <c r="B2929" s="16" t="s">
        <v>2369</v>
      </c>
      <c r="C2929" s="16" t="s">
        <v>5558</v>
      </c>
      <c r="D2929" s="18">
        <v>34.21</v>
      </c>
      <c r="E2929" s="18">
        <v>47.9</v>
      </c>
      <c r="F2929" s="18">
        <v>12.0</v>
      </c>
    </row>
    <row r="2930">
      <c r="A2930" s="15">
        <v>11.0</v>
      </c>
      <c r="B2930" s="16" t="s">
        <v>8200</v>
      </c>
      <c r="C2930" s="17" t="s">
        <v>7118</v>
      </c>
      <c r="D2930" s="18">
        <v>19.95</v>
      </c>
      <c r="E2930" s="18">
        <v>27.93</v>
      </c>
      <c r="F2930" s="18">
        <v>12.0</v>
      </c>
    </row>
    <row r="2931">
      <c r="A2931" s="15">
        <v>12.0</v>
      </c>
      <c r="B2931" s="16" t="s">
        <v>8201</v>
      </c>
      <c r="C2931" s="17" t="s">
        <v>5536</v>
      </c>
      <c r="D2931" s="18">
        <v>32.34</v>
      </c>
      <c r="E2931" s="18">
        <v>45.27</v>
      </c>
      <c r="F2931" s="18">
        <v>12.0</v>
      </c>
    </row>
    <row r="2932">
      <c r="A2932" s="15">
        <v>13.0</v>
      </c>
      <c r="B2932" s="16" t="s">
        <v>8202</v>
      </c>
      <c r="C2932" s="17" t="s">
        <v>8203</v>
      </c>
      <c r="D2932" s="18">
        <v>165.07</v>
      </c>
      <c r="E2932" s="18">
        <v>231.1</v>
      </c>
      <c r="F2932" s="18">
        <v>12.0</v>
      </c>
    </row>
    <row r="2933">
      <c r="A2933" s="15">
        <v>14.0</v>
      </c>
      <c r="B2933" s="16" t="s">
        <v>8204</v>
      </c>
      <c r="C2933" s="17" t="s">
        <v>8203</v>
      </c>
      <c r="D2933" s="18">
        <v>307.86</v>
      </c>
      <c r="E2933" s="18">
        <v>431.0</v>
      </c>
      <c r="F2933" s="18">
        <v>12.0</v>
      </c>
    </row>
    <row r="2934">
      <c r="A2934" s="15">
        <v>15.0</v>
      </c>
      <c r="B2934" s="16" t="s">
        <v>8205</v>
      </c>
      <c r="C2934" s="17" t="s">
        <v>8206</v>
      </c>
      <c r="D2934" s="18">
        <v>14.23</v>
      </c>
      <c r="E2934" s="18">
        <v>17.59</v>
      </c>
      <c r="F2934" s="18">
        <v>12.0</v>
      </c>
    </row>
    <row r="2935">
      <c r="A2935" s="15">
        <v>16.0</v>
      </c>
      <c r="B2935" s="16" t="s">
        <v>8207</v>
      </c>
      <c r="C2935" s="17" t="s">
        <v>5603</v>
      </c>
      <c r="D2935" s="18">
        <v>60.71</v>
      </c>
      <c r="E2935" s="18">
        <v>85.0</v>
      </c>
      <c r="F2935" s="18">
        <v>12.0</v>
      </c>
    </row>
    <row r="2936">
      <c r="A2936" s="15">
        <v>17.0</v>
      </c>
      <c r="B2936" s="16" t="s">
        <v>8208</v>
      </c>
      <c r="C2936" s="17" t="s">
        <v>8209</v>
      </c>
      <c r="D2936" s="18">
        <v>71.88</v>
      </c>
      <c r="E2936" s="18">
        <v>96.52</v>
      </c>
      <c r="F2936" s="18">
        <v>12.0</v>
      </c>
    </row>
    <row r="2937">
      <c r="A2937" s="15">
        <v>18.0</v>
      </c>
      <c r="B2937" s="16" t="s">
        <v>8210</v>
      </c>
      <c r="C2937" s="17" t="s">
        <v>8211</v>
      </c>
      <c r="D2937" s="18">
        <v>61.36</v>
      </c>
      <c r="E2937" s="18">
        <v>85.9</v>
      </c>
      <c r="F2937" s="18">
        <v>12.0</v>
      </c>
    </row>
    <row r="2938">
      <c r="A2938" s="15">
        <v>19.0</v>
      </c>
      <c r="B2938" s="16" t="s">
        <v>8212</v>
      </c>
      <c r="C2938" s="17" t="s">
        <v>8213</v>
      </c>
      <c r="D2938" s="18">
        <v>57.0</v>
      </c>
      <c r="E2938" s="18">
        <v>79.8</v>
      </c>
      <c r="F2938" s="18">
        <v>12.0</v>
      </c>
    </row>
    <row r="2939">
      <c r="A2939" s="15">
        <v>20.0</v>
      </c>
      <c r="B2939" s="16" t="s">
        <v>8214</v>
      </c>
      <c r="C2939" s="17" t="s">
        <v>8215</v>
      </c>
      <c r="D2939" s="18">
        <v>61.92</v>
      </c>
      <c r="E2939" s="18">
        <v>86.69</v>
      </c>
      <c r="F2939" s="18">
        <v>12.0</v>
      </c>
    </row>
    <row r="2940">
      <c r="A2940" s="15">
        <v>21.0</v>
      </c>
      <c r="B2940" s="16" t="s">
        <v>8208</v>
      </c>
      <c r="C2940" s="17" t="s">
        <v>8216</v>
      </c>
      <c r="D2940" s="18">
        <v>94.91</v>
      </c>
      <c r="E2940" s="18">
        <v>132.87</v>
      </c>
      <c r="F2940" s="18">
        <v>12.0</v>
      </c>
    </row>
    <row r="2941">
      <c r="A2941" s="15">
        <v>22.0</v>
      </c>
      <c r="B2941" s="16" t="s">
        <v>8217</v>
      </c>
      <c r="C2941" s="17" t="s">
        <v>5636</v>
      </c>
      <c r="D2941" s="18">
        <v>27.95</v>
      </c>
      <c r="E2941" s="18">
        <v>37.21</v>
      </c>
      <c r="F2941" s="18">
        <v>12.0</v>
      </c>
    </row>
    <row r="2942">
      <c r="A2942" s="15">
        <v>23.0</v>
      </c>
      <c r="B2942" s="16" t="s">
        <v>8218</v>
      </c>
      <c r="C2942" s="17" t="s">
        <v>5636</v>
      </c>
      <c r="D2942" s="18">
        <v>36.76</v>
      </c>
      <c r="E2942" s="18">
        <v>51.0</v>
      </c>
      <c r="F2942" s="18">
        <v>12.0</v>
      </c>
    </row>
    <row r="2943">
      <c r="A2943" s="15">
        <v>24.0</v>
      </c>
      <c r="B2943" s="16" t="s">
        <v>8219</v>
      </c>
      <c r="C2943" s="17" t="s">
        <v>5636</v>
      </c>
      <c r="D2943" s="18">
        <v>41.31</v>
      </c>
      <c r="E2943" s="18">
        <v>55.02</v>
      </c>
      <c r="F2943" s="18">
        <v>12.0</v>
      </c>
    </row>
    <row r="2944">
      <c r="A2944" s="15">
        <v>25.0</v>
      </c>
      <c r="B2944" s="16" t="s">
        <v>8220</v>
      </c>
      <c r="C2944" s="17" t="s">
        <v>6626</v>
      </c>
      <c r="D2944" s="18">
        <v>8.73</v>
      </c>
      <c r="E2944" s="18">
        <v>12.0</v>
      </c>
      <c r="F2944" s="18">
        <v>12.0</v>
      </c>
    </row>
    <row r="2945">
      <c r="A2945" s="15">
        <v>26.0</v>
      </c>
      <c r="B2945" s="16" t="s">
        <v>2385</v>
      </c>
      <c r="C2945" s="16" t="s">
        <v>5558</v>
      </c>
      <c r="D2945" s="18">
        <v>10.65</v>
      </c>
      <c r="E2945" s="18">
        <v>13.96</v>
      </c>
      <c r="F2945" s="18">
        <v>12.0</v>
      </c>
    </row>
    <row r="2946">
      <c r="A2946" s="15">
        <v>27.0</v>
      </c>
      <c r="B2946" s="16" t="s">
        <v>8221</v>
      </c>
      <c r="C2946" s="17" t="s">
        <v>8222</v>
      </c>
      <c r="D2946" s="18">
        <v>4.07</v>
      </c>
      <c r="E2946" s="18">
        <v>5.43</v>
      </c>
      <c r="F2946" s="18">
        <v>12.0</v>
      </c>
    </row>
    <row r="2947">
      <c r="A2947" s="15">
        <v>28.0</v>
      </c>
      <c r="B2947" s="16" t="s">
        <v>8221</v>
      </c>
      <c r="C2947" s="17" t="s">
        <v>8077</v>
      </c>
      <c r="D2947" s="18">
        <v>8.48</v>
      </c>
      <c r="E2947" s="18">
        <v>11.31</v>
      </c>
      <c r="F2947" s="18">
        <v>12.0</v>
      </c>
    </row>
    <row r="2948">
      <c r="A2948" s="15">
        <v>29.0</v>
      </c>
      <c r="B2948" s="16" t="s">
        <v>8223</v>
      </c>
      <c r="C2948" s="17" t="s">
        <v>5618</v>
      </c>
      <c r="D2948" s="18">
        <v>0.0</v>
      </c>
      <c r="E2948" s="18">
        <v>0.0</v>
      </c>
      <c r="F2948" s="18">
        <v>12.0</v>
      </c>
    </row>
    <row r="2949">
      <c r="A2949" s="15">
        <v>30.0</v>
      </c>
      <c r="B2949" s="16" t="s">
        <v>8224</v>
      </c>
      <c r="C2949" s="17" t="s">
        <v>5830</v>
      </c>
      <c r="D2949" s="18">
        <v>67.57</v>
      </c>
      <c r="E2949" s="18">
        <v>94.6</v>
      </c>
      <c r="F2949" s="18">
        <v>12.0</v>
      </c>
    </row>
    <row r="2950">
      <c r="A2950" s="15">
        <v>31.0</v>
      </c>
      <c r="B2950" s="16" t="s">
        <v>8224</v>
      </c>
      <c r="C2950" s="17" t="s">
        <v>5831</v>
      </c>
      <c r="D2950" s="18">
        <v>102.49</v>
      </c>
      <c r="E2950" s="18">
        <v>142.2</v>
      </c>
      <c r="F2950" s="18">
        <v>12.0</v>
      </c>
    </row>
    <row r="2951">
      <c r="A2951" s="15">
        <v>32.0</v>
      </c>
      <c r="B2951" s="16" t="s">
        <v>8225</v>
      </c>
      <c r="C2951" s="17" t="s">
        <v>5536</v>
      </c>
      <c r="D2951" s="18">
        <v>15.11</v>
      </c>
      <c r="E2951" s="18">
        <v>21.15</v>
      </c>
      <c r="F2951" s="18">
        <v>12.0</v>
      </c>
    </row>
    <row r="2952">
      <c r="A2952" s="15">
        <v>33.0</v>
      </c>
      <c r="B2952" s="16" t="s">
        <v>8226</v>
      </c>
      <c r="C2952" s="17" t="s">
        <v>5536</v>
      </c>
      <c r="D2952" s="18">
        <v>59.64</v>
      </c>
      <c r="E2952" s="18">
        <v>83.5</v>
      </c>
      <c r="F2952" s="18">
        <v>12.0</v>
      </c>
    </row>
    <row r="2953">
      <c r="A2953" s="6"/>
      <c r="B2953" s="7"/>
      <c r="C2953" s="7"/>
      <c r="D2953" s="7"/>
      <c r="E2953" s="7"/>
      <c r="F2953" s="8"/>
    </row>
    <row r="2954">
      <c r="A2954" s="20" t="s">
        <v>8064</v>
      </c>
      <c r="B2954" s="16" t="s">
        <v>8227</v>
      </c>
      <c r="C2954" s="16" t="s">
        <v>8228</v>
      </c>
      <c r="D2954" s="21"/>
      <c r="E2954" s="21"/>
      <c r="F2954" s="21"/>
    </row>
    <row r="2955">
      <c r="A2955" s="15">
        <v>1.0</v>
      </c>
      <c r="B2955" s="16" t="s">
        <v>8229</v>
      </c>
      <c r="C2955" s="17" t="s">
        <v>8230</v>
      </c>
      <c r="D2955" s="18">
        <v>355.39</v>
      </c>
      <c r="E2955" s="18">
        <v>497.55</v>
      </c>
      <c r="F2955" s="18">
        <v>12.0</v>
      </c>
    </row>
    <row r="2956">
      <c r="A2956" s="6"/>
      <c r="B2956" s="7"/>
      <c r="C2956" s="7"/>
      <c r="D2956" s="7"/>
      <c r="E2956" s="8"/>
      <c r="F2956" s="16" t="s">
        <v>8231</v>
      </c>
    </row>
    <row r="2957">
      <c r="A2957" s="6"/>
      <c r="B2957" s="7"/>
      <c r="C2957" s="7"/>
      <c r="D2957" s="7"/>
      <c r="E2957" s="7"/>
      <c r="F2957" s="8"/>
    </row>
    <row r="2958">
      <c r="A2958" s="6"/>
      <c r="B2958" s="7"/>
      <c r="C2958" s="7"/>
      <c r="D2958" s="7"/>
      <c r="E2958" s="7"/>
      <c r="F2958" s="8"/>
    </row>
    <row r="2959">
      <c r="A2959" s="6"/>
      <c r="B2959" s="7"/>
      <c r="C2959" s="7"/>
      <c r="D2959" s="7"/>
      <c r="E2959" s="7"/>
      <c r="F2959" s="8"/>
    </row>
    <row r="2960">
      <c r="A2960" s="6"/>
      <c r="B2960" s="7"/>
      <c r="C2960" s="7"/>
      <c r="D2960" s="7"/>
      <c r="E2960" s="7"/>
      <c r="F2960" s="8"/>
    </row>
    <row r="2961">
      <c r="A2961" s="9" t="s">
        <v>5582</v>
      </c>
      <c r="B2961" s="10"/>
      <c r="C2961" s="10"/>
      <c r="D2961" s="10"/>
      <c r="E2961" s="10"/>
      <c r="F2961" s="10"/>
    </row>
    <row r="2962">
      <c r="A2962" s="19" t="s">
        <v>5583</v>
      </c>
    </row>
    <row r="2963">
      <c r="A2963" s="6"/>
      <c r="B2963" s="7"/>
      <c r="C2963" s="7"/>
      <c r="D2963" s="8"/>
      <c r="E2963" s="12" t="s">
        <v>5584</v>
      </c>
      <c r="F2963" s="12" t="s">
        <v>8232</v>
      </c>
    </row>
    <row r="2964">
      <c r="A2964" s="20" t="s">
        <v>5522</v>
      </c>
      <c r="B2964" s="16" t="s">
        <v>5523</v>
      </c>
      <c r="C2964" s="16" t="s">
        <v>5524</v>
      </c>
      <c r="D2964" s="16" t="s">
        <v>5525</v>
      </c>
      <c r="E2964" s="16" t="s">
        <v>5526</v>
      </c>
      <c r="F2964" s="16" t="s">
        <v>5586</v>
      </c>
    </row>
    <row r="2965">
      <c r="A2965" s="15">
        <v>2.0</v>
      </c>
      <c r="B2965" s="16" t="s">
        <v>8229</v>
      </c>
      <c r="C2965" s="17" t="s">
        <v>8233</v>
      </c>
      <c r="D2965" s="18">
        <v>98.31</v>
      </c>
      <c r="E2965" s="18">
        <v>137.63</v>
      </c>
      <c r="F2965" s="18">
        <v>12.0</v>
      </c>
    </row>
    <row r="2966">
      <c r="A2966" s="15">
        <v>3.0</v>
      </c>
      <c r="B2966" s="16" t="s">
        <v>8229</v>
      </c>
      <c r="C2966" s="17" t="s">
        <v>6898</v>
      </c>
      <c r="D2966" s="18">
        <v>163.57</v>
      </c>
      <c r="E2966" s="18">
        <v>229.0</v>
      </c>
      <c r="F2966" s="18">
        <v>12.0</v>
      </c>
    </row>
    <row r="2967">
      <c r="A2967" s="15">
        <v>4.0</v>
      </c>
      <c r="B2967" s="16" t="s">
        <v>8229</v>
      </c>
      <c r="C2967" s="17" t="s">
        <v>8234</v>
      </c>
      <c r="D2967" s="18">
        <v>143.28</v>
      </c>
      <c r="E2967" s="18">
        <v>200.59</v>
      </c>
      <c r="F2967" s="18">
        <v>12.0</v>
      </c>
    </row>
    <row r="2968">
      <c r="A2968" s="15">
        <v>5.0</v>
      </c>
      <c r="B2968" s="16" t="s">
        <v>8229</v>
      </c>
      <c r="C2968" s="17" t="s">
        <v>8235</v>
      </c>
      <c r="D2968" s="18">
        <v>92.89</v>
      </c>
      <c r="E2968" s="18">
        <v>130.05</v>
      </c>
      <c r="F2968" s="18">
        <v>12.0</v>
      </c>
    </row>
    <row r="2969">
      <c r="A2969" s="15">
        <v>6.0</v>
      </c>
      <c r="B2969" s="16" t="s">
        <v>8229</v>
      </c>
      <c r="C2969" s="17" t="s">
        <v>8236</v>
      </c>
      <c r="D2969" s="18">
        <v>42.44</v>
      </c>
      <c r="E2969" s="18">
        <v>59.42</v>
      </c>
      <c r="F2969" s="18">
        <v>12.0</v>
      </c>
    </row>
    <row r="2970">
      <c r="A2970" s="15">
        <v>7.0</v>
      </c>
      <c r="B2970" s="16" t="s">
        <v>8237</v>
      </c>
      <c r="C2970" s="17" t="s">
        <v>8238</v>
      </c>
      <c r="D2970" s="18">
        <v>262.71</v>
      </c>
      <c r="E2970" s="18">
        <v>367.8</v>
      </c>
      <c r="F2970" s="18">
        <v>12.0</v>
      </c>
    </row>
    <row r="2971">
      <c r="A2971" s="15">
        <v>8.0</v>
      </c>
      <c r="B2971" s="16" t="s">
        <v>8239</v>
      </c>
      <c r="C2971" s="17" t="s">
        <v>7223</v>
      </c>
      <c r="D2971" s="18">
        <v>58.6</v>
      </c>
      <c r="E2971" s="18">
        <v>82.04</v>
      </c>
      <c r="F2971" s="18">
        <v>12.0</v>
      </c>
    </row>
    <row r="2972">
      <c r="A2972" s="15">
        <v>9.0</v>
      </c>
      <c r="B2972" s="16" t="s">
        <v>8240</v>
      </c>
      <c r="C2972" s="17" t="s">
        <v>7223</v>
      </c>
      <c r="D2972" s="18">
        <v>104.74</v>
      </c>
      <c r="E2972" s="18">
        <v>146.63</v>
      </c>
      <c r="F2972" s="18">
        <v>12.0</v>
      </c>
    </row>
    <row r="2973">
      <c r="A2973" s="15">
        <v>10.0</v>
      </c>
      <c r="B2973" s="16" t="s">
        <v>8241</v>
      </c>
      <c r="C2973" s="17" t="s">
        <v>5636</v>
      </c>
      <c r="D2973" s="18">
        <v>74.21</v>
      </c>
      <c r="E2973" s="18">
        <v>103.9</v>
      </c>
      <c r="F2973" s="18">
        <v>12.0</v>
      </c>
    </row>
    <row r="2974">
      <c r="A2974" s="15">
        <v>11.0</v>
      </c>
      <c r="B2974" s="16" t="s">
        <v>8242</v>
      </c>
      <c r="C2974" s="17" t="s">
        <v>8243</v>
      </c>
      <c r="D2974" s="18">
        <v>76.43</v>
      </c>
      <c r="E2974" s="18">
        <v>107.0</v>
      </c>
      <c r="F2974" s="18">
        <v>12.0</v>
      </c>
    </row>
    <row r="2975">
      <c r="A2975" s="15">
        <v>12.0</v>
      </c>
      <c r="B2975" s="16" t="s">
        <v>8242</v>
      </c>
      <c r="C2975" s="17" t="s">
        <v>5896</v>
      </c>
      <c r="D2975" s="18">
        <v>116.43</v>
      </c>
      <c r="E2975" s="18">
        <v>163.0</v>
      </c>
      <c r="F2975" s="18">
        <v>12.0</v>
      </c>
    </row>
    <row r="2976">
      <c r="A2976" s="15">
        <v>13.0</v>
      </c>
      <c r="B2976" s="16" t="s">
        <v>2405</v>
      </c>
      <c r="C2976" s="16" t="s">
        <v>6716</v>
      </c>
      <c r="D2976" s="18">
        <v>199.54</v>
      </c>
      <c r="E2976" s="18">
        <v>279.35</v>
      </c>
      <c r="F2976" s="18">
        <v>12.0</v>
      </c>
    </row>
    <row r="2977">
      <c r="A2977" s="15">
        <v>14.0</v>
      </c>
      <c r="B2977" s="16" t="s">
        <v>2405</v>
      </c>
      <c r="C2977" s="16" t="s">
        <v>8244</v>
      </c>
      <c r="D2977" s="18">
        <v>292.61</v>
      </c>
      <c r="E2977" s="18">
        <v>409.65</v>
      </c>
      <c r="F2977" s="18">
        <v>12.0</v>
      </c>
    </row>
    <row r="2978">
      <c r="A2978" s="15">
        <v>15.0</v>
      </c>
      <c r="B2978" s="16" t="s">
        <v>8245</v>
      </c>
      <c r="C2978" s="17" t="s">
        <v>8246</v>
      </c>
      <c r="D2978" s="18">
        <v>57.79</v>
      </c>
      <c r="E2978" s="18">
        <v>80.9</v>
      </c>
      <c r="F2978" s="18">
        <v>12.0</v>
      </c>
    </row>
    <row r="2979">
      <c r="A2979" s="15">
        <v>16.0</v>
      </c>
      <c r="B2979" s="16" t="s">
        <v>2407</v>
      </c>
      <c r="C2979" s="16" t="s">
        <v>7497</v>
      </c>
      <c r="D2979" s="18">
        <v>111.89</v>
      </c>
      <c r="E2979" s="18">
        <v>156.65</v>
      </c>
      <c r="F2979" s="18">
        <v>12.0</v>
      </c>
    </row>
    <row r="2980">
      <c r="A2980" s="15">
        <v>17.0</v>
      </c>
      <c r="B2980" s="16" t="s">
        <v>8247</v>
      </c>
      <c r="C2980" s="17" t="s">
        <v>8248</v>
      </c>
      <c r="D2980" s="18">
        <v>330.57</v>
      </c>
      <c r="E2980" s="18">
        <v>462.8</v>
      </c>
      <c r="F2980" s="18">
        <v>12.0</v>
      </c>
    </row>
    <row r="2981">
      <c r="A2981" s="15">
        <v>18.0</v>
      </c>
      <c r="B2981" s="16" t="s">
        <v>8249</v>
      </c>
      <c r="C2981" s="17" t="s">
        <v>6337</v>
      </c>
      <c r="D2981" s="18">
        <v>45.71</v>
      </c>
      <c r="E2981" s="18">
        <v>63.41</v>
      </c>
      <c r="F2981" s="18">
        <v>12.0</v>
      </c>
    </row>
    <row r="2982">
      <c r="A2982" s="15">
        <v>19.0</v>
      </c>
      <c r="B2982" s="16" t="s">
        <v>2410</v>
      </c>
      <c r="C2982" s="16" t="s">
        <v>5558</v>
      </c>
      <c r="D2982" s="18">
        <v>9.49</v>
      </c>
      <c r="E2982" s="18">
        <v>13.28</v>
      </c>
      <c r="F2982" s="18">
        <v>12.0</v>
      </c>
    </row>
    <row r="2983">
      <c r="A2983" s="15">
        <v>20.0</v>
      </c>
      <c r="B2983" s="16" t="s">
        <v>8250</v>
      </c>
      <c r="C2983" s="17" t="s">
        <v>5536</v>
      </c>
      <c r="D2983" s="18">
        <v>81.22</v>
      </c>
      <c r="E2983" s="18">
        <v>113.71</v>
      </c>
      <c r="F2983" s="18">
        <v>12.0</v>
      </c>
    </row>
    <row r="2984">
      <c r="A2984" s="15">
        <v>21.0</v>
      </c>
      <c r="B2984" s="16" t="s">
        <v>8251</v>
      </c>
      <c r="C2984" s="17" t="s">
        <v>5536</v>
      </c>
      <c r="D2984" s="18">
        <v>167.0</v>
      </c>
      <c r="E2984" s="18">
        <v>231.7</v>
      </c>
      <c r="F2984" s="18">
        <v>12.0</v>
      </c>
    </row>
    <row r="2985">
      <c r="A2985" s="15">
        <v>22.0</v>
      </c>
      <c r="B2985" s="16" t="s">
        <v>8252</v>
      </c>
      <c r="C2985" s="17" t="s">
        <v>5536</v>
      </c>
      <c r="D2985" s="18">
        <v>47.99</v>
      </c>
      <c r="E2985" s="18">
        <v>67.19</v>
      </c>
      <c r="F2985" s="18">
        <v>12.0</v>
      </c>
    </row>
    <row r="2986">
      <c r="A2986" s="6"/>
      <c r="B2986" s="7"/>
      <c r="C2986" s="7"/>
      <c r="D2986" s="7"/>
      <c r="E2986" s="7"/>
      <c r="F2986" s="8"/>
    </row>
    <row r="2987">
      <c r="A2987" s="20" t="s">
        <v>8064</v>
      </c>
      <c r="B2987" s="16" t="s">
        <v>8253</v>
      </c>
      <c r="C2987" s="16" t="s">
        <v>8254</v>
      </c>
      <c r="D2987" s="21"/>
      <c r="E2987" s="21"/>
      <c r="F2987" s="21"/>
    </row>
    <row r="2988">
      <c r="A2988" s="6"/>
      <c r="B2988" s="7"/>
      <c r="C2988" s="7"/>
      <c r="D2988" s="7"/>
      <c r="E2988" s="7"/>
      <c r="F2988" s="8"/>
    </row>
    <row r="2989">
      <c r="A2989" s="20" t="s">
        <v>8064</v>
      </c>
      <c r="B2989" s="16" t="s">
        <v>8255</v>
      </c>
      <c r="C2989" s="16" t="s">
        <v>8256</v>
      </c>
      <c r="D2989" s="21"/>
      <c r="E2989" s="21"/>
      <c r="F2989" s="21"/>
    </row>
    <row r="2990">
      <c r="A2990" s="15">
        <v>1.0</v>
      </c>
      <c r="B2990" s="16" t="s">
        <v>8257</v>
      </c>
      <c r="C2990" s="17" t="s">
        <v>5536</v>
      </c>
      <c r="D2990" s="18">
        <v>33.11</v>
      </c>
      <c r="E2990" s="18">
        <v>45.45</v>
      </c>
      <c r="F2990" s="18">
        <v>12.0</v>
      </c>
    </row>
    <row r="2991">
      <c r="A2991" s="15">
        <v>2.0</v>
      </c>
      <c r="B2991" s="16" t="s">
        <v>8258</v>
      </c>
      <c r="C2991" s="17" t="s">
        <v>5665</v>
      </c>
      <c r="D2991" s="18">
        <v>13.08</v>
      </c>
      <c r="E2991" s="18">
        <v>17.4</v>
      </c>
      <c r="F2991" s="18">
        <v>12.0</v>
      </c>
    </row>
    <row r="2992">
      <c r="A2992" s="15">
        <v>3.0</v>
      </c>
      <c r="B2992" s="16" t="s">
        <v>8259</v>
      </c>
      <c r="C2992" s="17" t="s">
        <v>8260</v>
      </c>
      <c r="D2992" s="18">
        <v>236.25</v>
      </c>
      <c r="E2992" s="18">
        <v>327.8</v>
      </c>
      <c r="F2992" s="18">
        <v>12.0</v>
      </c>
    </row>
    <row r="2993">
      <c r="A2993" s="15">
        <v>4.0</v>
      </c>
      <c r="B2993" s="16" t="s">
        <v>8259</v>
      </c>
      <c r="C2993" s="17" t="s">
        <v>8261</v>
      </c>
      <c r="D2993" s="18">
        <v>420.43</v>
      </c>
      <c r="E2993" s="18">
        <v>588.6</v>
      </c>
      <c r="F2993" s="18">
        <v>12.0</v>
      </c>
    </row>
    <row r="2994">
      <c r="A2994" s="15">
        <v>5.0</v>
      </c>
      <c r="B2994" s="16" t="s">
        <v>8259</v>
      </c>
      <c r="C2994" s="17" t="s">
        <v>8262</v>
      </c>
      <c r="D2994" s="18">
        <v>324.33</v>
      </c>
      <c r="E2994" s="18">
        <v>450.0</v>
      </c>
      <c r="F2994" s="18">
        <v>12.0</v>
      </c>
    </row>
    <row r="2995">
      <c r="A2995" s="15">
        <v>6.0</v>
      </c>
      <c r="B2995" s="16" t="s">
        <v>8259</v>
      </c>
      <c r="C2995" s="17" t="s">
        <v>8263</v>
      </c>
      <c r="D2995" s="18">
        <v>208.57</v>
      </c>
      <c r="E2995" s="18">
        <v>292.0</v>
      </c>
      <c r="F2995" s="18">
        <v>12.0</v>
      </c>
    </row>
    <row r="2996">
      <c r="A2996" s="15">
        <v>7.0</v>
      </c>
      <c r="B2996" s="16" t="s">
        <v>8259</v>
      </c>
      <c r="C2996" s="17" t="s">
        <v>8264</v>
      </c>
      <c r="D2996" s="18">
        <v>465.89</v>
      </c>
      <c r="E2996" s="18">
        <v>652.25</v>
      </c>
      <c r="F2996" s="18">
        <v>12.0</v>
      </c>
    </row>
    <row r="2997">
      <c r="A2997" s="15">
        <v>8.0</v>
      </c>
      <c r="B2997" s="16" t="s">
        <v>8259</v>
      </c>
      <c r="C2997" s="17" t="s">
        <v>8265</v>
      </c>
      <c r="D2997" s="18">
        <v>260.71</v>
      </c>
      <c r="E2997" s="18">
        <v>365.0</v>
      </c>
      <c r="F2997" s="18">
        <v>12.0</v>
      </c>
    </row>
    <row r="2998">
      <c r="A2998" s="15">
        <v>9.0</v>
      </c>
      <c r="B2998" s="16" t="s">
        <v>8259</v>
      </c>
      <c r="C2998" s="17" t="s">
        <v>8266</v>
      </c>
      <c r="D2998" s="18">
        <v>560.72</v>
      </c>
      <c r="E2998" s="18">
        <v>785.0</v>
      </c>
      <c r="F2998" s="18">
        <v>12.0</v>
      </c>
    </row>
    <row r="2999">
      <c r="A2999" s="15">
        <v>10.0</v>
      </c>
      <c r="B2999" s="16" t="s">
        <v>8267</v>
      </c>
      <c r="C2999" s="17" t="s">
        <v>8268</v>
      </c>
      <c r="D2999" s="18">
        <v>9.09</v>
      </c>
      <c r="E2999" s="18">
        <v>12.12</v>
      </c>
      <c r="F2999" s="18">
        <v>12.0</v>
      </c>
    </row>
    <row r="3000">
      <c r="A3000" s="15">
        <v>11.0</v>
      </c>
      <c r="B3000" s="16" t="s">
        <v>8267</v>
      </c>
      <c r="C3000" s="17" t="s">
        <v>6969</v>
      </c>
      <c r="D3000" s="18">
        <v>60.48</v>
      </c>
      <c r="E3000" s="18">
        <v>80.64</v>
      </c>
      <c r="F3000" s="18">
        <v>12.0</v>
      </c>
    </row>
    <row r="3001">
      <c r="A3001" s="15">
        <v>12.0</v>
      </c>
      <c r="B3001" s="16" t="s">
        <v>8267</v>
      </c>
      <c r="C3001" s="17" t="s">
        <v>8269</v>
      </c>
      <c r="D3001" s="18">
        <v>218.01</v>
      </c>
      <c r="E3001" s="18">
        <v>250.0</v>
      </c>
      <c r="F3001" s="18">
        <v>18.0</v>
      </c>
    </row>
    <row r="3002">
      <c r="A3002" s="15">
        <v>13.0</v>
      </c>
      <c r="B3002" s="16" t="s">
        <v>8267</v>
      </c>
      <c r="C3002" s="17" t="s">
        <v>5802</v>
      </c>
      <c r="D3002" s="18">
        <v>11.89</v>
      </c>
      <c r="E3002" s="18">
        <v>15.85</v>
      </c>
      <c r="F3002" s="18">
        <v>12.0</v>
      </c>
    </row>
    <row r="3003">
      <c r="A3003" s="6"/>
      <c r="B3003" s="7"/>
      <c r="C3003" s="7"/>
      <c r="D3003" s="7"/>
      <c r="E3003" s="7"/>
      <c r="F3003" s="8"/>
    </row>
    <row r="3004">
      <c r="A3004" s="9" t="s">
        <v>8270</v>
      </c>
      <c r="B3004" s="10"/>
      <c r="C3004" s="10"/>
      <c r="D3004" s="10"/>
      <c r="E3004" s="10"/>
      <c r="F3004" s="10"/>
    </row>
    <row r="3005">
      <c r="A3005" s="11">
        <v>1.0</v>
      </c>
      <c r="B3005" s="12" t="s">
        <v>8271</v>
      </c>
      <c r="C3005" s="13" t="s">
        <v>7708</v>
      </c>
      <c r="D3005" s="14">
        <v>165.71</v>
      </c>
      <c r="E3005" s="14">
        <v>232.0</v>
      </c>
      <c r="F3005" s="14">
        <v>12.0</v>
      </c>
    </row>
    <row r="3006">
      <c r="A3006" s="15">
        <v>2.0</v>
      </c>
      <c r="B3006" s="16" t="s">
        <v>8272</v>
      </c>
      <c r="C3006" s="17" t="s">
        <v>5603</v>
      </c>
      <c r="D3006" s="18">
        <v>89.29</v>
      </c>
      <c r="E3006" s="18">
        <v>125.0</v>
      </c>
      <c r="F3006" s="18">
        <v>12.0</v>
      </c>
    </row>
    <row r="3007">
      <c r="A3007" s="15">
        <v>3.0</v>
      </c>
      <c r="B3007" s="16" t="s">
        <v>8273</v>
      </c>
      <c r="C3007" s="17" t="s">
        <v>8274</v>
      </c>
      <c r="D3007" s="18">
        <v>64.21</v>
      </c>
      <c r="E3007" s="18">
        <v>89.9</v>
      </c>
      <c r="F3007" s="18">
        <v>12.0</v>
      </c>
    </row>
    <row r="3008">
      <c r="A3008" s="15">
        <v>4.0</v>
      </c>
      <c r="B3008" s="16" t="s">
        <v>8275</v>
      </c>
      <c r="C3008" s="17" t="s">
        <v>5636</v>
      </c>
      <c r="D3008" s="18">
        <v>171.36</v>
      </c>
      <c r="E3008" s="18">
        <v>239.9</v>
      </c>
      <c r="F3008" s="18">
        <v>12.0</v>
      </c>
    </row>
    <row r="3009">
      <c r="A3009" s="15">
        <v>5.0</v>
      </c>
      <c r="B3009" s="16" t="s">
        <v>8276</v>
      </c>
      <c r="C3009" s="17" t="s">
        <v>8277</v>
      </c>
      <c r="D3009" s="18">
        <v>69.64</v>
      </c>
      <c r="E3009" s="18">
        <v>97.5</v>
      </c>
      <c r="F3009" s="18">
        <v>12.0</v>
      </c>
    </row>
    <row r="3010">
      <c r="A3010" s="15">
        <v>6.0</v>
      </c>
      <c r="B3010" s="16" t="s">
        <v>8276</v>
      </c>
      <c r="C3010" s="17" t="s">
        <v>8278</v>
      </c>
      <c r="D3010" s="18">
        <v>91.07</v>
      </c>
      <c r="E3010" s="18">
        <v>127.5</v>
      </c>
      <c r="F3010" s="18">
        <v>12.0</v>
      </c>
    </row>
    <row r="3011">
      <c r="A3011" s="15">
        <v>7.0</v>
      </c>
      <c r="B3011" s="16" t="s">
        <v>8279</v>
      </c>
      <c r="C3011" s="17" t="s">
        <v>8280</v>
      </c>
      <c r="D3011" s="18">
        <v>80.36</v>
      </c>
      <c r="E3011" s="18">
        <v>112.5</v>
      </c>
      <c r="F3011" s="18">
        <v>12.0</v>
      </c>
    </row>
    <row r="3012">
      <c r="A3012" s="15">
        <v>8.0</v>
      </c>
      <c r="B3012" s="16" t="s">
        <v>8279</v>
      </c>
      <c r="C3012" s="17" t="s">
        <v>5887</v>
      </c>
      <c r="D3012" s="18">
        <v>39.29</v>
      </c>
      <c r="E3012" s="18">
        <v>55.0</v>
      </c>
      <c r="F3012" s="18">
        <v>12.0</v>
      </c>
    </row>
    <row r="3013">
      <c r="A3013" s="15">
        <v>9.0</v>
      </c>
      <c r="B3013" s="16" t="s">
        <v>8279</v>
      </c>
      <c r="C3013" s="17" t="s">
        <v>8281</v>
      </c>
      <c r="D3013" s="18">
        <v>117.86</v>
      </c>
      <c r="E3013" s="18">
        <v>165.0</v>
      </c>
      <c r="F3013" s="18">
        <v>12.0</v>
      </c>
    </row>
    <row r="3014">
      <c r="A3014" s="15">
        <v>10.0</v>
      </c>
      <c r="B3014" s="16" t="s">
        <v>8279</v>
      </c>
      <c r="C3014" s="17" t="s">
        <v>6118</v>
      </c>
      <c r="D3014" s="18">
        <v>59.29</v>
      </c>
      <c r="E3014" s="18">
        <v>83.0</v>
      </c>
      <c r="F3014" s="18">
        <v>12.0</v>
      </c>
    </row>
    <row r="3015">
      <c r="A3015" s="15">
        <v>11.0</v>
      </c>
      <c r="B3015" s="16" t="s">
        <v>8282</v>
      </c>
      <c r="C3015" s="17" t="s">
        <v>5887</v>
      </c>
      <c r="D3015" s="18">
        <v>51.43</v>
      </c>
      <c r="E3015" s="18">
        <v>72.0</v>
      </c>
      <c r="F3015" s="18">
        <v>12.0</v>
      </c>
    </row>
    <row r="3016">
      <c r="A3016" s="15">
        <v>12.0</v>
      </c>
      <c r="B3016" s="16" t="s">
        <v>8282</v>
      </c>
      <c r="C3016" s="17" t="s">
        <v>6118</v>
      </c>
      <c r="D3016" s="18">
        <v>59.29</v>
      </c>
      <c r="E3016" s="18">
        <v>83.0</v>
      </c>
      <c r="F3016" s="18">
        <v>12.0</v>
      </c>
    </row>
    <row r="3017">
      <c r="A3017" s="15">
        <v>13.0</v>
      </c>
      <c r="B3017" s="16" t="s">
        <v>8283</v>
      </c>
      <c r="C3017" s="17" t="s">
        <v>8284</v>
      </c>
      <c r="D3017" s="18">
        <v>89.29</v>
      </c>
      <c r="E3017" s="18">
        <v>125.0</v>
      </c>
      <c r="F3017" s="18">
        <v>12.0</v>
      </c>
    </row>
    <row r="3018">
      <c r="A3018" s="15">
        <v>14.0</v>
      </c>
      <c r="B3018" s="16" t="s">
        <v>8283</v>
      </c>
      <c r="C3018" s="17" t="s">
        <v>8285</v>
      </c>
      <c r="D3018" s="18">
        <v>110.0</v>
      </c>
      <c r="E3018" s="18">
        <v>154.0</v>
      </c>
      <c r="F3018" s="18">
        <v>12.0</v>
      </c>
    </row>
    <row r="3019">
      <c r="A3019" s="15">
        <v>15.0</v>
      </c>
      <c r="B3019" s="16" t="s">
        <v>8286</v>
      </c>
      <c r="C3019" s="17" t="s">
        <v>5633</v>
      </c>
      <c r="D3019" s="18">
        <v>70.71</v>
      </c>
      <c r="E3019" s="18">
        <v>99.0</v>
      </c>
      <c r="F3019" s="18">
        <v>12.0</v>
      </c>
    </row>
    <row r="3020">
      <c r="A3020" s="15">
        <v>16.0</v>
      </c>
      <c r="B3020" s="16" t="s">
        <v>8287</v>
      </c>
      <c r="C3020" s="17" t="s">
        <v>5536</v>
      </c>
      <c r="D3020" s="18">
        <v>26.57</v>
      </c>
      <c r="E3020" s="18">
        <v>36.5</v>
      </c>
      <c r="F3020" s="18">
        <v>12.0</v>
      </c>
    </row>
    <row r="3021">
      <c r="A3021" s="15">
        <v>17.0</v>
      </c>
      <c r="B3021" s="16" t="s">
        <v>8288</v>
      </c>
      <c r="C3021" s="17" t="s">
        <v>5536</v>
      </c>
      <c r="D3021" s="18">
        <v>38.22</v>
      </c>
      <c r="E3021" s="18">
        <v>52.5</v>
      </c>
      <c r="F3021" s="18">
        <v>12.0</v>
      </c>
    </row>
    <row r="3022">
      <c r="A3022" s="15">
        <v>18.0</v>
      </c>
      <c r="B3022" s="16" t="s">
        <v>8289</v>
      </c>
      <c r="C3022" s="17" t="s">
        <v>5531</v>
      </c>
      <c r="D3022" s="18">
        <v>64.29</v>
      </c>
      <c r="E3022" s="18">
        <v>90.0</v>
      </c>
      <c r="F3022" s="18">
        <v>12.0</v>
      </c>
    </row>
    <row r="3023">
      <c r="A3023" s="15">
        <v>19.0</v>
      </c>
      <c r="B3023" s="16" t="s">
        <v>8290</v>
      </c>
      <c r="C3023" s="17" t="s">
        <v>5546</v>
      </c>
      <c r="D3023" s="18">
        <v>86.79</v>
      </c>
      <c r="E3023" s="18">
        <v>121.5</v>
      </c>
      <c r="F3023" s="18">
        <v>12.0</v>
      </c>
    </row>
    <row r="3024">
      <c r="A3024" s="15">
        <v>20.0</v>
      </c>
      <c r="B3024" s="16" t="s">
        <v>8291</v>
      </c>
      <c r="C3024" s="17" t="s">
        <v>5546</v>
      </c>
      <c r="D3024" s="18">
        <v>246.43</v>
      </c>
      <c r="E3024" s="18">
        <v>345.0</v>
      </c>
      <c r="F3024" s="18">
        <v>12.0</v>
      </c>
    </row>
    <row r="3025">
      <c r="A3025" s="15">
        <v>21.0</v>
      </c>
      <c r="B3025" s="16" t="s">
        <v>8292</v>
      </c>
      <c r="C3025" s="17" t="s">
        <v>5546</v>
      </c>
      <c r="D3025" s="18">
        <v>327.65</v>
      </c>
      <c r="E3025" s="18">
        <v>450.0</v>
      </c>
      <c r="F3025" s="18">
        <v>12.0</v>
      </c>
    </row>
    <row r="3026">
      <c r="A3026" s="6"/>
      <c r="B3026" s="7"/>
      <c r="C3026" s="7"/>
      <c r="D3026" s="7"/>
      <c r="E3026" s="8"/>
      <c r="F3026" s="16" t="s">
        <v>8293</v>
      </c>
    </row>
    <row r="3027">
      <c r="A3027" s="6"/>
      <c r="B3027" s="7"/>
      <c r="C3027" s="7"/>
      <c r="D3027" s="7"/>
      <c r="E3027" s="7"/>
      <c r="F3027" s="8"/>
    </row>
    <row r="3028">
      <c r="A3028" s="6"/>
      <c r="B3028" s="7"/>
      <c r="C3028" s="7"/>
      <c r="D3028" s="7"/>
      <c r="E3028" s="7"/>
      <c r="F3028" s="8"/>
    </row>
    <row r="3029">
      <c r="A3029" s="6"/>
      <c r="B3029" s="7"/>
      <c r="C3029" s="7"/>
      <c r="D3029" s="7"/>
      <c r="E3029" s="7"/>
      <c r="F3029" s="8"/>
    </row>
    <row r="3030">
      <c r="A3030" s="6"/>
      <c r="B3030" s="7"/>
      <c r="C3030" s="7"/>
      <c r="D3030" s="7"/>
      <c r="E3030" s="7"/>
      <c r="F3030" s="8"/>
    </row>
    <row r="3031">
      <c r="A3031" s="9" t="s">
        <v>5582</v>
      </c>
      <c r="B3031" s="10"/>
      <c r="C3031" s="10"/>
      <c r="D3031" s="10"/>
      <c r="E3031" s="10"/>
      <c r="F3031" s="10"/>
    </row>
    <row r="3032">
      <c r="A3032" s="19" t="s">
        <v>5583</v>
      </c>
    </row>
    <row r="3033">
      <c r="A3033" s="6"/>
      <c r="B3033" s="7"/>
      <c r="C3033" s="7"/>
      <c r="D3033" s="8"/>
      <c r="E3033" s="12" t="s">
        <v>5584</v>
      </c>
      <c r="F3033" s="12" t="s">
        <v>8294</v>
      </c>
    </row>
    <row r="3034">
      <c r="A3034" s="20" t="s">
        <v>5522</v>
      </c>
      <c r="B3034" s="16" t="s">
        <v>5523</v>
      </c>
      <c r="C3034" s="16" t="s">
        <v>5524</v>
      </c>
      <c r="D3034" s="16" t="s">
        <v>5525</v>
      </c>
      <c r="E3034" s="16" t="s">
        <v>5526</v>
      </c>
      <c r="F3034" s="16" t="s">
        <v>5586</v>
      </c>
    </row>
    <row r="3035">
      <c r="A3035" s="15">
        <v>22.0</v>
      </c>
      <c r="B3035" s="16" t="s">
        <v>8295</v>
      </c>
      <c r="C3035" s="17" t="s">
        <v>5546</v>
      </c>
      <c r="D3035" s="18">
        <v>67.72</v>
      </c>
      <c r="E3035" s="18">
        <v>93.0</v>
      </c>
      <c r="F3035" s="18">
        <v>12.0</v>
      </c>
    </row>
    <row r="3036">
      <c r="A3036" s="15">
        <v>23.0</v>
      </c>
      <c r="B3036" s="16" t="s">
        <v>8296</v>
      </c>
      <c r="C3036" s="17" t="s">
        <v>7173</v>
      </c>
      <c r="D3036" s="18">
        <v>96.43</v>
      </c>
      <c r="E3036" s="18">
        <v>135.0</v>
      </c>
      <c r="F3036" s="18">
        <v>12.0</v>
      </c>
    </row>
    <row r="3037">
      <c r="A3037" s="15">
        <v>24.0</v>
      </c>
      <c r="B3037" s="16" t="s">
        <v>8296</v>
      </c>
      <c r="C3037" s="17" t="s">
        <v>7174</v>
      </c>
      <c r="D3037" s="18">
        <v>155.71</v>
      </c>
      <c r="E3037" s="18">
        <v>218.0</v>
      </c>
      <c r="F3037" s="18">
        <v>12.0</v>
      </c>
    </row>
    <row r="3038">
      <c r="A3038" s="15">
        <v>25.0</v>
      </c>
      <c r="B3038" s="16" t="s">
        <v>8297</v>
      </c>
      <c r="C3038" s="17" t="s">
        <v>5546</v>
      </c>
      <c r="D3038" s="18">
        <v>34.82</v>
      </c>
      <c r="E3038" s="18">
        <v>48.75</v>
      </c>
      <c r="F3038" s="18">
        <v>12.0</v>
      </c>
    </row>
    <row r="3039">
      <c r="A3039" s="15">
        <v>26.0</v>
      </c>
      <c r="B3039" s="16" t="s">
        <v>8298</v>
      </c>
      <c r="C3039" s="17" t="s">
        <v>5546</v>
      </c>
      <c r="D3039" s="18">
        <v>64.82</v>
      </c>
      <c r="E3039" s="18">
        <v>90.75</v>
      </c>
      <c r="F3039" s="18">
        <v>12.0</v>
      </c>
    </row>
    <row r="3040">
      <c r="A3040" s="15">
        <v>27.0</v>
      </c>
      <c r="B3040" s="16" t="s">
        <v>8299</v>
      </c>
      <c r="C3040" s="17" t="s">
        <v>5546</v>
      </c>
      <c r="D3040" s="18">
        <v>99.11</v>
      </c>
      <c r="E3040" s="18">
        <v>138.75</v>
      </c>
      <c r="F3040" s="18">
        <v>12.0</v>
      </c>
    </row>
    <row r="3041">
      <c r="A3041" s="15">
        <v>28.0</v>
      </c>
      <c r="B3041" s="16" t="s">
        <v>8300</v>
      </c>
      <c r="C3041" s="17" t="s">
        <v>5830</v>
      </c>
      <c r="D3041" s="18">
        <v>70.71</v>
      </c>
      <c r="E3041" s="18">
        <v>99.0</v>
      </c>
      <c r="F3041" s="18">
        <v>12.0</v>
      </c>
    </row>
    <row r="3042">
      <c r="A3042" s="15">
        <v>29.0</v>
      </c>
      <c r="B3042" s="16" t="s">
        <v>8301</v>
      </c>
      <c r="C3042" s="17" t="s">
        <v>6043</v>
      </c>
      <c r="D3042" s="18">
        <v>77.14</v>
      </c>
      <c r="E3042" s="18">
        <v>108.0</v>
      </c>
      <c r="F3042" s="18">
        <v>12.0</v>
      </c>
    </row>
    <row r="3043">
      <c r="A3043" s="15">
        <v>30.0</v>
      </c>
      <c r="B3043" s="16" t="s">
        <v>8302</v>
      </c>
      <c r="C3043" s="17" t="s">
        <v>5830</v>
      </c>
      <c r="D3043" s="18">
        <v>96.43</v>
      </c>
      <c r="E3043" s="18">
        <v>135.0</v>
      </c>
      <c r="F3043" s="18">
        <v>12.0</v>
      </c>
    </row>
    <row r="3044">
      <c r="A3044" s="15">
        <v>31.0</v>
      </c>
      <c r="B3044" s="16" t="s">
        <v>8302</v>
      </c>
      <c r="C3044" s="17" t="s">
        <v>5831</v>
      </c>
      <c r="D3044" s="18">
        <v>96.43</v>
      </c>
      <c r="E3044" s="18">
        <v>135.0</v>
      </c>
      <c r="F3044" s="18">
        <v>12.0</v>
      </c>
    </row>
    <row r="3045">
      <c r="A3045" s="15">
        <v>32.0</v>
      </c>
      <c r="B3045" s="16" t="s">
        <v>8303</v>
      </c>
      <c r="C3045" s="17" t="s">
        <v>6043</v>
      </c>
      <c r="D3045" s="18">
        <v>91.07</v>
      </c>
      <c r="E3045" s="18">
        <v>127.5</v>
      </c>
      <c r="F3045" s="18">
        <v>12.0</v>
      </c>
    </row>
    <row r="3046">
      <c r="A3046" s="15">
        <v>33.0</v>
      </c>
      <c r="B3046" s="16" t="s">
        <v>8303</v>
      </c>
      <c r="C3046" s="17" t="s">
        <v>8304</v>
      </c>
      <c r="D3046" s="18">
        <v>139.29</v>
      </c>
      <c r="E3046" s="18">
        <v>195.0</v>
      </c>
      <c r="F3046" s="18">
        <v>12.0</v>
      </c>
    </row>
    <row r="3047">
      <c r="A3047" s="15">
        <v>34.0</v>
      </c>
      <c r="B3047" s="16" t="s">
        <v>8305</v>
      </c>
      <c r="C3047" s="17" t="s">
        <v>5536</v>
      </c>
      <c r="D3047" s="18">
        <v>29.45</v>
      </c>
      <c r="E3047" s="18">
        <v>40.45</v>
      </c>
      <c r="F3047" s="18">
        <v>12.0</v>
      </c>
    </row>
    <row r="3048">
      <c r="A3048" s="6"/>
      <c r="B3048" s="7"/>
      <c r="C3048" s="7"/>
      <c r="D3048" s="7"/>
      <c r="E3048" s="7"/>
      <c r="F3048" s="8"/>
    </row>
    <row r="3049">
      <c r="A3049" s="9" t="s">
        <v>8306</v>
      </c>
      <c r="B3049" s="10"/>
      <c r="C3049" s="10"/>
      <c r="D3049" s="10"/>
      <c r="E3049" s="10"/>
      <c r="F3049" s="10"/>
    </row>
    <row r="3050">
      <c r="A3050" s="11">
        <v>1.0</v>
      </c>
      <c r="B3050" s="12" t="s">
        <v>8307</v>
      </c>
      <c r="C3050" s="13" t="s">
        <v>5636</v>
      </c>
      <c r="D3050" s="14">
        <v>189.83</v>
      </c>
      <c r="E3050" s="14">
        <v>280.0</v>
      </c>
      <c r="F3050" s="14">
        <v>18.0</v>
      </c>
    </row>
    <row r="3051">
      <c r="A3051" s="15">
        <v>2.0</v>
      </c>
      <c r="B3051" s="16" t="s">
        <v>8308</v>
      </c>
      <c r="C3051" s="17" t="s">
        <v>8309</v>
      </c>
      <c r="D3051" s="18">
        <v>159.32</v>
      </c>
      <c r="E3051" s="18">
        <v>235.0</v>
      </c>
      <c r="F3051" s="18">
        <v>18.0</v>
      </c>
    </row>
    <row r="3052">
      <c r="A3052" s="15">
        <v>3.0</v>
      </c>
      <c r="B3052" s="16" t="s">
        <v>8310</v>
      </c>
      <c r="C3052" s="17" t="s">
        <v>5636</v>
      </c>
      <c r="D3052" s="18">
        <v>42.86</v>
      </c>
      <c r="E3052" s="18">
        <v>60.0</v>
      </c>
      <c r="F3052" s="18">
        <v>12.0</v>
      </c>
    </row>
    <row r="3053">
      <c r="A3053" s="15">
        <v>4.0</v>
      </c>
      <c r="B3053" s="16" t="s">
        <v>8311</v>
      </c>
      <c r="C3053" s="17" t="s">
        <v>5636</v>
      </c>
      <c r="D3053" s="18">
        <v>201.43</v>
      </c>
      <c r="E3053" s="18">
        <v>282.0</v>
      </c>
      <c r="F3053" s="18">
        <v>12.0</v>
      </c>
    </row>
    <row r="3054">
      <c r="A3054" s="15">
        <v>5.0</v>
      </c>
      <c r="B3054" s="16" t="s">
        <v>8312</v>
      </c>
      <c r="C3054" s="17" t="s">
        <v>5614</v>
      </c>
      <c r="D3054" s="18">
        <v>97.2</v>
      </c>
      <c r="E3054" s="18">
        <v>131.0</v>
      </c>
      <c r="F3054" s="18">
        <v>12.0</v>
      </c>
    </row>
    <row r="3055">
      <c r="A3055" s="15">
        <v>6.0</v>
      </c>
      <c r="B3055" s="16" t="s">
        <v>8313</v>
      </c>
      <c r="C3055" s="17" t="s">
        <v>5614</v>
      </c>
      <c r="D3055" s="18">
        <v>175.0</v>
      </c>
      <c r="E3055" s="18">
        <v>245.0</v>
      </c>
      <c r="F3055" s="18">
        <v>12.0</v>
      </c>
    </row>
    <row r="3056">
      <c r="A3056" s="15">
        <v>7.0</v>
      </c>
      <c r="B3056" s="16" t="s">
        <v>8314</v>
      </c>
      <c r="C3056" s="17" t="s">
        <v>5614</v>
      </c>
      <c r="D3056" s="18">
        <v>281.92</v>
      </c>
      <c r="E3056" s="18">
        <v>380.0</v>
      </c>
      <c r="F3056" s="18">
        <v>12.0</v>
      </c>
    </row>
    <row r="3057">
      <c r="A3057" s="15">
        <v>8.0</v>
      </c>
      <c r="B3057" s="16" t="s">
        <v>8315</v>
      </c>
      <c r="C3057" s="17" t="s">
        <v>6127</v>
      </c>
      <c r="D3057" s="18">
        <v>243.57</v>
      </c>
      <c r="E3057" s="18">
        <v>341.0</v>
      </c>
      <c r="F3057" s="18">
        <v>12.0</v>
      </c>
    </row>
    <row r="3058">
      <c r="A3058" s="15">
        <v>9.0</v>
      </c>
      <c r="B3058" s="16" t="s">
        <v>8315</v>
      </c>
      <c r="C3058" s="17" t="s">
        <v>8316</v>
      </c>
      <c r="D3058" s="18">
        <v>321.43</v>
      </c>
      <c r="E3058" s="18">
        <v>450.0</v>
      </c>
      <c r="F3058" s="18">
        <v>12.0</v>
      </c>
    </row>
    <row r="3059">
      <c r="A3059" s="15">
        <v>10.0</v>
      </c>
      <c r="B3059" s="16" t="s">
        <v>2472</v>
      </c>
      <c r="C3059" s="16" t="s">
        <v>5558</v>
      </c>
      <c r="D3059" s="18">
        <v>134.29</v>
      </c>
      <c r="E3059" s="18">
        <v>188.0</v>
      </c>
      <c r="F3059" s="18">
        <v>12.0</v>
      </c>
    </row>
    <row r="3060">
      <c r="A3060" s="15">
        <v>11.0</v>
      </c>
      <c r="B3060" s="16" t="s">
        <v>8317</v>
      </c>
      <c r="C3060" s="17" t="s">
        <v>5636</v>
      </c>
      <c r="D3060" s="18">
        <v>1070.0</v>
      </c>
      <c r="E3060" s="18">
        <v>1499.0</v>
      </c>
      <c r="F3060" s="18">
        <v>12.0</v>
      </c>
    </row>
    <row r="3061">
      <c r="A3061" s="15">
        <v>12.0</v>
      </c>
      <c r="B3061" s="16" t="s">
        <v>8318</v>
      </c>
      <c r="C3061" s="17" t="s">
        <v>5636</v>
      </c>
      <c r="D3061" s="18">
        <v>85.71</v>
      </c>
      <c r="E3061" s="18">
        <v>120.0</v>
      </c>
      <c r="F3061" s="18">
        <v>12.0</v>
      </c>
    </row>
    <row r="3062">
      <c r="A3062" s="15">
        <v>13.0</v>
      </c>
      <c r="B3062" s="16" t="s">
        <v>8319</v>
      </c>
      <c r="C3062" s="17" t="s">
        <v>8320</v>
      </c>
      <c r="D3062" s="18">
        <v>9.49</v>
      </c>
      <c r="E3062" s="18">
        <v>14.0</v>
      </c>
      <c r="F3062" s="18">
        <v>18.0</v>
      </c>
    </row>
    <row r="3063">
      <c r="A3063" s="15">
        <v>14.0</v>
      </c>
      <c r="B3063" s="16" t="s">
        <v>8321</v>
      </c>
      <c r="C3063" s="17" t="s">
        <v>5636</v>
      </c>
      <c r="D3063" s="18">
        <v>56.43</v>
      </c>
      <c r="E3063" s="18">
        <v>79.0</v>
      </c>
      <c r="F3063" s="18">
        <v>12.0</v>
      </c>
    </row>
    <row r="3064">
      <c r="A3064" s="15">
        <v>15.0</v>
      </c>
      <c r="B3064" s="16" t="s">
        <v>8322</v>
      </c>
      <c r="C3064" s="17" t="s">
        <v>5636</v>
      </c>
      <c r="D3064" s="18">
        <v>49.79</v>
      </c>
      <c r="E3064" s="18">
        <v>69.7</v>
      </c>
      <c r="F3064" s="18">
        <v>12.0</v>
      </c>
    </row>
    <row r="3065">
      <c r="A3065" s="15">
        <v>16.0</v>
      </c>
      <c r="B3065" s="16" t="s">
        <v>8323</v>
      </c>
      <c r="C3065" s="17" t="s">
        <v>5636</v>
      </c>
      <c r="D3065" s="18">
        <v>48.21</v>
      </c>
      <c r="E3065" s="18">
        <v>67.5</v>
      </c>
      <c r="F3065" s="18">
        <v>12.0</v>
      </c>
    </row>
    <row r="3066">
      <c r="A3066" s="15">
        <v>17.0</v>
      </c>
      <c r="B3066" s="16" t="s">
        <v>8324</v>
      </c>
      <c r="C3066" s="17" t="s">
        <v>6308</v>
      </c>
      <c r="D3066" s="18">
        <v>216.95</v>
      </c>
      <c r="E3066" s="18">
        <v>320.0</v>
      </c>
      <c r="F3066" s="18">
        <v>18.0</v>
      </c>
    </row>
    <row r="3067">
      <c r="A3067" s="15">
        <v>18.0</v>
      </c>
      <c r="B3067" s="16" t="s">
        <v>8325</v>
      </c>
      <c r="C3067" s="17" t="s">
        <v>8326</v>
      </c>
      <c r="D3067" s="18">
        <v>186.44</v>
      </c>
      <c r="E3067" s="18">
        <v>275.0</v>
      </c>
      <c r="F3067" s="18">
        <v>18.0</v>
      </c>
    </row>
    <row r="3068">
      <c r="A3068" s="15">
        <v>19.0</v>
      </c>
      <c r="B3068" s="16" t="s">
        <v>8327</v>
      </c>
      <c r="C3068" s="17" t="s">
        <v>6363</v>
      </c>
      <c r="D3068" s="18">
        <v>142.37</v>
      </c>
      <c r="E3068" s="18">
        <v>210.0</v>
      </c>
      <c r="F3068" s="18">
        <v>18.0</v>
      </c>
    </row>
    <row r="3069">
      <c r="A3069" s="6"/>
      <c r="B3069" s="7"/>
      <c r="C3069" s="7"/>
      <c r="D3069" s="7"/>
      <c r="E3069" s="7"/>
      <c r="F3069" s="8"/>
    </row>
    <row r="3070">
      <c r="A3070" s="9" t="s">
        <v>8328</v>
      </c>
      <c r="B3070" s="10"/>
      <c r="C3070" s="10"/>
      <c r="D3070" s="10"/>
      <c r="E3070" s="10"/>
      <c r="F3070" s="10"/>
    </row>
    <row r="3071">
      <c r="A3071" s="11">
        <v>1.0</v>
      </c>
      <c r="B3071" s="12" t="s">
        <v>8329</v>
      </c>
      <c r="C3071" s="13" t="s">
        <v>5636</v>
      </c>
      <c r="D3071" s="14">
        <v>53.93</v>
      </c>
      <c r="E3071" s="14">
        <v>75.5</v>
      </c>
      <c r="F3071" s="14">
        <v>12.0</v>
      </c>
    </row>
    <row r="3072">
      <c r="A3072" s="15">
        <v>2.0</v>
      </c>
      <c r="B3072" s="16" t="s">
        <v>8330</v>
      </c>
      <c r="C3072" s="17" t="s">
        <v>5636</v>
      </c>
      <c r="D3072" s="18">
        <v>71.79</v>
      </c>
      <c r="E3072" s="18">
        <v>100.5</v>
      </c>
      <c r="F3072" s="18">
        <v>12.0</v>
      </c>
    </row>
    <row r="3073">
      <c r="A3073" s="15">
        <v>3.0</v>
      </c>
      <c r="B3073" s="16" t="s">
        <v>8331</v>
      </c>
      <c r="C3073" s="17" t="s">
        <v>5636</v>
      </c>
      <c r="D3073" s="18">
        <v>35.0</v>
      </c>
      <c r="E3073" s="18">
        <v>49.0</v>
      </c>
      <c r="F3073" s="18">
        <v>12.0</v>
      </c>
    </row>
    <row r="3074">
      <c r="A3074" s="15">
        <v>4.0</v>
      </c>
      <c r="B3074" s="16" t="s">
        <v>8332</v>
      </c>
      <c r="C3074" s="17" t="s">
        <v>5536</v>
      </c>
      <c r="D3074" s="18">
        <v>49.29</v>
      </c>
      <c r="E3074" s="18">
        <v>69.0</v>
      </c>
      <c r="F3074" s="18">
        <v>12.0</v>
      </c>
    </row>
    <row r="3075">
      <c r="A3075" s="15">
        <v>5.0</v>
      </c>
      <c r="B3075" s="16" t="s">
        <v>8333</v>
      </c>
      <c r="C3075" s="17" t="s">
        <v>5536</v>
      </c>
      <c r="D3075" s="18">
        <v>59.29</v>
      </c>
      <c r="E3075" s="18">
        <v>83.0</v>
      </c>
      <c r="F3075" s="18">
        <v>12.0</v>
      </c>
    </row>
    <row r="3076">
      <c r="A3076" s="15">
        <v>6.0</v>
      </c>
      <c r="B3076" s="16" t="s">
        <v>8334</v>
      </c>
      <c r="C3076" s="17" t="s">
        <v>5632</v>
      </c>
      <c r="D3076" s="18">
        <v>27.14</v>
      </c>
      <c r="E3076" s="18">
        <v>38.0</v>
      </c>
      <c r="F3076" s="18">
        <v>12.0</v>
      </c>
    </row>
    <row r="3077">
      <c r="A3077" s="15">
        <v>7.0</v>
      </c>
      <c r="B3077" s="16" t="s">
        <v>8335</v>
      </c>
      <c r="C3077" s="17" t="s">
        <v>8336</v>
      </c>
      <c r="D3077" s="18">
        <v>25.0</v>
      </c>
      <c r="E3077" s="18">
        <v>35.0</v>
      </c>
      <c r="F3077" s="18">
        <v>12.0</v>
      </c>
    </row>
    <row r="3078">
      <c r="A3078" s="15">
        <v>8.0</v>
      </c>
      <c r="B3078" s="16" t="s">
        <v>2490</v>
      </c>
      <c r="C3078" s="16" t="s">
        <v>5558</v>
      </c>
      <c r="D3078" s="18">
        <v>46.43</v>
      </c>
      <c r="E3078" s="18">
        <v>65.0</v>
      </c>
      <c r="F3078" s="18">
        <v>12.0</v>
      </c>
    </row>
    <row r="3079">
      <c r="A3079" s="15">
        <v>9.0</v>
      </c>
      <c r="B3079" s="16" t="s">
        <v>8337</v>
      </c>
      <c r="C3079" s="17" t="s">
        <v>5636</v>
      </c>
      <c r="D3079" s="18">
        <v>96.43</v>
      </c>
      <c r="E3079" s="18">
        <v>135.0</v>
      </c>
      <c r="F3079" s="18">
        <v>12.0</v>
      </c>
    </row>
    <row r="3080">
      <c r="A3080" s="15">
        <v>10.0</v>
      </c>
      <c r="B3080" s="16" t="s">
        <v>8338</v>
      </c>
      <c r="C3080" s="17" t="s">
        <v>8339</v>
      </c>
      <c r="D3080" s="18">
        <v>23.57</v>
      </c>
      <c r="E3080" s="18">
        <v>33.0</v>
      </c>
      <c r="F3080" s="18">
        <v>12.0</v>
      </c>
    </row>
    <row r="3081">
      <c r="A3081" s="15">
        <v>11.0</v>
      </c>
      <c r="B3081" s="16" t="s">
        <v>8340</v>
      </c>
      <c r="C3081" s="17" t="s">
        <v>8341</v>
      </c>
      <c r="D3081" s="18">
        <v>10.71</v>
      </c>
      <c r="E3081" s="18">
        <v>15.0</v>
      </c>
      <c r="F3081" s="18">
        <v>12.0</v>
      </c>
    </row>
    <row r="3082">
      <c r="A3082" s="15">
        <v>12.0</v>
      </c>
      <c r="B3082" s="16" t="s">
        <v>8342</v>
      </c>
      <c r="C3082" s="17" t="s">
        <v>5886</v>
      </c>
      <c r="D3082" s="18">
        <v>31.71</v>
      </c>
      <c r="E3082" s="18">
        <v>44.0</v>
      </c>
      <c r="F3082" s="18">
        <v>12.0</v>
      </c>
    </row>
    <row r="3083">
      <c r="A3083" s="15">
        <v>13.0</v>
      </c>
      <c r="B3083" s="16" t="s">
        <v>8342</v>
      </c>
      <c r="C3083" s="17" t="s">
        <v>5887</v>
      </c>
      <c r="D3083" s="18">
        <v>47.14</v>
      </c>
      <c r="E3083" s="18">
        <v>66.0</v>
      </c>
      <c r="F3083" s="18">
        <v>12.0</v>
      </c>
    </row>
    <row r="3084">
      <c r="A3084" s="15">
        <v>14.0</v>
      </c>
      <c r="B3084" s="16" t="s">
        <v>8342</v>
      </c>
      <c r="C3084" s="17" t="s">
        <v>6118</v>
      </c>
      <c r="D3084" s="18">
        <v>60.0</v>
      </c>
      <c r="E3084" s="18">
        <v>84.0</v>
      </c>
      <c r="F3084" s="18">
        <v>12.0</v>
      </c>
    </row>
    <row r="3085">
      <c r="A3085" s="15">
        <v>15.0</v>
      </c>
      <c r="B3085" s="16" t="s">
        <v>8343</v>
      </c>
      <c r="C3085" s="17" t="s">
        <v>5654</v>
      </c>
      <c r="D3085" s="18">
        <v>67.88</v>
      </c>
      <c r="E3085" s="18">
        <v>95.0</v>
      </c>
      <c r="F3085" s="18">
        <v>12.0</v>
      </c>
    </row>
    <row r="3086">
      <c r="A3086" s="15">
        <v>16.0</v>
      </c>
      <c r="B3086" s="16" t="s">
        <v>8344</v>
      </c>
      <c r="C3086" s="17" t="s">
        <v>5550</v>
      </c>
      <c r="D3086" s="18">
        <v>80.71</v>
      </c>
      <c r="E3086" s="18">
        <v>113.0</v>
      </c>
      <c r="F3086" s="18">
        <v>12.0</v>
      </c>
    </row>
    <row r="3087">
      <c r="A3087" s="15">
        <v>17.0</v>
      </c>
      <c r="B3087" s="16" t="s">
        <v>8344</v>
      </c>
      <c r="C3087" s="17" t="s">
        <v>5665</v>
      </c>
      <c r="D3087" s="18">
        <v>77.14</v>
      </c>
      <c r="E3087" s="18">
        <v>108.0</v>
      </c>
      <c r="F3087" s="18">
        <v>12.0</v>
      </c>
    </row>
    <row r="3088">
      <c r="A3088" s="15">
        <v>18.0</v>
      </c>
      <c r="B3088" s="16" t="s">
        <v>8345</v>
      </c>
      <c r="C3088" s="17" t="s">
        <v>5536</v>
      </c>
      <c r="D3088" s="18">
        <v>17.14</v>
      </c>
      <c r="E3088" s="18">
        <v>24.0</v>
      </c>
      <c r="F3088" s="18">
        <v>12.0</v>
      </c>
    </row>
    <row r="3089">
      <c r="A3089" s="15">
        <v>19.0</v>
      </c>
      <c r="B3089" s="16" t="s">
        <v>8346</v>
      </c>
      <c r="C3089" s="17" t="s">
        <v>5531</v>
      </c>
      <c r="D3089" s="18">
        <v>30.71</v>
      </c>
      <c r="E3089" s="18">
        <v>43.0</v>
      </c>
      <c r="F3089" s="18">
        <v>12.0</v>
      </c>
    </row>
    <row r="3090">
      <c r="A3090" s="15">
        <v>20.0</v>
      </c>
      <c r="B3090" s="16" t="s">
        <v>8347</v>
      </c>
      <c r="C3090" s="17" t="s">
        <v>5536</v>
      </c>
      <c r="D3090" s="18">
        <v>23.57</v>
      </c>
      <c r="E3090" s="18">
        <v>33.0</v>
      </c>
      <c r="F3090" s="18">
        <v>12.0</v>
      </c>
    </row>
    <row r="3091">
      <c r="A3091" s="15">
        <v>21.0</v>
      </c>
      <c r="B3091" s="16" t="s">
        <v>8348</v>
      </c>
      <c r="C3091" s="17" t="s">
        <v>5536</v>
      </c>
      <c r="D3091" s="18">
        <v>47.86</v>
      </c>
      <c r="E3091" s="18">
        <v>67.0</v>
      </c>
      <c r="F3091" s="18">
        <v>12.0</v>
      </c>
    </row>
    <row r="3092">
      <c r="A3092" s="15">
        <v>22.0</v>
      </c>
      <c r="B3092" s="16" t="s">
        <v>8349</v>
      </c>
      <c r="C3092" s="17" t="s">
        <v>5636</v>
      </c>
      <c r="D3092" s="18">
        <v>17.14</v>
      </c>
      <c r="E3092" s="18">
        <v>24.0</v>
      </c>
      <c r="F3092" s="18">
        <v>12.0</v>
      </c>
    </row>
    <row r="3093">
      <c r="A3093" s="15">
        <v>23.0</v>
      </c>
      <c r="B3093" s="16" t="s">
        <v>8350</v>
      </c>
      <c r="C3093" s="17" t="s">
        <v>5636</v>
      </c>
      <c r="D3093" s="18">
        <v>89.29</v>
      </c>
      <c r="E3093" s="18">
        <v>125.0</v>
      </c>
      <c r="F3093" s="18">
        <v>12.0</v>
      </c>
    </row>
    <row r="3094">
      <c r="A3094" s="15">
        <v>24.0</v>
      </c>
      <c r="B3094" s="16" t="s">
        <v>8351</v>
      </c>
      <c r="C3094" s="17" t="s">
        <v>5636</v>
      </c>
      <c r="D3094" s="18">
        <v>64.29</v>
      </c>
      <c r="E3094" s="18">
        <v>90.0</v>
      </c>
      <c r="F3094" s="18">
        <v>12.0</v>
      </c>
    </row>
    <row r="3095">
      <c r="A3095" s="15">
        <v>25.0</v>
      </c>
      <c r="B3095" s="16" t="s">
        <v>8352</v>
      </c>
      <c r="C3095" s="17" t="s">
        <v>5654</v>
      </c>
      <c r="D3095" s="18">
        <v>65.0</v>
      </c>
      <c r="E3095" s="18">
        <v>91.0</v>
      </c>
      <c r="F3095" s="18">
        <v>12.0</v>
      </c>
    </row>
    <row r="3096">
      <c r="A3096" s="6"/>
      <c r="B3096" s="7"/>
      <c r="C3096" s="7"/>
      <c r="D3096" s="7"/>
      <c r="E3096" s="8"/>
      <c r="F3096" s="16" t="s">
        <v>8353</v>
      </c>
    </row>
    <row r="3097">
      <c r="A3097" s="6"/>
      <c r="B3097" s="7"/>
      <c r="C3097" s="7"/>
      <c r="D3097" s="7"/>
      <c r="E3097" s="7"/>
      <c r="F3097" s="8"/>
    </row>
    <row r="3098">
      <c r="A3098" s="6"/>
      <c r="B3098" s="7"/>
      <c r="C3098" s="7"/>
      <c r="D3098" s="7"/>
      <c r="E3098" s="7"/>
      <c r="F3098" s="8"/>
    </row>
    <row r="3099">
      <c r="A3099" s="6"/>
      <c r="B3099" s="7"/>
      <c r="C3099" s="7"/>
      <c r="D3099" s="7"/>
      <c r="E3099" s="7"/>
      <c r="F3099" s="8"/>
    </row>
    <row r="3100">
      <c r="A3100" s="6"/>
      <c r="B3100" s="7"/>
      <c r="C3100" s="7"/>
      <c r="D3100" s="7"/>
      <c r="E3100" s="7"/>
      <c r="F3100" s="8"/>
    </row>
    <row r="3101">
      <c r="A3101" s="9" t="s">
        <v>5582</v>
      </c>
      <c r="B3101" s="10"/>
      <c r="C3101" s="10"/>
      <c r="D3101" s="10"/>
      <c r="E3101" s="10"/>
      <c r="F3101" s="10"/>
    </row>
    <row r="3102">
      <c r="A3102" s="19" t="s">
        <v>5583</v>
      </c>
    </row>
    <row r="3103">
      <c r="A3103" s="6"/>
      <c r="B3103" s="7"/>
      <c r="C3103" s="7"/>
      <c r="D3103" s="8"/>
      <c r="E3103" s="12" t="s">
        <v>5584</v>
      </c>
      <c r="F3103" s="12" t="s">
        <v>8354</v>
      </c>
    </row>
    <row r="3104">
      <c r="A3104" s="20" t="s">
        <v>5522</v>
      </c>
      <c r="B3104" s="16" t="s">
        <v>5523</v>
      </c>
      <c r="C3104" s="16" t="s">
        <v>5524</v>
      </c>
      <c r="D3104" s="16" t="s">
        <v>5525</v>
      </c>
      <c r="E3104" s="16" t="s">
        <v>5526</v>
      </c>
      <c r="F3104" s="16" t="s">
        <v>5586</v>
      </c>
    </row>
    <row r="3105">
      <c r="A3105" s="15">
        <v>26.0</v>
      </c>
      <c r="B3105" s="16" t="s">
        <v>8352</v>
      </c>
      <c r="C3105" s="17" t="s">
        <v>5830</v>
      </c>
      <c r="D3105" s="18">
        <v>109.29</v>
      </c>
      <c r="E3105" s="18">
        <v>153.0</v>
      </c>
      <c r="F3105" s="18">
        <v>12.0</v>
      </c>
    </row>
    <row r="3106">
      <c r="A3106" s="15">
        <v>27.0</v>
      </c>
      <c r="B3106" s="16" t="s">
        <v>8352</v>
      </c>
      <c r="C3106" s="17" t="s">
        <v>7184</v>
      </c>
      <c r="D3106" s="18">
        <v>57.86</v>
      </c>
      <c r="E3106" s="18">
        <v>81.0</v>
      </c>
      <c r="F3106" s="18">
        <v>12.0</v>
      </c>
    </row>
    <row r="3107">
      <c r="A3107" s="15">
        <v>28.0</v>
      </c>
      <c r="B3107" s="16" t="s">
        <v>8355</v>
      </c>
      <c r="C3107" s="17" t="s">
        <v>5654</v>
      </c>
      <c r="D3107" s="18">
        <v>96.43</v>
      </c>
      <c r="E3107" s="18">
        <v>135.0</v>
      </c>
      <c r="F3107" s="18">
        <v>12.0</v>
      </c>
    </row>
    <row r="3108">
      <c r="A3108" s="15">
        <v>29.0</v>
      </c>
      <c r="B3108" s="16" t="s">
        <v>8355</v>
      </c>
      <c r="C3108" s="17" t="s">
        <v>5830</v>
      </c>
      <c r="D3108" s="18">
        <v>124.29</v>
      </c>
      <c r="E3108" s="18">
        <v>174.0</v>
      </c>
      <c r="F3108" s="18">
        <v>12.0</v>
      </c>
    </row>
    <row r="3109">
      <c r="A3109" s="15">
        <v>30.0</v>
      </c>
      <c r="B3109" s="16" t="s">
        <v>2512</v>
      </c>
      <c r="C3109" s="16" t="s">
        <v>5558</v>
      </c>
      <c r="D3109" s="18">
        <v>79.32</v>
      </c>
      <c r="E3109" s="18">
        <v>117.0</v>
      </c>
      <c r="F3109" s="18">
        <v>18.0</v>
      </c>
    </row>
    <row r="3110">
      <c r="A3110" s="15">
        <v>31.0</v>
      </c>
      <c r="B3110" s="16" t="s">
        <v>2513</v>
      </c>
      <c r="C3110" s="16" t="s">
        <v>5558</v>
      </c>
      <c r="D3110" s="18">
        <v>155.93</v>
      </c>
      <c r="E3110" s="18">
        <v>230.0</v>
      </c>
      <c r="F3110" s="18">
        <v>18.0</v>
      </c>
    </row>
    <row r="3111">
      <c r="A3111" s="15">
        <v>32.0</v>
      </c>
      <c r="B3111" s="16" t="s">
        <v>8356</v>
      </c>
      <c r="C3111" s="17" t="s">
        <v>5536</v>
      </c>
      <c r="D3111" s="18">
        <v>91.79</v>
      </c>
      <c r="E3111" s="18">
        <v>128.5</v>
      </c>
      <c r="F3111" s="18">
        <v>12.0</v>
      </c>
    </row>
    <row r="3112">
      <c r="A3112" s="15">
        <v>33.0</v>
      </c>
      <c r="B3112" s="16" t="s">
        <v>8357</v>
      </c>
      <c r="C3112" s="17" t="s">
        <v>5536</v>
      </c>
      <c r="D3112" s="18">
        <v>175.0</v>
      </c>
      <c r="E3112" s="18">
        <v>245.0</v>
      </c>
      <c r="F3112" s="18">
        <v>12.0</v>
      </c>
    </row>
    <row r="3113">
      <c r="A3113" s="15">
        <v>34.0</v>
      </c>
      <c r="B3113" s="16" t="s">
        <v>8358</v>
      </c>
      <c r="C3113" s="17" t="s">
        <v>5536</v>
      </c>
      <c r="D3113" s="18">
        <v>294.28</v>
      </c>
      <c r="E3113" s="18">
        <v>412.0</v>
      </c>
      <c r="F3113" s="18">
        <v>12.0</v>
      </c>
    </row>
    <row r="3114">
      <c r="A3114" s="15">
        <v>35.0</v>
      </c>
      <c r="B3114" s="16" t="s">
        <v>8359</v>
      </c>
      <c r="C3114" s="17" t="s">
        <v>5536</v>
      </c>
      <c r="D3114" s="18">
        <v>52.86</v>
      </c>
      <c r="E3114" s="18">
        <v>74.0</v>
      </c>
      <c r="F3114" s="18">
        <v>12.0</v>
      </c>
    </row>
    <row r="3115">
      <c r="A3115" s="15">
        <v>36.0</v>
      </c>
      <c r="B3115" s="16" t="s">
        <v>8360</v>
      </c>
      <c r="C3115" s="17" t="s">
        <v>5632</v>
      </c>
      <c r="D3115" s="18">
        <v>78.57</v>
      </c>
      <c r="E3115" s="18">
        <v>110.0</v>
      </c>
      <c r="F3115" s="18">
        <v>12.0</v>
      </c>
    </row>
    <row r="3116">
      <c r="A3116" s="15">
        <v>37.0</v>
      </c>
      <c r="B3116" s="16" t="s">
        <v>8360</v>
      </c>
      <c r="C3116" s="17" t="s">
        <v>5633</v>
      </c>
      <c r="D3116" s="18">
        <v>54.21</v>
      </c>
      <c r="E3116" s="18">
        <v>75.9</v>
      </c>
      <c r="F3116" s="18">
        <v>12.0</v>
      </c>
    </row>
    <row r="3117">
      <c r="A3117" s="15">
        <v>38.0</v>
      </c>
      <c r="B3117" s="16" t="s">
        <v>8361</v>
      </c>
      <c r="C3117" s="17" t="s">
        <v>5653</v>
      </c>
      <c r="D3117" s="18">
        <v>72.14</v>
      </c>
      <c r="E3117" s="18">
        <v>101.0</v>
      </c>
      <c r="F3117" s="18">
        <v>12.0</v>
      </c>
    </row>
    <row r="3118">
      <c r="A3118" s="15">
        <v>39.0</v>
      </c>
      <c r="B3118" s="16" t="s">
        <v>8362</v>
      </c>
      <c r="C3118" s="17" t="s">
        <v>5636</v>
      </c>
      <c r="D3118" s="18">
        <v>114.29</v>
      </c>
      <c r="E3118" s="18">
        <v>160.0</v>
      </c>
      <c r="F3118" s="18">
        <v>12.0</v>
      </c>
    </row>
    <row r="3119">
      <c r="A3119" s="15">
        <v>40.0</v>
      </c>
      <c r="B3119" s="16" t="s">
        <v>8363</v>
      </c>
      <c r="C3119" s="17" t="s">
        <v>5653</v>
      </c>
      <c r="D3119" s="18">
        <v>108.57</v>
      </c>
      <c r="E3119" s="18">
        <v>152.0</v>
      </c>
      <c r="F3119" s="18">
        <v>12.0</v>
      </c>
    </row>
    <row r="3120">
      <c r="A3120" s="15">
        <v>41.0</v>
      </c>
      <c r="B3120" s="16" t="s">
        <v>8364</v>
      </c>
      <c r="C3120" s="17" t="s">
        <v>5655</v>
      </c>
      <c r="D3120" s="18">
        <v>75.0</v>
      </c>
      <c r="E3120" s="18">
        <v>105.0</v>
      </c>
      <c r="F3120" s="18">
        <v>12.0</v>
      </c>
    </row>
    <row r="3121">
      <c r="A3121" s="15">
        <v>42.0</v>
      </c>
      <c r="B3121" s="16" t="s">
        <v>8365</v>
      </c>
      <c r="C3121" s="17" t="s">
        <v>5636</v>
      </c>
      <c r="D3121" s="18">
        <v>23.57</v>
      </c>
      <c r="E3121" s="18">
        <v>33.0</v>
      </c>
      <c r="F3121" s="18">
        <v>12.0</v>
      </c>
    </row>
    <row r="3122">
      <c r="A3122" s="15">
        <v>43.0</v>
      </c>
      <c r="B3122" s="16" t="s">
        <v>8366</v>
      </c>
      <c r="C3122" s="17" t="s">
        <v>5636</v>
      </c>
      <c r="D3122" s="18">
        <v>42.86</v>
      </c>
      <c r="E3122" s="18">
        <v>60.0</v>
      </c>
      <c r="F3122" s="18">
        <v>12.0</v>
      </c>
    </row>
    <row r="3123">
      <c r="A3123" s="15">
        <v>44.0</v>
      </c>
      <c r="B3123" s="16" t="s">
        <v>8367</v>
      </c>
      <c r="C3123" s="17" t="s">
        <v>5536</v>
      </c>
      <c r="D3123" s="18">
        <v>57.14</v>
      </c>
      <c r="E3123" s="18">
        <v>80.0</v>
      </c>
      <c r="F3123" s="18">
        <v>12.0</v>
      </c>
    </row>
    <row r="3124">
      <c r="A3124" s="15">
        <v>45.0</v>
      </c>
      <c r="B3124" s="16" t="s">
        <v>8368</v>
      </c>
      <c r="C3124" s="17" t="s">
        <v>5536</v>
      </c>
      <c r="D3124" s="18">
        <v>124.29</v>
      </c>
      <c r="E3124" s="18">
        <v>174.0</v>
      </c>
      <c r="F3124" s="18">
        <v>12.0</v>
      </c>
    </row>
    <row r="3125">
      <c r="A3125" s="15">
        <v>46.0</v>
      </c>
      <c r="B3125" s="16" t="s">
        <v>8369</v>
      </c>
      <c r="C3125" s="17" t="s">
        <v>5536</v>
      </c>
      <c r="D3125" s="18">
        <v>74.29</v>
      </c>
      <c r="E3125" s="18">
        <v>104.0</v>
      </c>
      <c r="F3125" s="18">
        <v>12.0</v>
      </c>
    </row>
    <row r="3126">
      <c r="A3126" s="15">
        <v>47.0</v>
      </c>
      <c r="B3126" s="16" t="s">
        <v>8370</v>
      </c>
      <c r="C3126" s="17" t="s">
        <v>7184</v>
      </c>
      <c r="D3126" s="18">
        <v>53.21</v>
      </c>
      <c r="E3126" s="18">
        <v>74.5</v>
      </c>
      <c r="F3126" s="18">
        <v>12.0</v>
      </c>
    </row>
    <row r="3127">
      <c r="A3127" s="15">
        <v>48.0</v>
      </c>
      <c r="B3127" s="16" t="s">
        <v>8371</v>
      </c>
      <c r="C3127" s="17" t="s">
        <v>5536</v>
      </c>
      <c r="D3127" s="18">
        <v>115.32</v>
      </c>
      <c r="E3127" s="18">
        <v>160.0</v>
      </c>
      <c r="F3127" s="18">
        <v>12.0</v>
      </c>
    </row>
    <row r="3128">
      <c r="A3128" s="15">
        <v>49.0</v>
      </c>
      <c r="B3128" s="16" t="s">
        <v>8372</v>
      </c>
      <c r="C3128" s="17" t="s">
        <v>5536</v>
      </c>
      <c r="D3128" s="18">
        <v>94.29</v>
      </c>
      <c r="E3128" s="18">
        <v>132.0</v>
      </c>
      <c r="F3128" s="18">
        <v>12.0</v>
      </c>
    </row>
    <row r="3129">
      <c r="A3129" s="15">
        <v>50.0</v>
      </c>
      <c r="B3129" s="16" t="s">
        <v>8373</v>
      </c>
      <c r="C3129" s="17" t="s">
        <v>5830</v>
      </c>
      <c r="D3129" s="18">
        <v>95.71</v>
      </c>
      <c r="E3129" s="18">
        <v>134.0</v>
      </c>
      <c r="F3129" s="18">
        <v>12.0</v>
      </c>
    </row>
    <row r="3130">
      <c r="A3130" s="15">
        <v>51.0</v>
      </c>
      <c r="B3130" s="16" t="s">
        <v>8373</v>
      </c>
      <c r="C3130" s="17" t="s">
        <v>5831</v>
      </c>
      <c r="D3130" s="18">
        <v>107.86</v>
      </c>
      <c r="E3130" s="18">
        <v>151.0</v>
      </c>
      <c r="F3130" s="18">
        <v>12.0</v>
      </c>
    </row>
    <row r="3131">
      <c r="A3131" s="15">
        <v>52.0</v>
      </c>
      <c r="B3131" s="16" t="s">
        <v>8374</v>
      </c>
      <c r="C3131" s="17" t="s">
        <v>6659</v>
      </c>
      <c r="D3131" s="18">
        <v>275.32</v>
      </c>
      <c r="E3131" s="18">
        <v>382.0</v>
      </c>
      <c r="F3131" s="18">
        <v>12.0</v>
      </c>
    </row>
    <row r="3132">
      <c r="A3132" s="15">
        <v>53.0</v>
      </c>
      <c r="B3132" s="16" t="s">
        <v>8375</v>
      </c>
      <c r="C3132" s="17" t="s">
        <v>5546</v>
      </c>
      <c r="D3132" s="18">
        <v>72.32</v>
      </c>
      <c r="E3132" s="18">
        <v>101.25</v>
      </c>
      <c r="F3132" s="18">
        <v>12.0</v>
      </c>
    </row>
    <row r="3133">
      <c r="A3133" s="15">
        <v>54.0</v>
      </c>
      <c r="B3133" s="16" t="s">
        <v>8376</v>
      </c>
      <c r="C3133" s="17" t="s">
        <v>7191</v>
      </c>
      <c r="D3133" s="18">
        <v>80.36</v>
      </c>
      <c r="E3133" s="18">
        <v>112.5</v>
      </c>
      <c r="F3133" s="18">
        <v>12.0</v>
      </c>
    </row>
    <row r="3134">
      <c r="A3134" s="15">
        <v>55.0</v>
      </c>
      <c r="B3134" s="16" t="s">
        <v>8376</v>
      </c>
      <c r="C3134" s="17" t="s">
        <v>5553</v>
      </c>
      <c r="D3134" s="18">
        <v>75.0</v>
      </c>
      <c r="E3134" s="18">
        <v>105.0</v>
      </c>
      <c r="F3134" s="18">
        <v>12.0</v>
      </c>
    </row>
    <row r="3135">
      <c r="A3135" s="15">
        <v>56.0</v>
      </c>
      <c r="B3135" s="16" t="s">
        <v>8377</v>
      </c>
      <c r="C3135" s="17" t="s">
        <v>5536</v>
      </c>
      <c r="D3135" s="18">
        <v>55.51</v>
      </c>
      <c r="E3135" s="18">
        <v>76.0</v>
      </c>
      <c r="F3135" s="18">
        <v>12.0</v>
      </c>
    </row>
    <row r="3136">
      <c r="A3136" s="15">
        <v>57.0</v>
      </c>
      <c r="B3136" s="16" t="s">
        <v>8378</v>
      </c>
      <c r="C3136" s="17" t="s">
        <v>5536</v>
      </c>
      <c r="D3136" s="18">
        <v>84.29</v>
      </c>
      <c r="E3136" s="18">
        <v>118.0</v>
      </c>
      <c r="F3136" s="18">
        <v>12.0</v>
      </c>
    </row>
    <row r="3137">
      <c r="A3137" s="15">
        <v>58.0</v>
      </c>
      <c r="B3137" s="16" t="s">
        <v>8379</v>
      </c>
      <c r="C3137" s="17" t="s">
        <v>5536</v>
      </c>
      <c r="D3137" s="18">
        <v>85.78</v>
      </c>
      <c r="E3137" s="18">
        <v>119.0</v>
      </c>
      <c r="F3137" s="18">
        <v>12.0</v>
      </c>
    </row>
    <row r="3138">
      <c r="A3138" s="15">
        <v>59.0</v>
      </c>
      <c r="B3138" s="16" t="s">
        <v>2541</v>
      </c>
      <c r="C3138" s="16" t="s">
        <v>5558</v>
      </c>
      <c r="D3138" s="18">
        <v>130.17</v>
      </c>
      <c r="E3138" s="18">
        <v>192.0</v>
      </c>
      <c r="F3138" s="18">
        <v>18.0</v>
      </c>
    </row>
    <row r="3139">
      <c r="A3139" s="15">
        <v>60.0</v>
      </c>
      <c r="B3139" s="16" t="s">
        <v>8380</v>
      </c>
      <c r="C3139" s="17" t="s">
        <v>5636</v>
      </c>
      <c r="D3139" s="18">
        <v>46.43</v>
      </c>
      <c r="E3139" s="18">
        <v>65.0</v>
      </c>
      <c r="F3139" s="18">
        <v>12.0</v>
      </c>
    </row>
    <row r="3140">
      <c r="A3140" s="15">
        <v>61.0</v>
      </c>
      <c r="B3140" s="16" t="s">
        <v>8381</v>
      </c>
      <c r="C3140" s="17" t="s">
        <v>5636</v>
      </c>
      <c r="D3140" s="18">
        <v>150.64</v>
      </c>
      <c r="E3140" s="18">
        <v>209.0</v>
      </c>
      <c r="F3140" s="18">
        <v>12.0</v>
      </c>
    </row>
    <row r="3141">
      <c r="A3141" s="15">
        <v>62.0</v>
      </c>
      <c r="B3141" s="16" t="s">
        <v>8382</v>
      </c>
      <c r="C3141" s="17" t="s">
        <v>5636</v>
      </c>
      <c r="D3141" s="18">
        <v>63.57</v>
      </c>
      <c r="E3141" s="18">
        <v>89.0</v>
      </c>
      <c r="F3141" s="18">
        <v>12.0</v>
      </c>
    </row>
    <row r="3142">
      <c r="A3142" s="15">
        <v>63.0</v>
      </c>
      <c r="B3142" s="16" t="s">
        <v>8383</v>
      </c>
      <c r="C3142" s="17" t="s">
        <v>5636</v>
      </c>
      <c r="D3142" s="18">
        <v>95.0</v>
      </c>
      <c r="E3142" s="18">
        <v>133.0</v>
      </c>
      <c r="F3142" s="18">
        <v>12.0</v>
      </c>
    </row>
    <row r="3143">
      <c r="A3143" s="6"/>
      <c r="B3143" s="7"/>
      <c r="C3143" s="7"/>
      <c r="D3143" s="7"/>
      <c r="E3143" s="7"/>
      <c r="F3143" s="8"/>
    </row>
    <row r="3144">
      <c r="A3144" s="9" t="s">
        <v>2547</v>
      </c>
      <c r="B3144" s="10"/>
      <c r="C3144" s="10"/>
      <c r="D3144" s="10"/>
      <c r="E3144" s="10"/>
      <c r="F3144" s="10"/>
    </row>
    <row r="3145">
      <c r="A3145" s="11">
        <v>1.0</v>
      </c>
      <c r="B3145" s="12" t="s">
        <v>8384</v>
      </c>
      <c r="C3145" s="12" t="s">
        <v>2290</v>
      </c>
      <c r="D3145" s="14">
        <v>192.86</v>
      </c>
      <c r="E3145" s="14">
        <v>270.0</v>
      </c>
      <c r="F3145" s="14">
        <v>12.0</v>
      </c>
    </row>
    <row r="3146">
      <c r="A3146" s="15">
        <v>2.0</v>
      </c>
      <c r="B3146" s="16" t="s">
        <v>8385</v>
      </c>
      <c r="C3146" s="17" t="s">
        <v>8386</v>
      </c>
      <c r="D3146" s="18">
        <v>275.71</v>
      </c>
      <c r="E3146" s="18">
        <v>386.0</v>
      </c>
      <c r="F3146" s="18">
        <v>12.0</v>
      </c>
    </row>
    <row r="3147">
      <c r="A3147" s="15">
        <v>3.0</v>
      </c>
      <c r="B3147" s="16" t="s">
        <v>8387</v>
      </c>
      <c r="C3147" s="17" t="s">
        <v>5828</v>
      </c>
      <c r="D3147" s="18">
        <v>212.14</v>
      </c>
      <c r="E3147" s="18">
        <v>297.0</v>
      </c>
      <c r="F3147" s="18">
        <v>12.0</v>
      </c>
    </row>
    <row r="3148">
      <c r="A3148" s="15">
        <v>4.0</v>
      </c>
      <c r="B3148" s="16" t="s">
        <v>8388</v>
      </c>
      <c r="C3148" s="17" t="s">
        <v>6619</v>
      </c>
      <c r="D3148" s="18">
        <v>92.86</v>
      </c>
      <c r="E3148" s="18">
        <v>130.0</v>
      </c>
      <c r="F3148" s="18">
        <v>12.0</v>
      </c>
    </row>
    <row r="3149">
      <c r="A3149" s="15">
        <v>5.0</v>
      </c>
      <c r="B3149" s="16" t="s">
        <v>8389</v>
      </c>
      <c r="C3149" s="17" t="s">
        <v>6619</v>
      </c>
      <c r="D3149" s="18">
        <v>175.21</v>
      </c>
      <c r="E3149" s="18">
        <v>245.3</v>
      </c>
      <c r="F3149" s="18">
        <v>12.0</v>
      </c>
    </row>
    <row r="3150">
      <c r="A3150" s="15">
        <v>6.0</v>
      </c>
      <c r="B3150" s="16" t="s">
        <v>8390</v>
      </c>
      <c r="C3150" s="17" t="s">
        <v>8391</v>
      </c>
      <c r="D3150" s="18">
        <v>335.59</v>
      </c>
      <c r="E3150" s="18">
        <v>495.0</v>
      </c>
      <c r="F3150" s="18">
        <v>18.0</v>
      </c>
    </row>
    <row r="3151">
      <c r="A3151" s="15">
        <v>7.0</v>
      </c>
      <c r="B3151" s="16" t="s">
        <v>8392</v>
      </c>
      <c r="C3151" s="17" t="s">
        <v>8393</v>
      </c>
      <c r="D3151" s="18">
        <v>514.29</v>
      </c>
      <c r="E3151" s="18">
        <v>720.0</v>
      </c>
      <c r="F3151" s="18">
        <v>12.0</v>
      </c>
    </row>
    <row r="3152">
      <c r="A3152" s="15">
        <v>8.0</v>
      </c>
      <c r="B3152" s="16" t="s">
        <v>8394</v>
      </c>
      <c r="C3152" s="16" t="s">
        <v>8395</v>
      </c>
      <c r="D3152" s="18">
        <v>372.88</v>
      </c>
      <c r="E3152" s="18">
        <v>550.0</v>
      </c>
      <c r="F3152" s="18">
        <v>18.0</v>
      </c>
    </row>
    <row r="3153">
      <c r="A3153" s="15">
        <v>9.0</v>
      </c>
      <c r="B3153" s="16" t="s">
        <v>8396</v>
      </c>
      <c r="C3153" s="17" t="s">
        <v>8397</v>
      </c>
      <c r="D3153" s="18">
        <v>642.86</v>
      </c>
      <c r="E3153" s="18">
        <v>900.0</v>
      </c>
      <c r="F3153" s="18">
        <v>12.0</v>
      </c>
    </row>
    <row r="3154">
      <c r="A3154" s="15">
        <v>10.0</v>
      </c>
      <c r="B3154" s="16" t="s">
        <v>8394</v>
      </c>
      <c r="C3154" s="17" t="s">
        <v>8398</v>
      </c>
      <c r="D3154" s="18">
        <v>372.88</v>
      </c>
      <c r="E3154" s="18">
        <v>550.0</v>
      </c>
      <c r="F3154" s="18">
        <v>18.0</v>
      </c>
    </row>
    <row r="3155">
      <c r="A3155" s="15">
        <v>11.0</v>
      </c>
      <c r="B3155" s="16" t="s">
        <v>8394</v>
      </c>
      <c r="C3155" s="17" t="s">
        <v>8399</v>
      </c>
      <c r="D3155" s="18">
        <v>707.14</v>
      </c>
      <c r="E3155" s="18">
        <v>990.0</v>
      </c>
      <c r="F3155" s="18">
        <v>12.0</v>
      </c>
    </row>
    <row r="3156">
      <c r="A3156" s="15">
        <v>12.0</v>
      </c>
      <c r="B3156" s="16" t="s">
        <v>8394</v>
      </c>
      <c r="C3156" s="17" t="s">
        <v>8400</v>
      </c>
      <c r="D3156" s="18">
        <v>713.57</v>
      </c>
      <c r="E3156" s="18">
        <v>999.0</v>
      </c>
      <c r="F3156" s="18">
        <v>12.0</v>
      </c>
    </row>
    <row r="3157">
      <c r="A3157" s="15">
        <v>13.0</v>
      </c>
      <c r="B3157" s="16" t="s">
        <v>8401</v>
      </c>
      <c r="C3157" s="17" t="s">
        <v>8402</v>
      </c>
      <c r="D3157" s="18">
        <v>203.39</v>
      </c>
      <c r="E3157" s="18">
        <v>300.0</v>
      </c>
      <c r="F3157" s="18">
        <v>18.0</v>
      </c>
    </row>
    <row r="3158">
      <c r="A3158" s="15">
        <v>14.0</v>
      </c>
      <c r="B3158" s="16" t="s">
        <v>8403</v>
      </c>
      <c r="C3158" s="17" t="s">
        <v>8404</v>
      </c>
      <c r="D3158" s="18">
        <v>267.8</v>
      </c>
      <c r="E3158" s="18">
        <v>395.0</v>
      </c>
      <c r="F3158" s="18">
        <v>18.0</v>
      </c>
    </row>
    <row r="3159">
      <c r="A3159" s="15">
        <v>15.0</v>
      </c>
      <c r="B3159" s="16" t="s">
        <v>8405</v>
      </c>
      <c r="C3159" s="17" t="s">
        <v>8406</v>
      </c>
      <c r="D3159" s="18">
        <v>244.07</v>
      </c>
      <c r="E3159" s="18">
        <v>360.0</v>
      </c>
      <c r="F3159" s="18">
        <v>18.0</v>
      </c>
    </row>
    <row r="3160">
      <c r="A3160" s="6"/>
      <c r="B3160" s="7"/>
      <c r="C3160" s="7"/>
      <c r="D3160" s="7"/>
      <c r="E3160" s="7"/>
      <c r="F3160" s="8"/>
    </row>
    <row r="3161">
      <c r="A3161" s="9" t="s">
        <v>2563</v>
      </c>
      <c r="B3161" s="10"/>
      <c r="C3161" s="10"/>
      <c r="D3161" s="10"/>
      <c r="E3161" s="10"/>
      <c r="F3161" s="10"/>
    </row>
    <row r="3162">
      <c r="A3162" s="11">
        <v>1.0</v>
      </c>
      <c r="B3162" s="12" t="s">
        <v>8407</v>
      </c>
      <c r="C3162" s="12" t="s">
        <v>2290</v>
      </c>
      <c r="D3162" s="14">
        <v>178.57</v>
      </c>
      <c r="E3162" s="14">
        <v>250.0</v>
      </c>
      <c r="F3162" s="14">
        <v>12.0</v>
      </c>
    </row>
    <row r="3163">
      <c r="A3163" s="15">
        <v>2.0</v>
      </c>
      <c r="B3163" s="16" t="s">
        <v>8408</v>
      </c>
      <c r="C3163" s="17" t="s">
        <v>8409</v>
      </c>
      <c r="D3163" s="18">
        <v>305.09</v>
      </c>
      <c r="E3163" s="18">
        <v>450.0</v>
      </c>
      <c r="F3163" s="18">
        <v>18.0</v>
      </c>
    </row>
    <row r="3164">
      <c r="A3164" s="15">
        <v>3.0</v>
      </c>
      <c r="B3164" s="16" t="s">
        <v>8410</v>
      </c>
      <c r="C3164" s="17" t="s">
        <v>8411</v>
      </c>
      <c r="D3164" s="18">
        <v>410.85</v>
      </c>
      <c r="E3164" s="18">
        <v>606.0</v>
      </c>
      <c r="F3164" s="18">
        <v>18.0</v>
      </c>
    </row>
    <row r="3165">
      <c r="A3165" s="15">
        <v>4.0</v>
      </c>
      <c r="B3165" s="16" t="s">
        <v>8412</v>
      </c>
      <c r="C3165" s="17" t="s">
        <v>5828</v>
      </c>
      <c r="D3165" s="18">
        <v>192.86</v>
      </c>
      <c r="E3165" s="18">
        <v>270.0</v>
      </c>
      <c r="F3165" s="18">
        <v>12.0</v>
      </c>
    </row>
    <row r="3166">
      <c r="A3166" s="6"/>
      <c r="B3166" s="7"/>
      <c r="C3166" s="7"/>
      <c r="D3166" s="7"/>
      <c r="E3166" s="8"/>
      <c r="F3166" s="16" t="s">
        <v>8413</v>
      </c>
    </row>
    <row r="3167">
      <c r="A3167" s="6"/>
      <c r="B3167" s="7"/>
      <c r="C3167" s="7"/>
      <c r="D3167" s="7"/>
      <c r="E3167" s="7"/>
      <c r="F3167" s="8"/>
    </row>
    <row r="3168">
      <c r="A3168" s="6"/>
      <c r="B3168" s="7"/>
      <c r="C3168" s="7"/>
      <c r="D3168" s="7"/>
      <c r="E3168" s="7"/>
      <c r="F3168" s="8"/>
    </row>
    <row r="3169">
      <c r="A3169" s="6"/>
      <c r="B3169" s="7"/>
      <c r="C3169" s="7"/>
      <c r="D3169" s="7"/>
      <c r="E3169" s="7"/>
      <c r="F3169" s="8"/>
    </row>
    <row r="3170">
      <c r="A3170" s="6"/>
      <c r="B3170" s="7"/>
      <c r="C3170" s="7"/>
      <c r="D3170" s="7"/>
      <c r="E3170" s="7"/>
      <c r="F3170" s="8"/>
    </row>
    <row r="3171">
      <c r="A3171" s="9" t="s">
        <v>5582</v>
      </c>
      <c r="B3171" s="10"/>
      <c r="C3171" s="10"/>
      <c r="D3171" s="10"/>
      <c r="E3171" s="10"/>
      <c r="F3171" s="10"/>
    </row>
    <row r="3172">
      <c r="A3172" s="19" t="s">
        <v>5583</v>
      </c>
    </row>
    <row r="3173">
      <c r="A3173" s="6"/>
      <c r="B3173" s="7"/>
      <c r="C3173" s="7"/>
      <c r="D3173" s="8"/>
      <c r="E3173" s="12" t="s">
        <v>5584</v>
      </c>
      <c r="F3173" s="12" t="s">
        <v>8414</v>
      </c>
    </row>
    <row r="3174">
      <c r="A3174" s="20" t="s">
        <v>5522</v>
      </c>
      <c r="B3174" s="16" t="s">
        <v>5523</v>
      </c>
      <c r="C3174" s="16" t="s">
        <v>5524</v>
      </c>
      <c r="D3174" s="16" t="s">
        <v>5525</v>
      </c>
      <c r="E3174" s="16" t="s">
        <v>5526</v>
      </c>
      <c r="F3174" s="16" t="s">
        <v>5586</v>
      </c>
    </row>
    <row r="3175">
      <c r="A3175" s="15">
        <v>5.0</v>
      </c>
      <c r="B3175" s="16" t="s">
        <v>8415</v>
      </c>
      <c r="C3175" s="17" t="s">
        <v>8416</v>
      </c>
      <c r="D3175" s="18">
        <v>212.14</v>
      </c>
      <c r="E3175" s="18">
        <v>297.0</v>
      </c>
      <c r="F3175" s="18">
        <v>12.0</v>
      </c>
    </row>
    <row r="3176">
      <c r="A3176" s="15">
        <v>6.0</v>
      </c>
      <c r="B3176" s="16" t="s">
        <v>8417</v>
      </c>
      <c r="C3176" s="17" t="s">
        <v>8418</v>
      </c>
      <c r="D3176" s="18">
        <v>1016.95</v>
      </c>
      <c r="E3176" s="18">
        <v>1500.0</v>
      </c>
      <c r="F3176" s="18">
        <v>18.0</v>
      </c>
    </row>
    <row r="3177">
      <c r="A3177" s="15">
        <v>7.0</v>
      </c>
      <c r="B3177" s="16" t="s">
        <v>8417</v>
      </c>
      <c r="C3177" s="16" t="s">
        <v>8419</v>
      </c>
      <c r="D3177" s="18">
        <v>423.73</v>
      </c>
      <c r="E3177" s="18">
        <v>625.0</v>
      </c>
      <c r="F3177" s="18">
        <v>18.0</v>
      </c>
    </row>
    <row r="3178">
      <c r="A3178" s="15">
        <v>8.0</v>
      </c>
      <c r="B3178" s="16" t="s">
        <v>8417</v>
      </c>
      <c r="C3178" s="16" t="s">
        <v>8420</v>
      </c>
      <c r="D3178" s="18">
        <v>444.07</v>
      </c>
      <c r="E3178" s="18">
        <v>655.0</v>
      </c>
      <c r="F3178" s="18">
        <v>18.0</v>
      </c>
    </row>
    <row r="3179">
      <c r="A3179" s="15">
        <v>9.0</v>
      </c>
      <c r="B3179" s="16" t="s">
        <v>8421</v>
      </c>
      <c r="C3179" s="17" t="s">
        <v>8422</v>
      </c>
      <c r="D3179" s="18">
        <v>738.98</v>
      </c>
      <c r="E3179" s="18">
        <v>1090.0</v>
      </c>
      <c r="F3179" s="18">
        <v>18.0</v>
      </c>
    </row>
    <row r="3180">
      <c r="A3180" s="15">
        <v>10.0</v>
      </c>
      <c r="B3180" s="16" t="s">
        <v>8423</v>
      </c>
      <c r="C3180" s="17" t="s">
        <v>8424</v>
      </c>
      <c r="D3180" s="18">
        <v>271.19</v>
      </c>
      <c r="E3180" s="18">
        <v>400.0</v>
      </c>
      <c r="F3180" s="18">
        <v>18.0</v>
      </c>
    </row>
    <row r="3181">
      <c r="A3181" s="15">
        <v>11.0</v>
      </c>
      <c r="B3181" s="16" t="s">
        <v>8423</v>
      </c>
      <c r="C3181" s="17" t="s">
        <v>8425</v>
      </c>
      <c r="D3181" s="18">
        <v>409.49</v>
      </c>
      <c r="E3181" s="18">
        <v>604.0</v>
      </c>
      <c r="F3181" s="18">
        <v>18.0</v>
      </c>
    </row>
    <row r="3182">
      <c r="A3182" s="15">
        <v>12.0</v>
      </c>
      <c r="B3182" s="16" t="s">
        <v>8426</v>
      </c>
      <c r="C3182" s="17" t="s">
        <v>5636</v>
      </c>
      <c r="D3182" s="18">
        <v>812.88</v>
      </c>
      <c r="E3182" s="18">
        <v>1199.0</v>
      </c>
      <c r="F3182" s="18">
        <v>18.0</v>
      </c>
    </row>
    <row r="3183">
      <c r="A3183" s="15">
        <v>13.0</v>
      </c>
      <c r="B3183" s="16" t="s">
        <v>5953</v>
      </c>
      <c r="C3183" s="17" t="s">
        <v>8427</v>
      </c>
      <c r="D3183" s="18">
        <v>1098.31</v>
      </c>
      <c r="E3183" s="18">
        <v>1620.0</v>
      </c>
      <c r="F3183" s="18">
        <v>18.0</v>
      </c>
    </row>
    <row r="3184">
      <c r="A3184" s="15">
        <v>14.0</v>
      </c>
      <c r="B3184" s="16" t="s">
        <v>8428</v>
      </c>
      <c r="C3184" s="17" t="s">
        <v>8429</v>
      </c>
      <c r="D3184" s="18">
        <v>611.53</v>
      </c>
      <c r="E3184" s="18">
        <v>902.0</v>
      </c>
      <c r="F3184" s="18">
        <v>18.0</v>
      </c>
    </row>
    <row r="3185">
      <c r="A3185" s="15">
        <v>15.0</v>
      </c>
      <c r="B3185" s="16" t="s">
        <v>8430</v>
      </c>
      <c r="C3185" s="17" t="s">
        <v>8431</v>
      </c>
      <c r="D3185" s="18">
        <v>467.8</v>
      </c>
      <c r="E3185" s="18">
        <v>690.0</v>
      </c>
      <c r="F3185" s="18">
        <v>18.0</v>
      </c>
    </row>
    <row r="3186">
      <c r="A3186" s="15">
        <v>16.0</v>
      </c>
      <c r="B3186" s="16" t="s">
        <v>8430</v>
      </c>
      <c r="C3186" s="17" t="s">
        <v>8432</v>
      </c>
      <c r="D3186" s="18">
        <v>508.48</v>
      </c>
      <c r="E3186" s="18">
        <v>750.0</v>
      </c>
      <c r="F3186" s="18">
        <v>18.0</v>
      </c>
    </row>
    <row r="3187">
      <c r="A3187" s="6"/>
      <c r="B3187" s="7"/>
      <c r="C3187" s="7"/>
      <c r="D3187" s="7"/>
      <c r="E3187" s="7"/>
      <c r="F3187" s="8"/>
    </row>
    <row r="3188">
      <c r="A3188" s="9" t="s">
        <v>2580</v>
      </c>
      <c r="B3188" s="10"/>
      <c r="C3188" s="10"/>
      <c r="D3188" s="10"/>
      <c r="E3188" s="10"/>
      <c r="F3188" s="10"/>
    </row>
    <row r="3189">
      <c r="A3189" s="11">
        <v>1.0</v>
      </c>
      <c r="B3189" s="12" t="s">
        <v>8433</v>
      </c>
      <c r="C3189" s="13" t="s">
        <v>5828</v>
      </c>
      <c r="D3189" s="14">
        <v>256.14</v>
      </c>
      <c r="E3189" s="14">
        <v>358.6</v>
      </c>
      <c r="F3189" s="14">
        <v>12.0</v>
      </c>
    </row>
    <row r="3190">
      <c r="A3190" s="15">
        <v>2.0</v>
      </c>
      <c r="B3190" s="16" t="s">
        <v>8434</v>
      </c>
      <c r="C3190" s="17" t="s">
        <v>5636</v>
      </c>
      <c r="D3190" s="18">
        <v>178.57</v>
      </c>
      <c r="E3190" s="18">
        <v>250.0</v>
      </c>
      <c r="F3190" s="18">
        <v>12.0</v>
      </c>
    </row>
    <row r="3191">
      <c r="A3191" s="15">
        <v>3.0</v>
      </c>
      <c r="B3191" s="16" t="s">
        <v>8435</v>
      </c>
      <c r="C3191" s="17" t="s">
        <v>5536</v>
      </c>
      <c r="D3191" s="18">
        <v>90.36</v>
      </c>
      <c r="E3191" s="18">
        <v>126.5</v>
      </c>
      <c r="F3191" s="18">
        <v>12.0</v>
      </c>
    </row>
    <row r="3192">
      <c r="A3192" s="15">
        <v>4.0</v>
      </c>
      <c r="B3192" s="16" t="s">
        <v>8436</v>
      </c>
      <c r="C3192" s="17" t="s">
        <v>8437</v>
      </c>
      <c r="D3192" s="18">
        <v>368.0</v>
      </c>
      <c r="E3192" s="18">
        <v>483.0</v>
      </c>
      <c r="F3192" s="18">
        <v>5.0</v>
      </c>
    </row>
    <row r="3193">
      <c r="A3193" s="15">
        <v>5.0</v>
      </c>
      <c r="B3193" s="16" t="s">
        <v>8438</v>
      </c>
      <c r="C3193" s="17" t="s">
        <v>8439</v>
      </c>
      <c r="D3193" s="18">
        <v>185.14</v>
      </c>
      <c r="E3193" s="18">
        <v>243.0</v>
      </c>
      <c r="F3193" s="18">
        <v>5.0</v>
      </c>
    </row>
    <row r="3194">
      <c r="A3194" s="15">
        <v>6.0</v>
      </c>
      <c r="B3194" s="16" t="s">
        <v>8440</v>
      </c>
      <c r="C3194" s="17" t="s">
        <v>5536</v>
      </c>
      <c r="D3194" s="18">
        <v>85.71</v>
      </c>
      <c r="E3194" s="18">
        <v>120.0</v>
      </c>
      <c r="F3194" s="18">
        <v>12.0</v>
      </c>
    </row>
    <row r="3195">
      <c r="A3195" s="15">
        <v>7.0</v>
      </c>
      <c r="B3195" s="16" t="s">
        <v>8441</v>
      </c>
      <c r="C3195" s="17" t="s">
        <v>5614</v>
      </c>
      <c r="D3195" s="18">
        <v>101.43</v>
      </c>
      <c r="E3195" s="18">
        <v>142.0</v>
      </c>
      <c r="F3195" s="18">
        <v>12.0</v>
      </c>
    </row>
    <row r="3196">
      <c r="A3196" s="15">
        <v>8.0</v>
      </c>
      <c r="B3196" s="16" t="s">
        <v>8442</v>
      </c>
      <c r="C3196" s="17" t="s">
        <v>5614</v>
      </c>
      <c r="D3196" s="18">
        <v>198.79</v>
      </c>
      <c r="E3196" s="18">
        <v>278.3</v>
      </c>
      <c r="F3196" s="18">
        <v>12.0</v>
      </c>
    </row>
    <row r="3197">
      <c r="A3197" s="15">
        <v>9.0</v>
      </c>
      <c r="B3197" s="16" t="s">
        <v>8443</v>
      </c>
      <c r="C3197" s="17" t="s">
        <v>8444</v>
      </c>
      <c r="D3197" s="18">
        <v>237.29</v>
      </c>
      <c r="E3197" s="18">
        <v>350.0</v>
      </c>
      <c r="F3197" s="18">
        <v>18.0</v>
      </c>
    </row>
    <row r="3198">
      <c r="A3198" s="6"/>
      <c r="B3198" s="7"/>
      <c r="C3198" s="7"/>
      <c r="D3198" s="7"/>
      <c r="E3198" s="7"/>
      <c r="F3198" s="8"/>
    </row>
    <row r="3199">
      <c r="A3199" s="9" t="s">
        <v>8445</v>
      </c>
      <c r="B3199" s="10"/>
      <c r="C3199" s="10"/>
      <c r="D3199" s="10"/>
      <c r="E3199" s="10"/>
      <c r="F3199" s="10"/>
    </row>
    <row r="3200">
      <c r="A3200" s="11">
        <v>1.0</v>
      </c>
      <c r="B3200" s="12" t="s">
        <v>8446</v>
      </c>
      <c r="C3200" s="13" t="s">
        <v>5614</v>
      </c>
      <c r="D3200" s="14">
        <v>63.57</v>
      </c>
      <c r="E3200" s="14">
        <v>89.0</v>
      </c>
      <c r="F3200" s="14">
        <v>12.0</v>
      </c>
    </row>
    <row r="3201">
      <c r="A3201" s="15">
        <v>2.0</v>
      </c>
      <c r="B3201" s="16" t="s">
        <v>8447</v>
      </c>
      <c r="C3201" s="17" t="s">
        <v>5636</v>
      </c>
      <c r="D3201" s="18">
        <v>100.0</v>
      </c>
      <c r="E3201" s="18">
        <v>140.0</v>
      </c>
      <c r="F3201" s="18">
        <v>12.0</v>
      </c>
    </row>
    <row r="3202">
      <c r="A3202" s="15">
        <v>3.0</v>
      </c>
      <c r="B3202" s="16" t="s">
        <v>8448</v>
      </c>
      <c r="C3202" s="17" t="s">
        <v>6127</v>
      </c>
      <c r="D3202" s="18">
        <v>114.29</v>
      </c>
      <c r="E3202" s="18">
        <v>160.0</v>
      </c>
      <c r="F3202" s="18">
        <v>12.0</v>
      </c>
    </row>
    <row r="3203">
      <c r="A3203" s="15">
        <v>4.0</v>
      </c>
      <c r="B3203" s="16" t="s">
        <v>8449</v>
      </c>
      <c r="C3203" s="17" t="s">
        <v>5536</v>
      </c>
      <c r="D3203" s="18">
        <v>121.43</v>
      </c>
      <c r="E3203" s="18">
        <v>170.0</v>
      </c>
      <c r="F3203" s="18">
        <v>12.0</v>
      </c>
    </row>
    <row r="3204">
      <c r="A3204" s="15">
        <v>5.0</v>
      </c>
      <c r="B3204" s="16" t="s">
        <v>8450</v>
      </c>
      <c r="C3204" s="17" t="s">
        <v>6393</v>
      </c>
      <c r="D3204" s="18">
        <v>85.71</v>
      </c>
      <c r="E3204" s="18">
        <v>120.0</v>
      </c>
      <c r="F3204" s="18">
        <v>12.0</v>
      </c>
    </row>
    <row r="3205">
      <c r="A3205" s="15">
        <v>6.0</v>
      </c>
      <c r="B3205" s="16" t="s">
        <v>8451</v>
      </c>
      <c r="C3205" s="17" t="s">
        <v>5636</v>
      </c>
      <c r="D3205" s="18">
        <v>67.86</v>
      </c>
      <c r="E3205" s="18">
        <v>95.0</v>
      </c>
      <c r="F3205" s="18">
        <v>12.0</v>
      </c>
    </row>
    <row r="3206">
      <c r="A3206" s="15">
        <v>7.0</v>
      </c>
      <c r="B3206" s="16" t="s">
        <v>8452</v>
      </c>
      <c r="C3206" s="17" t="s">
        <v>5768</v>
      </c>
      <c r="D3206" s="18">
        <v>58.57</v>
      </c>
      <c r="E3206" s="18">
        <v>82.0</v>
      </c>
      <c r="F3206" s="18">
        <v>12.0</v>
      </c>
    </row>
    <row r="3207">
      <c r="A3207" s="15">
        <v>8.0</v>
      </c>
      <c r="B3207" s="16" t="s">
        <v>8453</v>
      </c>
      <c r="C3207" s="17" t="s">
        <v>5804</v>
      </c>
      <c r="D3207" s="18">
        <v>35.0</v>
      </c>
      <c r="E3207" s="18">
        <v>49.0</v>
      </c>
      <c r="F3207" s="18">
        <v>12.0</v>
      </c>
    </row>
    <row r="3208">
      <c r="A3208" s="15">
        <v>9.0</v>
      </c>
      <c r="B3208" s="16" t="s">
        <v>8454</v>
      </c>
      <c r="C3208" s="17" t="s">
        <v>5768</v>
      </c>
      <c r="D3208" s="18">
        <v>63.57</v>
      </c>
      <c r="E3208" s="18">
        <v>89.0</v>
      </c>
      <c r="F3208" s="18">
        <v>12.0</v>
      </c>
    </row>
    <row r="3209">
      <c r="A3209" s="15">
        <v>10.0</v>
      </c>
      <c r="B3209" s="16" t="s">
        <v>8455</v>
      </c>
      <c r="C3209" s="17" t="s">
        <v>5960</v>
      </c>
      <c r="D3209" s="18">
        <v>70.51</v>
      </c>
      <c r="E3209" s="18">
        <v>104.0</v>
      </c>
      <c r="F3209" s="18">
        <v>18.0</v>
      </c>
    </row>
    <row r="3210">
      <c r="A3210" s="15">
        <v>11.0</v>
      </c>
      <c r="B3210" s="16" t="s">
        <v>2600</v>
      </c>
      <c r="C3210" s="16" t="s">
        <v>5558</v>
      </c>
      <c r="D3210" s="18">
        <v>98.31</v>
      </c>
      <c r="E3210" s="18">
        <v>145.0</v>
      </c>
      <c r="F3210" s="18">
        <v>18.0</v>
      </c>
    </row>
    <row r="3211">
      <c r="A3211" s="15">
        <v>12.0</v>
      </c>
      <c r="B3211" s="16" t="s">
        <v>8456</v>
      </c>
      <c r="C3211" s="17" t="s">
        <v>6167</v>
      </c>
      <c r="D3211" s="18">
        <v>64.29</v>
      </c>
      <c r="E3211" s="18">
        <v>90.0</v>
      </c>
      <c r="F3211" s="18">
        <v>12.0</v>
      </c>
    </row>
    <row r="3212">
      <c r="A3212" s="15">
        <v>13.0</v>
      </c>
      <c r="B3212" s="16" t="s">
        <v>8456</v>
      </c>
      <c r="C3212" s="17" t="s">
        <v>7081</v>
      </c>
      <c r="D3212" s="18">
        <v>128.57</v>
      </c>
      <c r="E3212" s="18">
        <v>180.0</v>
      </c>
      <c r="F3212" s="18">
        <v>12.0</v>
      </c>
    </row>
    <row r="3213">
      <c r="A3213" s="15">
        <v>14.0</v>
      </c>
      <c r="B3213" s="16" t="s">
        <v>8457</v>
      </c>
      <c r="C3213" s="17" t="s">
        <v>5827</v>
      </c>
      <c r="D3213" s="18">
        <v>62.86</v>
      </c>
      <c r="E3213" s="18">
        <v>88.0</v>
      </c>
      <c r="F3213" s="18">
        <v>12.0</v>
      </c>
    </row>
    <row r="3214">
      <c r="A3214" s="15">
        <v>15.0</v>
      </c>
      <c r="B3214" s="16" t="s">
        <v>8457</v>
      </c>
      <c r="C3214" s="17" t="s">
        <v>5828</v>
      </c>
      <c r="D3214" s="18">
        <v>141.43</v>
      </c>
      <c r="E3214" s="18">
        <v>198.0</v>
      </c>
      <c r="F3214" s="18">
        <v>12.0</v>
      </c>
    </row>
    <row r="3215">
      <c r="A3215" s="15">
        <v>16.0</v>
      </c>
      <c r="B3215" s="16" t="s">
        <v>8458</v>
      </c>
      <c r="C3215" s="17" t="s">
        <v>6043</v>
      </c>
      <c r="D3215" s="18">
        <v>57.14</v>
      </c>
      <c r="E3215" s="18">
        <v>80.0</v>
      </c>
      <c r="F3215" s="18">
        <v>12.0</v>
      </c>
    </row>
    <row r="3216">
      <c r="A3216" s="15">
        <v>17.0</v>
      </c>
      <c r="B3216" s="16" t="s">
        <v>8459</v>
      </c>
      <c r="C3216" s="17" t="s">
        <v>5562</v>
      </c>
      <c r="D3216" s="18">
        <v>56.43</v>
      </c>
      <c r="E3216" s="18">
        <v>79.0</v>
      </c>
      <c r="F3216" s="18">
        <v>12.0</v>
      </c>
    </row>
    <row r="3217">
      <c r="A3217" s="6"/>
      <c r="B3217" s="7"/>
      <c r="C3217" s="7"/>
      <c r="D3217" s="7"/>
      <c r="E3217" s="7"/>
      <c r="F3217" s="8"/>
    </row>
    <row r="3218">
      <c r="A3218" s="9" t="s">
        <v>2608</v>
      </c>
      <c r="B3218" s="10"/>
      <c r="C3218" s="10"/>
      <c r="D3218" s="10"/>
      <c r="E3218" s="10"/>
      <c r="F3218" s="10"/>
    </row>
    <row r="3219">
      <c r="A3219" s="11">
        <v>1.0</v>
      </c>
      <c r="B3219" s="12" t="s">
        <v>2607</v>
      </c>
      <c r="C3219" s="12" t="s">
        <v>5558</v>
      </c>
      <c r="D3219" s="14">
        <v>82.14</v>
      </c>
      <c r="E3219" s="14">
        <v>115.0</v>
      </c>
      <c r="F3219" s="14">
        <v>12.0</v>
      </c>
    </row>
    <row r="3220">
      <c r="A3220" s="15">
        <v>2.0</v>
      </c>
      <c r="B3220" s="16" t="s">
        <v>8460</v>
      </c>
      <c r="C3220" s="17" t="s">
        <v>5765</v>
      </c>
      <c r="D3220" s="18">
        <v>232.14</v>
      </c>
      <c r="E3220" s="18">
        <v>325.0</v>
      </c>
      <c r="F3220" s="18">
        <v>12.0</v>
      </c>
    </row>
    <row r="3221">
      <c r="A3221" s="15">
        <v>3.0</v>
      </c>
      <c r="B3221" s="16" t="s">
        <v>8461</v>
      </c>
      <c r="C3221" s="17" t="s">
        <v>8462</v>
      </c>
      <c r="D3221" s="18">
        <v>362.07</v>
      </c>
      <c r="E3221" s="18">
        <v>488.0</v>
      </c>
      <c r="F3221" s="18">
        <v>12.0</v>
      </c>
    </row>
    <row r="3222">
      <c r="A3222" s="15">
        <v>4.0</v>
      </c>
      <c r="B3222" s="16" t="s">
        <v>8463</v>
      </c>
      <c r="C3222" s="17" t="s">
        <v>8464</v>
      </c>
      <c r="D3222" s="18">
        <v>185.71</v>
      </c>
      <c r="E3222" s="18">
        <v>260.0</v>
      </c>
      <c r="F3222" s="18">
        <v>12.0</v>
      </c>
    </row>
    <row r="3223">
      <c r="A3223" s="15">
        <v>5.0</v>
      </c>
      <c r="B3223" s="16" t="s">
        <v>8463</v>
      </c>
      <c r="C3223" s="17" t="s">
        <v>8462</v>
      </c>
      <c r="D3223" s="18">
        <v>470.38</v>
      </c>
      <c r="E3223" s="18">
        <v>634.0</v>
      </c>
      <c r="F3223" s="18">
        <v>12.0</v>
      </c>
    </row>
    <row r="3224">
      <c r="A3224" s="15">
        <v>6.0</v>
      </c>
      <c r="B3224" s="16" t="s">
        <v>8465</v>
      </c>
      <c r="C3224" s="17" t="s">
        <v>8466</v>
      </c>
      <c r="D3224" s="18">
        <v>253.57</v>
      </c>
      <c r="E3224" s="18">
        <v>355.0</v>
      </c>
      <c r="F3224" s="18">
        <v>12.0</v>
      </c>
    </row>
    <row r="3225">
      <c r="A3225" s="15">
        <v>7.0</v>
      </c>
      <c r="B3225" s="16" t="s">
        <v>8467</v>
      </c>
      <c r="C3225" s="17" t="s">
        <v>8468</v>
      </c>
      <c r="D3225" s="18">
        <v>300.0</v>
      </c>
      <c r="E3225" s="18">
        <v>420.0</v>
      </c>
      <c r="F3225" s="18">
        <v>12.0</v>
      </c>
    </row>
    <row r="3226">
      <c r="A3226" s="15">
        <v>8.0</v>
      </c>
      <c r="B3226" s="16" t="s">
        <v>8465</v>
      </c>
      <c r="C3226" s="17" t="s">
        <v>8462</v>
      </c>
      <c r="D3226" s="18">
        <v>333.13</v>
      </c>
      <c r="E3226" s="18">
        <v>449.0</v>
      </c>
      <c r="F3226" s="18">
        <v>12.0</v>
      </c>
    </row>
    <row r="3227">
      <c r="A3227" s="15">
        <v>9.0</v>
      </c>
      <c r="B3227" s="16" t="s">
        <v>8469</v>
      </c>
      <c r="C3227" s="17" t="s">
        <v>5636</v>
      </c>
      <c r="D3227" s="18">
        <v>108.43</v>
      </c>
      <c r="E3227" s="18">
        <v>151.8</v>
      </c>
      <c r="F3227" s="18">
        <v>12.0</v>
      </c>
    </row>
    <row r="3228">
      <c r="A3228" s="15">
        <v>10.0</v>
      </c>
      <c r="B3228" s="16" t="s">
        <v>8470</v>
      </c>
      <c r="C3228" s="17" t="s">
        <v>5636</v>
      </c>
      <c r="D3228" s="18">
        <v>89.29</v>
      </c>
      <c r="E3228" s="18">
        <v>125.0</v>
      </c>
      <c r="F3228" s="18">
        <v>12.0</v>
      </c>
    </row>
    <row r="3229">
      <c r="A3229" s="15">
        <v>11.0</v>
      </c>
      <c r="B3229" s="16" t="s">
        <v>8471</v>
      </c>
      <c r="C3229" s="17" t="s">
        <v>8472</v>
      </c>
      <c r="D3229" s="18">
        <v>217.86</v>
      </c>
      <c r="E3229" s="18">
        <v>305.0</v>
      </c>
      <c r="F3229" s="18">
        <v>12.0</v>
      </c>
    </row>
    <row r="3230">
      <c r="A3230" s="15">
        <v>12.0</v>
      </c>
      <c r="B3230" s="16" t="s">
        <v>2620</v>
      </c>
      <c r="C3230" s="17" t="s">
        <v>8473</v>
      </c>
      <c r="D3230" s="18">
        <v>113.52</v>
      </c>
      <c r="E3230" s="18">
        <v>158.93</v>
      </c>
      <c r="F3230" s="18">
        <v>12.0</v>
      </c>
    </row>
    <row r="3231">
      <c r="A3231" s="15">
        <v>13.0</v>
      </c>
      <c r="B3231" s="16" t="s">
        <v>2620</v>
      </c>
      <c r="C3231" s="16" t="s">
        <v>8474</v>
      </c>
      <c r="D3231" s="18">
        <v>275.72</v>
      </c>
      <c r="E3231" s="18">
        <v>386.0</v>
      </c>
      <c r="F3231" s="18">
        <v>12.0</v>
      </c>
    </row>
    <row r="3232">
      <c r="A3232" s="15">
        <v>14.0</v>
      </c>
      <c r="B3232" s="16" t="s">
        <v>2622</v>
      </c>
      <c r="C3232" s="17" t="s">
        <v>8475</v>
      </c>
      <c r="D3232" s="18">
        <v>144.96</v>
      </c>
      <c r="E3232" s="18">
        <v>202.94</v>
      </c>
      <c r="F3232" s="18">
        <v>12.0</v>
      </c>
    </row>
    <row r="3233">
      <c r="A3233" s="15">
        <v>15.0</v>
      </c>
      <c r="B3233" s="16" t="s">
        <v>2622</v>
      </c>
      <c r="C3233" s="16" t="s">
        <v>8474</v>
      </c>
      <c r="D3233" s="18">
        <v>349.29</v>
      </c>
      <c r="E3233" s="18">
        <v>489.0</v>
      </c>
      <c r="F3233" s="18">
        <v>12.0</v>
      </c>
    </row>
    <row r="3234">
      <c r="A3234" s="15">
        <v>16.0</v>
      </c>
      <c r="B3234" s="16" t="s">
        <v>8476</v>
      </c>
      <c r="C3234" s="17" t="s">
        <v>8477</v>
      </c>
      <c r="D3234" s="18">
        <v>71.43</v>
      </c>
      <c r="E3234" s="18">
        <v>100.0</v>
      </c>
      <c r="F3234" s="18">
        <v>12.0</v>
      </c>
    </row>
    <row r="3235">
      <c r="A3235" s="15">
        <v>17.0</v>
      </c>
      <c r="B3235" s="16" t="s">
        <v>8478</v>
      </c>
      <c r="C3235" s="17" t="s">
        <v>8477</v>
      </c>
      <c r="D3235" s="18">
        <v>37.14</v>
      </c>
      <c r="E3235" s="18">
        <v>52.0</v>
      </c>
      <c r="F3235" s="18">
        <v>12.0</v>
      </c>
    </row>
    <row r="3236">
      <c r="A3236" s="6"/>
      <c r="B3236" s="7"/>
      <c r="C3236" s="7"/>
      <c r="D3236" s="7"/>
      <c r="E3236" s="8"/>
      <c r="F3236" s="16" t="s">
        <v>8479</v>
      </c>
    </row>
    <row r="3237">
      <c r="A3237" s="6"/>
      <c r="B3237" s="7"/>
      <c r="C3237" s="7"/>
      <c r="D3237" s="7"/>
      <c r="E3237" s="7"/>
      <c r="F3237" s="8"/>
    </row>
    <row r="3238">
      <c r="A3238" s="6"/>
      <c r="B3238" s="7"/>
      <c r="C3238" s="7"/>
      <c r="D3238" s="7"/>
      <c r="E3238" s="7"/>
      <c r="F3238" s="8"/>
    </row>
    <row r="3239">
      <c r="A3239" s="6"/>
      <c r="B3239" s="7"/>
      <c r="C3239" s="7"/>
      <c r="D3239" s="7"/>
      <c r="E3239" s="7"/>
      <c r="F3239" s="8"/>
    </row>
    <row r="3240">
      <c r="A3240" s="6"/>
      <c r="B3240" s="7"/>
      <c r="C3240" s="7"/>
      <c r="D3240" s="7"/>
      <c r="E3240" s="7"/>
      <c r="F3240" s="8"/>
    </row>
    <row r="3241">
      <c r="A3241" s="9" t="s">
        <v>5582</v>
      </c>
      <c r="B3241" s="10"/>
      <c r="C3241" s="10"/>
      <c r="D3241" s="10"/>
      <c r="E3241" s="10"/>
      <c r="F3241" s="10"/>
    </row>
    <row r="3242">
      <c r="A3242" s="19" t="s">
        <v>5583</v>
      </c>
    </row>
    <row r="3243">
      <c r="A3243" s="6"/>
      <c r="B3243" s="7"/>
      <c r="C3243" s="7"/>
      <c r="D3243" s="8"/>
      <c r="E3243" s="12" t="s">
        <v>5584</v>
      </c>
      <c r="F3243" s="12" t="s">
        <v>8480</v>
      </c>
    </row>
    <row r="3244">
      <c r="A3244" s="20" t="s">
        <v>5522</v>
      </c>
      <c r="B3244" s="16" t="s">
        <v>5523</v>
      </c>
      <c r="C3244" s="16" t="s">
        <v>5524</v>
      </c>
      <c r="D3244" s="16" t="s">
        <v>5525</v>
      </c>
      <c r="E3244" s="16" t="s">
        <v>5526</v>
      </c>
      <c r="F3244" s="16" t="s">
        <v>5586</v>
      </c>
    </row>
    <row r="3245">
      <c r="A3245" s="15">
        <v>18.0</v>
      </c>
      <c r="B3245" s="16" t="s">
        <v>8481</v>
      </c>
      <c r="C3245" s="17" t="s">
        <v>8477</v>
      </c>
      <c r="D3245" s="18">
        <v>19.29</v>
      </c>
      <c r="E3245" s="18">
        <v>27.0</v>
      </c>
      <c r="F3245" s="18">
        <v>12.0</v>
      </c>
    </row>
    <row r="3246">
      <c r="A3246" s="15">
        <v>19.0</v>
      </c>
      <c r="B3246" s="16" t="s">
        <v>8482</v>
      </c>
      <c r="C3246" s="17" t="s">
        <v>8483</v>
      </c>
      <c r="D3246" s="18">
        <v>149.87</v>
      </c>
      <c r="E3246" s="18">
        <v>202.0</v>
      </c>
      <c r="F3246" s="18">
        <v>12.0</v>
      </c>
    </row>
    <row r="3247">
      <c r="A3247" s="15">
        <v>20.0</v>
      </c>
      <c r="B3247" s="16" t="s">
        <v>8484</v>
      </c>
      <c r="C3247" s="17" t="s">
        <v>8485</v>
      </c>
      <c r="D3247" s="18">
        <v>109.29</v>
      </c>
      <c r="E3247" s="18">
        <v>153.0</v>
      </c>
      <c r="F3247" s="18">
        <v>12.0</v>
      </c>
    </row>
    <row r="3248">
      <c r="A3248" s="15">
        <v>21.0</v>
      </c>
      <c r="B3248" s="16" t="s">
        <v>2628</v>
      </c>
      <c r="C3248" s="16" t="s">
        <v>5679</v>
      </c>
      <c r="D3248" s="18">
        <v>148.48</v>
      </c>
      <c r="E3248" s="18">
        <v>219.0</v>
      </c>
      <c r="F3248" s="18">
        <v>18.0</v>
      </c>
    </row>
    <row r="3249">
      <c r="A3249" s="6"/>
      <c r="B3249" s="7"/>
      <c r="C3249" s="7"/>
      <c r="D3249" s="7"/>
      <c r="E3249" s="7"/>
      <c r="F3249" s="8"/>
    </row>
    <row r="3250">
      <c r="A3250" s="9" t="s">
        <v>8486</v>
      </c>
      <c r="B3250" s="10"/>
      <c r="C3250" s="10"/>
      <c r="D3250" s="10"/>
      <c r="E3250" s="10"/>
      <c r="F3250" s="10"/>
    </row>
    <row r="3251">
      <c r="A3251" s="11">
        <v>1.0</v>
      </c>
      <c r="B3251" s="12" t="s">
        <v>8487</v>
      </c>
      <c r="C3251" s="13" t="s">
        <v>5747</v>
      </c>
      <c r="D3251" s="14">
        <v>35.71</v>
      </c>
      <c r="E3251" s="14">
        <v>50.0</v>
      </c>
      <c r="F3251" s="14">
        <v>12.0</v>
      </c>
    </row>
    <row r="3252">
      <c r="A3252" s="15">
        <v>2.0</v>
      </c>
      <c r="B3252" s="16" t="s">
        <v>8488</v>
      </c>
      <c r="C3252" s="17" t="s">
        <v>8489</v>
      </c>
      <c r="D3252" s="18">
        <v>32.86</v>
      </c>
      <c r="E3252" s="18">
        <v>46.0</v>
      </c>
      <c r="F3252" s="18">
        <v>12.0</v>
      </c>
    </row>
    <row r="3253">
      <c r="A3253" s="15">
        <v>3.0</v>
      </c>
      <c r="B3253" s="16" t="s">
        <v>8490</v>
      </c>
      <c r="C3253" s="17" t="s">
        <v>8072</v>
      </c>
      <c r="D3253" s="18">
        <v>24.29</v>
      </c>
      <c r="E3253" s="18">
        <v>34.0</v>
      </c>
      <c r="F3253" s="18">
        <v>12.0</v>
      </c>
    </row>
    <row r="3254">
      <c r="A3254" s="15">
        <v>4.0</v>
      </c>
      <c r="B3254" s="16" t="s">
        <v>8491</v>
      </c>
      <c r="C3254" s="17" t="s">
        <v>7548</v>
      </c>
      <c r="D3254" s="18">
        <v>18.21</v>
      </c>
      <c r="E3254" s="18">
        <v>25.5</v>
      </c>
      <c r="F3254" s="18">
        <v>12.0</v>
      </c>
    </row>
    <row r="3255">
      <c r="A3255" s="15">
        <v>5.0</v>
      </c>
      <c r="B3255" s="16" t="s">
        <v>8491</v>
      </c>
      <c r="C3255" s="17" t="s">
        <v>5747</v>
      </c>
      <c r="D3255" s="18">
        <v>21.43</v>
      </c>
      <c r="E3255" s="18">
        <v>30.0</v>
      </c>
      <c r="F3255" s="18">
        <v>12.0</v>
      </c>
    </row>
    <row r="3256">
      <c r="A3256" s="15">
        <v>6.0</v>
      </c>
      <c r="B3256" s="16" t="s">
        <v>8492</v>
      </c>
      <c r="C3256" s="17" t="s">
        <v>8489</v>
      </c>
      <c r="D3256" s="18">
        <v>32.86</v>
      </c>
      <c r="E3256" s="18">
        <v>46.0</v>
      </c>
      <c r="F3256" s="18">
        <v>12.0</v>
      </c>
    </row>
    <row r="3257">
      <c r="A3257" s="15">
        <v>7.0</v>
      </c>
      <c r="B3257" s="16" t="s">
        <v>8493</v>
      </c>
      <c r="C3257" s="17" t="s">
        <v>8494</v>
      </c>
      <c r="D3257" s="18">
        <v>36.43</v>
      </c>
      <c r="E3257" s="18">
        <v>51.0</v>
      </c>
      <c r="F3257" s="18">
        <v>12.0</v>
      </c>
    </row>
    <row r="3258">
      <c r="A3258" s="15">
        <v>8.0</v>
      </c>
      <c r="B3258" s="16" t="s">
        <v>8495</v>
      </c>
      <c r="C3258" s="17" t="s">
        <v>5707</v>
      </c>
      <c r="D3258" s="18">
        <v>39.24</v>
      </c>
      <c r="E3258" s="18">
        <v>54.94</v>
      </c>
      <c r="F3258" s="18">
        <v>12.0</v>
      </c>
    </row>
    <row r="3259">
      <c r="A3259" s="15">
        <v>9.0</v>
      </c>
      <c r="B3259" s="16" t="s">
        <v>8496</v>
      </c>
      <c r="C3259" s="17" t="s">
        <v>6374</v>
      </c>
      <c r="D3259" s="18">
        <v>78.57</v>
      </c>
      <c r="E3259" s="18">
        <v>110.0</v>
      </c>
      <c r="F3259" s="18">
        <v>12.0</v>
      </c>
    </row>
    <row r="3260">
      <c r="A3260" s="15">
        <v>10.0</v>
      </c>
      <c r="B3260" s="16" t="s">
        <v>8495</v>
      </c>
      <c r="C3260" s="17" t="s">
        <v>6393</v>
      </c>
      <c r="D3260" s="18">
        <v>48.3</v>
      </c>
      <c r="E3260" s="18">
        <v>67.62</v>
      </c>
      <c r="F3260" s="18">
        <v>12.0</v>
      </c>
    </row>
    <row r="3261">
      <c r="A3261" s="15">
        <v>11.0</v>
      </c>
      <c r="B3261" s="16" t="s">
        <v>8497</v>
      </c>
      <c r="C3261" s="17" t="s">
        <v>5859</v>
      </c>
      <c r="D3261" s="18">
        <v>71.43</v>
      </c>
      <c r="E3261" s="18">
        <v>100.0</v>
      </c>
      <c r="F3261" s="18">
        <v>12.0</v>
      </c>
    </row>
    <row r="3262">
      <c r="A3262" s="15">
        <v>12.0</v>
      </c>
      <c r="B3262" s="16" t="s">
        <v>8498</v>
      </c>
      <c r="C3262" s="17" t="s">
        <v>8499</v>
      </c>
      <c r="D3262" s="18">
        <v>89.8</v>
      </c>
      <c r="E3262" s="18">
        <v>125.72</v>
      </c>
      <c r="F3262" s="18">
        <v>12.0</v>
      </c>
    </row>
    <row r="3263">
      <c r="A3263" s="15">
        <v>13.0</v>
      </c>
      <c r="B3263" s="16" t="s">
        <v>8500</v>
      </c>
      <c r="C3263" s="17" t="s">
        <v>5768</v>
      </c>
      <c r="D3263" s="18">
        <v>30.71</v>
      </c>
      <c r="E3263" s="18">
        <v>43.0</v>
      </c>
      <c r="F3263" s="18">
        <v>12.0</v>
      </c>
    </row>
    <row r="3264">
      <c r="A3264" s="15">
        <v>14.0</v>
      </c>
      <c r="B3264" s="16" t="s">
        <v>8501</v>
      </c>
      <c r="C3264" s="17" t="s">
        <v>5768</v>
      </c>
      <c r="D3264" s="18">
        <v>27.14</v>
      </c>
      <c r="E3264" s="18">
        <v>38.0</v>
      </c>
      <c r="F3264" s="18">
        <v>12.0</v>
      </c>
    </row>
    <row r="3265">
      <c r="A3265" s="15">
        <v>15.0</v>
      </c>
      <c r="B3265" s="16" t="s">
        <v>8502</v>
      </c>
      <c r="C3265" s="17" t="s">
        <v>7976</v>
      </c>
      <c r="D3265" s="18">
        <v>46.79</v>
      </c>
      <c r="E3265" s="18">
        <v>65.5</v>
      </c>
      <c r="F3265" s="18">
        <v>12.0</v>
      </c>
    </row>
    <row r="3266">
      <c r="A3266" s="15">
        <v>16.0</v>
      </c>
      <c r="B3266" s="16" t="s">
        <v>8503</v>
      </c>
      <c r="C3266" s="17" t="s">
        <v>7976</v>
      </c>
      <c r="D3266" s="18">
        <v>31.44</v>
      </c>
      <c r="E3266" s="18">
        <v>44.02</v>
      </c>
      <c r="F3266" s="18">
        <v>12.0</v>
      </c>
    </row>
    <row r="3267">
      <c r="A3267" s="15">
        <v>17.0</v>
      </c>
      <c r="B3267" s="16" t="s">
        <v>8504</v>
      </c>
      <c r="C3267" s="17" t="s">
        <v>8505</v>
      </c>
      <c r="D3267" s="18">
        <v>59.0</v>
      </c>
      <c r="E3267" s="18">
        <v>82.6</v>
      </c>
      <c r="F3267" s="18">
        <v>12.0</v>
      </c>
    </row>
    <row r="3268">
      <c r="A3268" s="15">
        <v>18.0</v>
      </c>
      <c r="B3268" s="16" t="s">
        <v>8504</v>
      </c>
      <c r="C3268" s="17" t="s">
        <v>5707</v>
      </c>
      <c r="D3268" s="18">
        <v>34.71</v>
      </c>
      <c r="E3268" s="18">
        <v>48.6</v>
      </c>
      <c r="F3268" s="18">
        <v>12.0</v>
      </c>
    </row>
    <row r="3269">
      <c r="A3269" s="6"/>
      <c r="B3269" s="7"/>
      <c r="C3269" s="7"/>
      <c r="D3269" s="7"/>
      <c r="E3269" s="7"/>
      <c r="F3269" s="8"/>
    </row>
    <row r="3270">
      <c r="A3270" s="9" t="s">
        <v>8506</v>
      </c>
      <c r="B3270" s="10"/>
      <c r="C3270" s="10"/>
      <c r="D3270" s="10"/>
      <c r="E3270" s="10"/>
      <c r="F3270" s="10"/>
    </row>
    <row r="3271">
      <c r="A3271" s="11">
        <v>1.0</v>
      </c>
      <c r="B3271" s="12" t="s">
        <v>8507</v>
      </c>
      <c r="C3271" s="13" t="s">
        <v>5636</v>
      </c>
      <c r="D3271" s="14">
        <v>46.43</v>
      </c>
      <c r="E3271" s="14">
        <v>65.0</v>
      </c>
      <c r="F3271" s="14">
        <v>12.0</v>
      </c>
    </row>
    <row r="3272">
      <c r="A3272" s="15">
        <v>2.0</v>
      </c>
      <c r="B3272" s="16" t="s">
        <v>8487</v>
      </c>
      <c r="C3272" s="17" t="s">
        <v>5636</v>
      </c>
      <c r="D3272" s="18">
        <v>32.14</v>
      </c>
      <c r="E3272" s="18">
        <v>45.0</v>
      </c>
      <c r="F3272" s="18">
        <v>12.0</v>
      </c>
    </row>
    <row r="3273">
      <c r="A3273" s="15">
        <v>3.0</v>
      </c>
      <c r="B3273" s="16" t="s">
        <v>8508</v>
      </c>
      <c r="C3273" s="17" t="s">
        <v>5636</v>
      </c>
      <c r="D3273" s="18">
        <v>82.14</v>
      </c>
      <c r="E3273" s="18">
        <v>115.0</v>
      </c>
      <c r="F3273" s="18">
        <v>12.0</v>
      </c>
    </row>
    <row r="3274">
      <c r="A3274" s="15">
        <v>4.0</v>
      </c>
      <c r="B3274" s="16" t="s">
        <v>2652</v>
      </c>
      <c r="C3274" s="21"/>
      <c r="D3274" s="18">
        <v>110.71</v>
      </c>
      <c r="E3274" s="18">
        <v>155.0</v>
      </c>
      <c r="F3274" s="18">
        <v>12.0</v>
      </c>
    </row>
    <row r="3275">
      <c r="A3275" s="15">
        <v>5.0</v>
      </c>
      <c r="B3275" s="16" t="s">
        <v>8509</v>
      </c>
      <c r="C3275" s="16" t="s">
        <v>5700</v>
      </c>
      <c r="D3275" s="18">
        <v>70.71</v>
      </c>
      <c r="E3275" s="18">
        <v>99.0</v>
      </c>
      <c r="F3275" s="18">
        <v>12.0</v>
      </c>
    </row>
    <row r="3276">
      <c r="A3276" s="15">
        <v>6.0</v>
      </c>
      <c r="B3276" s="16" t="s">
        <v>8510</v>
      </c>
      <c r="C3276" s="17" t="s">
        <v>5562</v>
      </c>
      <c r="D3276" s="18">
        <v>25.85</v>
      </c>
      <c r="E3276" s="18">
        <v>36.19</v>
      </c>
      <c r="F3276" s="18">
        <v>12.0</v>
      </c>
    </row>
    <row r="3277">
      <c r="A3277" s="15">
        <v>7.0</v>
      </c>
      <c r="B3277" s="16" t="s">
        <v>8511</v>
      </c>
      <c r="C3277" s="17" t="s">
        <v>5562</v>
      </c>
      <c r="D3277" s="18">
        <v>67.86</v>
      </c>
      <c r="E3277" s="18">
        <v>95.0</v>
      </c>
      <c r="F3277" s="18">
        <v>12.0</v>
      </c>
    </row>
    <row r="3278">
      <c r="A3278" s="15">
        <v>8.0</v>
      </c>
      <c r="B3278" s="16" t="s">
        <v>2656</v>
      </c>
      <c r="C3278" s="16" t="s">
        <v>5558</v>
      </c>
      <c r="D3278" s="18">
        <v>7.85</v>
      </c>
      <c r="E3278" s="18">
        <v>10.99</v>
      </c>
      <c r="F3278" s="18">
        <v>12.0</v>
      </c>
    </row>
    <row r="3279">
      <c r="A3279" s="15">
        <v>9.0</v>
      </c>
      <c r="B3279" s="16" t="s">
        <v>8512</v>
      </c>
      <c r="C3279" s="17" t="s">
        <v>8513</v>
      </c>
      <c r="D3279" s="18">
        <v>374.4</v>
      </c>
      <c r="E3279" s="18">
        <v>468.0</v>
      </c>
      <c r="F3279" s="18">
        <v>0.0</v>
      </c>
    </row>
    <row r="3280">
      <c r="A3280" s="15">
        <v>10.0</v>
      </c>
      <c r="B3280" s="16" t="s">
        <v>8514</v>
      </c>
      <c r="C3280" s="17" t="s">
        <v>8515</v>
      </c>
      <c r="D3280" s="18">
        <v>17.3</v>
      </c>
      <c r="E3280" s="18">
        <v>24.0</v>
      </c>
      <c r="F3280" s="18">
        <v>12.0</v>
      </c>
    </row>
    <row r="3281">
      <c r="A3281" s="15">
        <v>11.0</v>
      </c>
      <c r="B3281" s="16" t="s">
        <v>8516</v>
      </c>
      <c r="C3281" s="17" t="s">
        <v>6343</v>
      </c>
      <c r="D3281" s="18">
        <v>167.62</v>
      </c>
      <c r="E3281" s="18">
        <v>220.0</v>
      </c>
      <c r="F3281" s="18">
        <v>5.0</v>
      </c>
    </row>
    <row r="3282">
      <c r="A3282" s="15">
        <v>12.0</v>
      </c>
      <c r="B3282" s="16" t="s">
        <v>8517</v>
      </c>
      <c r="C3282" s="17" t="s">
        <v>5536</v>
      </c>
      <c r="D3282" s="18">
        <v>7.14</v>
      </c>
      <c r="E3282" s="18">
        <v>10.0</v>
      </c>
      <c r="F3282" s="18">
        <v>12.0</v>
      </c>
    </row>
    <row r="3283">
      <c r="A3283" s="15">
        <v>13.0</v>
      </c>
      <c r="B3283" s="16" t="s">
        <v>8518</v>
      </c>
      <c r="C3283" s="17" t="s">
        <v>5960</v>
      </c>
      <c r="D3283" s="18">
        <v>52.83</v>
      </c>
      <c r="E3283" s="18">
        <v>73.96</v>
      </c>
      <c r="F3283" s="18">
        <v>12.0</v>
      </c>
    </row>
    <row r="3284">
      <c r="A3284" s="15">
        <v>14.0</v>
      </c>
      <c r="B3284" s="16" t="s">
        <v>8519</v>
      </c>
      <c r="C3284" s="16" t="s">
        <v>6411</v>
      </c>
      <c r="D3284" s="18">
        <v>134.04</v>
      </c>
      <c r="E3284" s="18">
        <v>186.0</v>
      </c>
      <c r="F3284" s="18">
        <v>12.0</v>
      </c>
    </row>
    <row r="3285">
      <c r="A3285" s="15">
        <v>15.0</v>
      </c>
      <c r="B3285" s="16" t="s">
        <v>8520</v>
      </c>
      <c r="C3285" s="17" t="s">
        <v>5636</v>
      </c>
      <c r="D3285" s="18">
        <v>51.43</v>
      </c>
      <c r="E3285" s="18">
        <v>72.0</v>
      </c>
      <c r="F3285" s="18">
        <v>12.0</v>
      </c>
    </row>
    <row r="3286">
      <c r="A3286" s="15">
        <v>16.0</v>
      </c>
      <c r="B3286" s="16" t="s">
        <v>8521</v>
      </c>
      <c r="C3286" s="17" t="s">
        <v>8522</v>
      </c>
      <c r="D3286" s="18">
        <v>125.0</v>
      </c>
      <c r="E3286" s="18">
        <v>175.0</v>
      </c>
      <c r="F3286" s="18">
        <v>12.0</v>
      </c>
    </row>
    <row r="3287">
      <c r="A3287" s="15">
        <v>17.0</v>
      </c>
      <c r="B3287" s="16" t="s">
        <v>8523</v>
      </c>
      <c r="C3287" s="17" t="s">
        <v>5827</v>
      </c>
      <c r="D3287" s="18">
        <v>50.0</v>
      </c>
      <c r="E3287" s="18">
        <v>70.0</v>
      </c>
      <c r="F3287" s="18">
        <v>12.0</v>
      </c>
    </row>
    <row r="3288">
      <c r="A3288" s="15">
        <v>18.0</v>
      </c>
      <c r="B3288" s="16" t="s">
        <v>2666</v>
      </c>
      <c r="C3288" s="16" t="s">
        <v>5558</v>
      </c>
      <c r="D3288" s="18">
        <v>125.71</v>
      </c>
      <c r="E3288" s="18">
        <v>176.0</v>
      </c>
      <c r="F3288" s="18">
        <v>12.0</v>
      </c>
    </row>
    <row r="3289">
      <c r="A3289" s="15">
        <v>19.0</v>
      </c>
      <c r="B3289" s="16" t="s">
        <v>8524</v>
      </c>
      <c r="C3289" s="17" t="s">
        <v>5636</v>
      </c>
      <c r="D3289" s="18">
        <v>88.57</v>
      </c>
      <c r="E3289" s="18">
        <v>124.0</v>
      </c>
      <c r="F3289" s="18">
        <v>12.0</v>
      </c>
    </row>
    <row r="3290">
      <c r="A3290" s="15">
        <v>20.0</v>
      </c>
      <c r="B3290" s="16" t="s">
        <v>8525</v>
      </c>
      <c r="C3290" s="16" t="s">
        <v>6411</v>
      </c>
      <c r="D3290" s="18">
        <v>95.14</v>
      </c>
      <c r="E3290" s="18">
        <v>132.0</v>
      </c>
      <c r="F3290" s="18">
        <v>12.0</v>
      </c>
    </row>
    <row r="3291">
      <c r="A3291" s="15">
        <v>21.0</v>
      </c>
      <c r="B3291" s="16" t="s">
        <v>8526</v>
      </c>
      <c r="C3291" s="17" t="s">
        <v>5636</v>
      </c>
      <c r="D3291" s="18">
        <v>54.05</v>
      </c>
      <c r="E3291" s="18">
        <v>75.0</v>
      </c>
      <c r="F3291" s="18">
        <v>12.0</v>
      </c>
    </row>
    <row r="3292">
      <c r="A3292" s="15">
        <v>22.0</v>
      </c>
      <c r="B3292" s="16" t="s">
        <v>8527</v>
      </c>
      <c r="C3292" s="17" t="s">
        <v>5536</v>
      </c>
      <c r="D3292" s="18">
        <v>64.86</v>
      </c>
      <c r="E3292" s="18">
        <v>90.0</v>
      </c>
      <c r="F3292" s="18">
        <v>12.0</v>
      </c>
    </row>
    <row r="3293">
      <c r="A3293" s="15">
        <v>23.0</v>
      </c>
      <c r="B3293" s="16" t="s">
        <v>8528</v>
      </c>
      <c r="C3293" s="17" t="s">
        <v>5536</v>
      </c>
      <c r="D3293" s="18">
        <v>136.93</v>
      </c>
      <c r="E3293" s="18">
        <v>190.0</v>
      </c>
      <c r="F3293" s="18">
        <v>12.0</v>
      </c>
    </row>
    <row r="3294">
      <c r="A3294" s="15">
        <v>24.0</v>
      </c>
      <c r="B3294" s="16" t="s">
        <v>8529</v>
      </c>
      <c r="C3294" s="17" t="s">
        <v>5536</v>
      </c>
      <c r="D3294" s="18">
        <v>119.14</v>
      </c>
      <c r="E3294" s="18">
        <v>166.8</v>
      </c>
      <c r="F3294" s="18">
        <v>12.0</v>
      </c>
    </row>
    <row r="3295">
      <c r="A3295" s="15">
        <v>25.0</v>
      </c>
      <c r="B3295" s="16" t="s">
        <v>2673</v>
      </c>
      <c r="C3295" s="16" t="s">
        <v>5558</v>
      </c>
      <c r="D3295" s="18">
        <v>359.65</v>
      </c>
      <c r="E3295" s="18">
        <v>499.0</v>
      </c>
      <c r="F3295" s="18">
        <v>12.0</v>
      </c>
    </row>
    <row r="3296">
      <c r="A3296" s="15">
        <v>26.0</v>
      </c>
      <c r="B3296" s="16" t="s">
        <v>8530</v>
      </c>
      <c r="C3296" s="17" t="s">
        <v>5768</v>
      </c>
      <c r="D3296" s="18">
        <v>67.12</v>
      </c>
      <c r="E3296" s="18">
        <v>99.0</v>
      </c>
      <c r="F3296" s="18">
        <v>18.0</v>
      </c>
    </row>
    <row r="3297">
      <c r="A3297" s="15">
        <v>27.0</v>
      </c>
      <c r="B3297" s="16" t="s">
        <v>8530</v>
      </c>
      <c r="C3297" s="17" t="s">
        <v>5636</v>
      </c>
      <c r="D3297" s="18">
        <v>98.31</v>
      </c>
      <c r="E3297" s="18">
        <v>145.0</v>
      </c>
      <c r="F3297" s="18">
        <v>18.0</v>
      </c>
    </row>
    <row r="3298">
      <c r="A3298" s="15">
        <v>28.0</v>
      </c>
      <c r="B3298" s="16" t="s">
        <v>8531</v>
      </c>
      <c r="C3298" s="16" t="s">
        <v>1124</v>
      </c>
      <c r="D3298" s="18">
        <v>42.86</v>
      </c>
      <c r="E3298" s="18">
        <v>60.0</v>
      </c>
      <c r="F3298" s="18">
        <v>12.0</v>
      </c>
    </row>
    <row r="3299">
      <c r="A3299" s="15">
        <v>29.0</v>
      </c>
      <c r="B3299" s="16" t="s">
        <v>8532</v>
      </c>
      <c r="C3299" s="17" t="s">
        <v>8533</v>
      </c>
      <c r="D3299" s="18">
        <v>71.43</v>
      </c>
      <c r="E3299" s="18">
        <v>100.0</v>
      </c>
      <c r="F3299" s="18">
        <v>12.0</v>
      </c>
    </row>
    <row r="3300">
      <c r="A3300" s="15">
        <v>30.0</v>
      </c>
      <c r="B3300" s="16" t="s">
        <v>8534</v>
      </c>
      <c r="C3300" s="17" t="s">
        <v>5636</v>
      </c>
      <c r="D3300" s="18">
        <v>53.57</v>
      </c>
      <c r="E3300" s="18">
        <v>75.0</v>
      </c>
      <c r="F3300" s="18">
        <v>12.0</v>
      </c>
    </row>
    <row r="3301">
      <c r="A3301" s="15">
        <v>31.0</v>
      </c>
      <c r="B3301" s="16" t="s">
        <v>8535</v>
      </c>
      <c r="C3301" s="17" t="s">
        <v>5636</v>
      </c>
      <c r="D3301" s="18">
        <v>31.71</v>
      </c>
      <c r="E3301" s="18">
        <v>44.0</v>
      </c>
      <c r="F3301" s="18">
        <v>12.0</v>
      </c>
    </row>
    <row r="3302">
      <c r="A3302" s="15">
        <v>32.0</v>
      </c>
      <c r="B3302" s="16" t="s">
        <v>8536</v>
      </c>
      <c r="C3302" s="17" t="s">
        <v>7976</v>
      </c>
      <c r="D3302" s="18">
        <v>82.26</v>
      </c>
      <c r="E3302" s="18">
        <v>115.16</v>
      </c>
      <c r="F3302" s="18">
        <v>12.0</v>
      </c>
    </row>
    <row r="3303">
      <c r="A3303" s="15">
        <v>33.0</v>
      </c>
      <c r="B3303" s="16" t="s">
        <v>8536</v>
      </c>
      <c r="C3303" s="17" t="s">
        <v>5536</v>
      </c>
      <c r="D3303" s="18">
        <v>71.43</v>
      </c>
      <c r="E3303" s="18">
        <v>100.0</v>
      </c>
      <c r="F3303" s="18">
        <v>12.0</v>
      </c>
    </row>
    <row r="3304">
      <c r="A3304" s="15">
        <v>34.0</v>
      </c>
      <c r="B3304" s="16" t="s">
        <v>8537</v>
      </c>
      <c r="C3304" s="17" t="s">
        <v>5536</v>
      </c>
      <c r="D3304" s="18">
        <v>89.29</v>
      </c>
      <c r="E3304" s="18">
        <v>125.0</v>
      </c>
      <c r="F3304" s="18">
        <v>12.0</v>
      </c>
    </row>
    <row r="3305">
      <c r="A3305" s="15">
        <v>35.0</v>
      </c>
      <c r="B3305" s="16" t="s">
        <v>8538</v>
      </c>
      <c r="C3305" s="17" t="s">
        <v>7976</v>
      </c>
      <c r="D3305" s="18">
        <v>52.83</v>
      </c>
      <c r="E3305" s="18">
        <v>73.96</v>
      </c>
      <c r="F3305" s="18">
        <v>12.0</v>
      </c>
    </row>
    <row r="3306">
      <c r="A3306" s="6"/>
      <c r="B3306" s="7"/>
      <c r="C3306" s="7"/>
      <c r="D3306" s="7"/>
      <c r="E3306" s="8"/>
      <c r="F3306" s="16" t="s">
        <v>8539</v>
      </c>
    </row>
    <row r="3307">
      <c r="A3307" s="6"/>
      <c r="B3307" s="7"/>
      <c r="C3307" s="7"/>
      <c r="D3307" s="7"/>
      <c r="E3307" s="7"/>
      <c r="F3307" s="8"/>
    </row>
    <row r="3308">
      <c r="A3308" s="6"/>
      <c r="B3308" s="7"/>
      <c r="C3308" s="7"/>
      <c r="D3308" s="7"/>
      <c r="E3308" s="7"/>
      <c r="F3308" s="8"/>
    </row>
    <row r="3309">
      <c r="A3309" s="6"/>
      <c r="B3309" s="7"/>
      <c r="C3309" s="7"/>
      <c r="D3309" s="7"/>
      <c r="E3309" s="7"/>
      <c r="F3309" s="8"/>
    </row>
    <row r="3310">
      <c r="A3310" s="6"/>
      <c r="B3310" s="7"/>
      <c r="C3310" s="7"/>
      <c r="D3310" s="7"/>
      <c r="E3310" s="7"/>
      <c r="F3310" s="8"/>
    </row>
    <row r="3311">
      <c r="A3311" s="9" t="s">
        <v>5582</v>
      </c>
      <c r="B3311" s="10"/>
      <c r="C3311" s="10"/>
      <c r="D3311" s="10"/>
      <c r="E3311" s="10"/>
      <c r="F3311" s="10"/>
    </row>
    <row r="3312">
      <c r="A3312" s="19" t="s">
        <v>5583</v>
      </c>
    </row>
    <row r="3313">
      <c r="A3313" s="6"/>
      <c r="B3313" s="7"/>
      <c r="C3313" s="7"/>
      <c r="D3313" s="8"/>
      <c r="E3313" s="12" t="s">
        <v>5584</v>
      </c>
      <c r="F3313" s="12" t="s">
        <v>8540</v>
      </c>
    </row>
    <row r="3314">
      <c r="A3314" s="20" t="s">
        <v>5522</v>
      </c>
      <c r="B3314" s="16" t="s">
        <v>5523</v>
      </c>
      <c r="C3314" s="16" t="s">
        <v>5524</v>
      </c>
      <c r="D3314" s="16" t="s">
        <v>5525</v>
      </c>
      <c r="E3314" s="16" t="s">
        <v>5526</v>
      </c>
      <c r="F3314" s="16" t="s">
        <v>5586</v>
      </c>
    </row>
    <row r="3315">
      <c r="A3315" s="15">
        <v>36.0</v>
      </c>
      <c r="B3315" s="16" t="s">
        <v>8541</v>
      </c>
      <c r="C3315" s="17" t="s">
        <v>8542</v>
      </c>
      <c r="D3315" s="18">
        <v>61.88</v>
      </c>
      <c r="E3315" s="18">
        <v>86.63</v>
      </c>
      <c r="F3315" s="18">
        <v>12.0</v>
      </c>
    </row>
    <row r="3316">
      <c r="A3316" s="15">
        <v>37.0</v>
      </c>
      <c r="B3316" s="16" t="s">
        <v>8541</v>
      </c>
      <c r="C3316" s="17" t="s">
        <v>5636</v>
      </c>
      <c r="D3316" s="18">
        <v>171.43</v>
      </c>
      <c r="E3316" s="18">
        <v>240.0</v>
      </c>
      <c r="F3316" s="18">
        <v>12.0</v>
      </c>
    </row>
    <row r="3317">
      <c r="A3317" s="15">
        <v>38.0</v>
      </c>
      <c r="B3317" s="16" t="s">
        <v>8543</v>
      </c>
      <c r="C3317" s="17" t="s">
        <v>5649</v>
      </c>
      <c r="D3317" s="18">
        <v>35.71</v>
      </c>
      <c r="E3317" s="18">
        <v>50.0</v>
      </c>
      <c r="F3317" s="18">
        <v>12.0</v>
      </c>
    </row>
    <row r="3318">
      <c r="A3318" s="15">
        <v>39.0</v>
      </c>
      <c r="B3318" s="16" t="s">
        <v>2687</v>
      </c>
      <c r="C3318" s="16" t="s">
        <v>5558</v>
      </c>
      <c r="D3318" s="18">
        <v>21.63</v>
      </c>
      <c r="E3318" s="18">
        <v>30.0</v>
      </c>
      <c r="F3318" s="18">
        <v>12.0</v>
      </c>
    </row>
    <row r="3319">
      <c r="A3319" s="15">
        <v>40.0</v>
      </c>
      <c r="B3319" s="16" t="s">
        <v>8544</v>
      </c>
      <c r="C3319" s="17" t="s">
        <v>8545</v>
      </c>
      <c r="D3319" s="18">
        <v>19.64</v>
      </c>
      <c r="E3319" s="18">
        <v>27.5</v>
      </c>
      <c r="F3319" s="18">
        <v>12.0</v>
      </c>
    </row>
    <row r="3320">
      <c r="A3320" s="15">
        <v>41.0</v>
      </c>
      <c r="B3320" s="16" t="s">
        <v>8544</v>
      </c>
      <c r="C3320" s="17" t="s">
        <v>8499</v>
      </c>
      <c r="D3320" s="18">
        <v>41.07</v>
      </c>
      <c r="E3320" s="18">
        <v>57.5</v>
      </c>
      <c r="F3320" s="18">
        <v>12.0</v>
      </c>
    </row>
    <row r="3321">
      <c r="A3321" s="15">
        <v>42.0</v>
      </c>
      <c r="B3321" s="16" t="s">
        <v>8544</v>
      </c>
      <c r="C3321" s="17" t="s">
        <v>8546</v>
      </c>
      <c r="D3321" s="18">
        <v>65.91</v>
      </c>
      <c r="E3321" s="18">
        <v>92.27</v>
      </c>
      <c r="F3321" s="18">
        <v>12.0</v>
      </c>
    </row>
    <row r="3322">
      <c r="A3322" s="15">
        <v>43.0</v>
      </c>
      <c r="B3322" s="16" t="s">
        <v>8544</v>
      </c>
      <c r="C3322" s="17" t="s">
        <v>5580</v>
      </c>
      <c r="D3322" s="18">
        <v>56.71</v>
      </c>
      <c r="E3322" s="18">
        <v>79.4</v>
      </c>
      <c r="F3322" s="18">
        <v>12.0</v>
      </c>
    </row>
    <row r="3323">
      <c r="A3323" s="15">
        <v>44.0</v>
      </c>
      <c r="B3323" s="16" t="s">
        <v>8544</v>
      </c>
      <c r="C3323" s="17" t="s">
        <v>5665</v>
      </c>
      <c r="D3323" s="18">
        <v>60.24</v>
      </c>
      <c r="E3323" s="18">
        <v>84.34</v>
      </c>
      <c r="F3323" s="18">
        <v>12.0</v>
      </c>
    </row>
    <row r="3324">
      <c r="A3324" s="15">
        <v>45.0</v>
      </c>
      <c r="B3324" s="16" t="s">
        <v>2693</v>
      </c>
      <c r="C3324" s="16" t="s">
        <v>5558</v>
      </c>
      <c r="D3324" s="18">
        <v>32.14</v>
      </c>
      <c r="E3324" s="18">
        <v>45.0</v>
      </c>
      <c r="F3324" s="18">
        <v>12.0</v>
      </c>
    </row>
    <row r="3325">
      <c r="A3325" s="15">
        <v>46.0</v>
      </c>
      <c r="B3325" s="16" t="s">
        <v>8547</v>
      </c>
      <c r="C3325" s="16" t="s">
        <v>8548</v>
      </c>
      <c r="D3325" s="18">
        <v>185.95</v>
      </c>
      <c r="E3325" s="18">
        <v>258.0</v>
      </c>
      <c r="F3325" s="18">
        <v>12.0</v>
      </c>
    </row>
    <row r="3326">
      <c r="A3326" s="15">
        <v>47.0</v>
      </c>
      <c r="B3326" s="16" t="s">
        <v>8498</v>
      </c>
      <c r="C3326" s="17" t="s">
        <v>5636</v>
      </c>
      <c r="D3326" s="18">
        <v>172.14</v>
      </c>
      <c r="E3326" s="18">
        <v>241.0</v>
      </c>
      <c r="F3326" s="18">
        <v>12.0</v>
      </c>
    </row>
    <row r="3327">
      <c r="A3327" s="15">
        <v>48.0</v>
      </c>
      <c r="B3327" s="16" t="s">
        <v>8549</v>
      </c>
      <c r="C3327" s="17" t="s">
        <v>5536</v>
      </c>
      <c r="D3327" s="18">
        <v>167.86</v>
      </c>
      <c r="E3327" s="18">
        <v>235.0</v>
      </c>
      <c r="F3327" s="18">
        <v>12.0</v>
      </c>
    </row>
    <row r="3328">
      <c r="A3328" s="15">
        <v>49.0</v>
      </c>
      <c r="B3328" s="16" t="s">
        <v>8550</v>
      </c>
      <c r="C3328" s="17" t="s">
        <v>5536</v>
      </c>
      <c r="D3328" s="18">
        <v>99.29</v>
      </c>
      <c r="E3328" s="18">
        <v>125.0</v>
      </c>
      <c r="F3328" s="18">
        <v>12.0</v>
      </c>
    </row>
    <row r="3329">
      <c r="A3329" s="15">
        <v>50.0</v>
      </c>
      <c r="B3329" s="16" t="s">
        <v>8551</v>
      </c>
      <c r="C3329" s="17" t="s">
        <v>5536</v>
      </c>
      <c r="D3329" s="18">
        <v>214.29</v>
      </c>
      <c r="E3329" s="18">
        <v>300.0</v>
      </c>
      <c r="F3329" s="18">
        <v>12.0</v>
      </c>
    </row>
    <row r="3330">
      <c r="A3330" s="15">
        <v>51.0</v>
      </c>
      <c r="B3330" s="16" t="s">
        <v>2699</v>
      </c>
      <c r="C3330" s="16" t="s">
        <v>5558</v>
      </c>
      <c r="D3330" s="18">
        <v>22.86</v>
      </c>
      <c r="E3330" s="18">
        <v>32.0</v>
      </c>
      <c r="F3330" s="18">
        <v>12.0</v>
      </c>
    </row>
    <row r="3331">
      <c r="A3331" s="15">
        <v>52.0</v>
      </c>
      <c r="B3331" s="16" t="s">
        <v>2700</v>
      </c>
      <c r="C3331" s="16" t="s">
        <v>5558</v>
      </c>
      <c r="D3331" s="18">
        <v>72.07</v>
      </c>
      <c r="E3331" s="18">
        <v>100.0</v>
      </c>
      <c r="F3331" s="18">
        <v>12.0</v>
      </c>
    </row>
    <row r="3332">
      <c r="A3332" s="15">
        <v>53.0</v>
      </c>
      <c r="B3332" s="16" t="s">
        <v>8552</v>
      </c>
      <c r="C3332" s="17" t="s">
        <v>8553</v>
      </c>
      <c r="D3332" s="18">
        <v>24.15</v>
      </c>
      <c r="E3332" s="18">
        <v>33.81</v>
      </c>
      <c r="F3332" s="18">
        <v>12.0</v>
      </c>
    </row>
    <row r="3333">
      <c r="A3333" s="6"/>
      <c r="B3333" s="7"/>
      <c r="C3333" s="7"/>
      <c r="D3333" s="7"/>
      <c r="E3333" s="7"/>
      <c r="F3333" s="8"/>
    </row>
    <row r="3334">
      <c r="A3334" s="9" t="s">
        <v>2703</v>
      </c>
      <c r="B3334" s="10"/>
      <c r="C3334" s="10"/>
      <c r="D3334" s="10"/>
      <c r="E3334" s="10"/>
      <c r="F3334" s="10"/>
    </row>
    <row r="3335">
      <c r="A3335" s="11">
        <v>1.0</v>
      </c>
      <c r="B3335" s="12" t="s">
        <v>8554</v>
      </c>
      <c r="C3335" s="13" t="s">
        <v>5536</v>
      </c>
      <c r="D3335" s="14">
        <v>10.71</v>
      </c>
      <c r="E3335" s="14">
        <v>15.0</v>
      </c>
      <c r="F3335" s="14">
        <v>12.0</v>
      </c>
    </row>
    <row r="3336">
      <c r="A3336" s="15">
        <v>2.0</v>
      </c>
      <c r="B3336" s="16" t="s">
        <v>8555</v>
      </c>
      <c r="C3336" s="17" t="s">
        <v>5536</v>
      </c>
      <c r="D3336" s="18">
        <v>16.43</v>
      </c>
      <c r="E3336" s="18">
        <v>23.0</v>
      </c>
      <c r="F3336" s="18">
        <v>12.0</v>
      </c>
    </row>
    <row r="3337">
      <c r="A3337" s="15">
        <v>3.0</v>
      </c>
      <c r="B3337" s="16" t="s">
        <v>8556</v>
      </c>
      <c r="C3337" s="17" t="s">
        <v>5530</v>
      </c>
      <c r="D3337" s="18">
        <v>32.14</v>
      </c>
      <c r="E3337" s="18">
        <v>45.0</v>
      </c>
      <c r="F3337" s="18">
        <v>12.0</v>
      </c>
    </row>
    <row r="3338">
      <c r="A3338" s="15">
        <v>4.0</v>
      </c>
      <c r="B3338" s="16" t="s">
        <v>8556</v>
      </c>
      <c r="C3338" s="17" t="s">
        <v>5531</v>
      </c>
      <c r="D3338" s="18">
        <v>53.57</v>
      </c>
      <c r="E3338" s="18">
        <v>75.0</v>
      </c>
      <c r="F3338" s="18">
        <v>12.0</v>
      </c>
    </row>
    <row r="3339">
      <c r="A3339" s="15">
        <v>5.0</v>
      </c>
      <c r="B3339" s="16" t="s">
        <v>8557</v>
      </c>
      <c r="C3339" s="17" t="s">
        <v>5636</v>
      </c>
      <c r="D3339" s="18">
        <v>108.43</v>
      </c>
      <c r="E3339" s="18">
        <v>151.8</v>
      </c>
      <c r="F3339" s="18">
        <v>12.0</v>
      </c>
    </row>
    <row r="3340">
      <c r="A3340" s="15">
        <v>6.0</v>
      </c>
      <c r="B3340" s="16" t="s">
        <v>8558</v>
      </c>
      <c r="C3340" s="17" t="s">
        <v>5536</v>
      </c>
      <c r="D3340" s="18">
        <v>67.86</v>
      </c>
      <c r="E3340" s="18">
        <v>95.0</v>
      </c>
      <c r="F3340" s="18">
        <v>12.0</v>
      </c>
    </row>
    <row r="3341">
      <c r="A3341" s="15">
        <v>7.0</v>
      </c>
      <c r="B3341" s="16" t="s">
        <v>8559</v>
      </c>
      <c r="C3341" s="17" t="s">
        <v>5550</v>
      </c>
      <c r="D3341" s="18">
        <v>80.71</v>
      </c>
      <c r="E3341" s="18">
        <v>113.0</v>
      </c>
      <c r="F3341" s="18">
        <v>12.0</v>
      </c>
    </row>
    <row r="3342">
      <c r="A3342" s="15">
        <v>8.0</v>
      </c>
      <c r="B3342" s="16" t="s">
        <v>8559</v>
      </c>
      <c r="C3342" s="17" t="s">
        <v>5665</v>
      </c>
      <c r="D3342" s="18">
        <v>77.14</v>
      </c>
      <c r="E3342" s="18">
        <v>108.0</v>
      </c>
      <c r="F3342" s="18">
        <v>12.0</v>
      </c>
    </row>
    <row r="3343">
      <c r="A3343" s="15">
        <v>9.0</v>
      </c>
      <c r="B3343" s="16" t="s">
        <v>2711</v>
      </c>
      <c r="C3343" s="16" t="s">
        <v>7538</v>
      </c>
      <c r="D3343" s="18">
        <v>65.54</v>
      </c>
      <c r="E3343" s="18">
        <v>91.75</v>
      </c>
      <c r="F3343" s="18">
        <v>12.0</v>
      </c>
    </row>
    <row r="3344">
      <c r="A3344" s="15">
        <v>10.0</v>
      </c>
      <c r="B3344" s="16" t="s">
        <v>8560</v>
      </c>
      <c r="C3344" s="17" t="s">
        <v>5536</v>
      </c>
      <c r="D3344" s="18">
        <v>34.29</v>
      </c>
      <c r="E3344" s="18">
        <v>48.0</v>
      </c>
      <c r="F3344" s="18">
        <v>12.0</v>
      </c>
    </row>
    <row r="3345">
      <c r="A3345" s="15">
        <v>11.0</v>
      </c>
      <c r="B3345" s="16" t="s">
        <v>8561</v>
      </c>
      <c r="C3345" s="17" t="s">
        <v>5536</v>
      </c>
      <c r="D3345" s="18">
        <v>75.0</v>
      </c>
      <c r="E3345" s="18">
        <v>105.0</v>
      </c>
      <c r="F3345" s="18">
        <v>12.0</v>
      </c>
    </row>
    <row r="3346">
      <c r="A3346" s="15">
        <v>12.0</v>
      </c>
      <c r="B3346" s="16" t="s">
        <v>8562</v>
      </c>
      <c r="C3346" s="17" t="s">
        <v>5536</v>
      </c>
      <c r="D3346" s="18">
        <v>128.57</v>
      </c>
      <c r="E3346" s="18">
        <v>180.0</v>
      </c>
      <c r="F3346" s="18">
        <v>12.0</v>
      </c>
    </row>
    <row r="3347">
      <c r="A3347" s="15">
        <v>13.0</v>
      </c>
      <c r="B3347" s="16" t="s">
        <v>8563</v>
      </c>
      <c r="C3347" s="17" t="s">
        <v>5636</v>
      </c>
      <c r="D3347" s="18">
        <v>92.86</v>
      </c>
      <c r="E3347" s="18">
        <v>130.0</v>
      </c>
      <c r="F3347" s="18">
        <v>12.0</v>
      </c>
    </row>
    <row r="3348">
      <c r="A3348" s="15">
        <v>14.0</v>
      </c>
      <c r="B3348" s="16" t="s">
        <v>8564</v>
      </c>
      <c r="C3348" s="17" t="s">
        <v>8565</v>
      </c>
      <c r="D3348" s="18">
        <v>23.57</v>
      </c>
      <c r="E3348" s="18">
        <v>33.0</v>
      </c>
      <c r="F3348" s="18">
        <v>12.0</v>
      </c>
    </row>
    <row r="3349">
      <c r="A3349" s="15">
        <v>15.0</v>
      </c>
      <c r="B3349" s="16" t="s">
        <v>8564</v>
      </c>
      <c r="C3349" s="17" t="s">
        <v>5665</v>
      </c>
      <c r="D3349" s="18">
        <v>10.71</v>
      </c>
      <c r="E3349" s="18">
        <v>15.0</v>
      </c>
      <c r="F3349" s="18">
        <v>12.0</v>
      </c>
    </row>
    <row r="3350">
      <c r="A3350" s="15">
        <v>16.0</v>
      </c>
      <c r="B3350" s="16" t="s">
        <v>8566</v>
      </c>
      <c r="C3350" s="17" t="s">
        <v>5878</v>
      </c>
      <c r="D3350" s="18">
        <v>53.57</v>
      </c>
      <c r="E3350" s="18">
        <v>75.0</v>
      </c>
      <c r="F3350" s="18">
        <v>12.0</v>
      </c>
    </row>
    <row r="3351">
      <c r="A3351" s="15">
        <v>17.0</v>
      </c>
      <c r="B3351" s="16" t="s">
        <v>8566</v>
      </c>
      <c r="C3351" s="17" t="s">
        <v>7881</v>
      </c>
      <c r="D3351" s="18">
        <v>40.0</v>
      </c>
      <c r="E3351" s="18">
        <v>56.0</v>
      </c>
      <c r="F3351" s="18">
        <v>12.0</v>
      </c>
    </row>
    <row r="3352">
      <c r="A3352" s="15">
        <v>18.0</v>
      </c>
      <c r="B3352" s="16" t="s">
        <v>8566</v>
      </c>
      <c r="C3352" s="17" t="s">
        <v>5881</v>
      </c>
      <c r="D3352" s="18">
        <v>63.57</v>
      </c>
      <c r="E3352" s="18">
        <v>89.0</v>
      </c>
      <c r="F3352" s="18">
        <v>12.0</v>
      </c>
    </row>
    <row r="3353">
      <c r="A3353" s="15">
        <v>19.0</v>
      </c>
      <c r="B3353" s="16" t="s">
        <v>8566</v>
      </c>
      <c r="C3353" s="17" t="s">
        <v>7882</v>
      </c>
      <c r="D3353" s="18">
        <v>60.0</v>
      </c>
      <c r="E3353" s="18">
        <v>84.0</v>
      </c>
      <c r="F3353" s="18">
        <v>12.0</v>
      </c>
    </row>
    <row r="3354">
      <c r="A3354" s="15">
        <v>20.0</v>
      </c>
      <c r="B3354" s="16" t="s">
        <v>8567</v>
      </c>
      <c r="C3354" s="17" t="s">
        <v>7881</v>
      </c>
      <c r="D3354" s="18">
        <v>57.14</v>
      </c>
      <c r="E3354" s="18">
        <v>80.0</v>
      </c>
      <c r="F3354" s="18">
        <v>12.0</v>
      </c>
    </row>
    <row r="3355">
      <c r="A3355" s="15">
        <v>21.0</v>
      </c>
      <c r="B3355" s="16" t="s">
        <v>8567</v>
      </c>
      <c r="C3355" s="17" t="s">
        <v>7882</v>
      </c>
      <c r="D3355" s="18">
        <v>71.43</v>
      </c>
      <c r="E3355" s="18">
        <v>100.0</v>
      </c>
      <c r="F3355" s="18">
        <v>12.0</v>
      </c>
    </row>
    <row r="3356">
      <c r="A3356" s="15">
        <v>22.0</v>
      </c>
      <c r="B3356" s="16" t="s">
        <v>8568</v>
      </c>
      <c r="C3356" s="17" t="s">
        <v>5562</v>
      </c>
      <c r="D3356" s="18">
        <v>64.29</v>
      </c>
      <c r="E3356" s="18">
        <v>90.0</v>
      </c>
      <c r="F3356" s="18">
        <v>12.0</v>
      </c>
    </row>
    <row r="3357">
      <c r="A3357" s="15">
        <v>23.0</v>
      </c>
      <c r="B3357" s="16" t="s">
        <v>2725</v>
      </c>
      <c r="C3357" s="16" t="s">
        <v>5558</v>
      </c>
      <c r="D3357" s="18">
        <v>53.57</v>
      </c>
      <c r="E3357" s="18">
        <v>75.0</v>
      </c>
      <c r="F3357" s="18">
        <v>12.0</v>
      </c>
    </row>
    <row r="3358">
      <c r="A3358" s="15">
        <v>24.0</v>
      </c>
      <c r="B3358" s="16" t="s">
        <v>8569</v>
      </c>
      <c r="C3358" s="17" t="s">
        <v>5536</v>
      </c>
      <c r="D3358" s="18">
        <v>23.57</v>
      </c>
      <c r="E3358" s="18">
        <v>33.0</v>
      </c>
      <c r="F3358" s="18">
        <v>12.0</v>
      </c>
    </row>
    <row r="3359">
      <c r="A3359" s="15">
        <v>25.0</v>
      </c>
      <c r="B3359" s="16" t="s">
        <v>8570</v>
      </c>
      <c r="C3359" s="17" t="s">
        <v>5536</v>
      </c>
      <c r="D3359" s="18">
        <v>42.86</v>
      </c>
      <c r="E3359" s="18">
        <v>60.0</v>
      </c>
      <c r="F3359" s="18">
        <v>12.0</v>
      </c>
    </row>
    <row r="3360">
      <c r="A3360" s="15">
        <v>26.0</v>
      </c>
      <c r="B3360" s="16" t="s">
        <v>8571</v>
      </c>
      <c r="C3360" s="17" t="s">
        <v>5636</v>
      </c>
      <c r="D3360" s="18">
        <v>57.14</v>
      </c>
      <c r="E3360" s="18">
        <v>80.0</v>
      </c>
      <c r="F3360" s="18">
        <v>12.0</v>
      </c>
    </row>
    <row r="3361">
      <c r="A3361" s="15">
        <v>27.0</v>
      </c>
      <c r="B3361" s="16" t="s">
        <v>8572</v>
      </c>
      <c r="C3361" s="17" t="s">
        <v>5636</v>
      </c>
      <c r="D3361" s="18">
        <v>46.43</v>
      </c>
      <c r="E3361" s="18">
        <v>65.0</v>
      </c>
      <c r="F3361" s="18">
        <v>12.0</v>
      </c>
    </row>
    <row r="3362">
      <c r="A3362" s="15">
        <v>28.0</v>
      </c>
      <c r="B3362" s="16" t="s">
        <v>8573</v>
      </c>
      <c r="C3362" s="17" t="s">
        <v>8574</v>
      </c>
      <c r="D3362" s="18">
        <v>42.86</v>
      </c>
      <c r="E3362" s="18">
        <v>60.0</v>
      </c>
      <c r="F3362" s="18">
        <v>12.0</v>
      </c>
    </row>
    <row r="3363">
      <c r="A3363" s="15">
        <v>29.0</v>
      </c>
      <c r="B3363" s="16" t="s">
        <v>8575</v>
      </c>
      <c r="C3363" s="17" t="s">
        <v>5768</v>
      </c>
      <c r="D3363" s="18">
        <v>58.57</v>
      </c>
      <c r="E3363" s="18">
        <v>82.0</v>
      </c>
      <c r="F3363" s="18">
        <v>12.0</v>
      </c>
    </row>
    <row r="3364">
      <c r="A3364" s="6"/>
      <c r="B3364" s="7"/>
      <c r="C3364" s="7"/>
      <c r="D3364" s="7"/>
      <c r="E3364" s="7"/>
      <c r="F3364" s="8"/>
    </row>
    <row r="3365">
      <c r="A3365" s="9" t="s">
        <v>8576</v>
      </c>
      <c r="B3365" s="10"/>
      <c r="C3365" s="10"/>
      <c r="D3365" s="10"/>
      <c r="E3365" s="10"/>
      <c r="F3365" s="10"/>
    </row>
    <row r="3366">
      <c r="A3366" s="11">
        <v>1.0</v>
      </c>
      <c r="B3366" s="12" t="s">
        <v>8577</v>
      </c>
      <c r="C3366" s="13" t="s">
        <v>8578</v>
      </c>
      <c r="D3366" s="14">
        <v>219.2</v>
      </c>
      <c r="E3366" s="14">
        <v>274.0</v>
      </c>
      <c r="F3366" s="14">
        <v>0.0</v>
      </c>
    </row>
    <row r="3367">
      <c r="A3367" s="15">
        <v>2.0</v>
      </c>
      <c r="B3367" s="16" t="s">
        <v>8579</v>
      </c>
      <c r="C3367" s="17" t="s">
        <v>5967</v>
      </c>
      <c r="D3367" s="18">
        <v>290.0</v>
      </c>
      <c r="E3367" s="18">
        <v>406.0</v>
      </c>
      <c r="F3367" s="18">
        <v>12.0</v>
      </c>
    </row>
    <row r="3368">
      <c r="A3368" s="15">
        <v>3.0</v>
      </c>
      <c r="B3368" s="16" t="s">
        <v>2735</v>
      </c>
      <c r="C3368" s="16" t="s">
        <v>6101</v>
      </c>
      <c r="D3368" s="18">
        <v>482.14</v>
      </c>
      <c r="E3368" s="18">
        <v>675.0</v>
      </c>
      <c r="F3368" s="18">
        <v>12.0</v>
      </c>
    </row>
    <row r="3369">
      <c r="A3369" s="15">
        <v>4.0</v>
      </c>
      <c r="B3369" s="16" t="s">
        <v>8580</v>
      </c>
      <c r="C3369" s="17" t="s">
        <v>5636</v>
      </c>
      <c r="D3369" s="18">
        <v>67.86</v>
      </c>
      <c r="E3369" s="18">
        <v>95.0</v>
      </c>
      <c r="F3369" s="18">
        <v>12.0</v>
      </c>
    </row>
    <row r="3370">
      <c r="A3370" s="15">
        <v>5.0</v>
      </c>
      <c r="B3370" s="16" t="s">
        <v>8581</v>
      </c>
      <c r="C3370" s="16" t="s">
        <v>8582</v>
      </c>
      <c r="D3370" s="18">
        <v>96.43</v>
      </c>
      <c r="E3370" s="18">
        <v>135.0</v>
      </c>
      <c r="F3370" s="18">
        <v>12.0</v>
      </c>
    </row>
    <row r="3371">
      <c r="A3371" s="15">
        <v>6.0</v>
      </c>
      <c r="B3371" s="16" t="s">
        <v>8583</v>
      </c>
      <c r="C3371" s="17" t="s">
        <v>5636</v>
      </c>
      <c r="D3371" s="18">
        <v>1064.29</v>
      </c>
      <c r="E3371" s="18">
        <v>1490.0</v>
      </c>
      <c r="F3371" s="18">
        <v>12.0</v>
      </c>
    </row>
    <row r="3372">
      <c r="A3372" s="6"/>
      <c r="B3372" s="7"/>
      <c r="C3372" s="7"/>
      <c r="D3372" s="7"/>
      <c r="E3372" s="7"/>
      <c r="F3372" s="8"/>
    </row>
    <row r="3373">
      <c r="A3373" s="9" t="s">
        <v>8584</v>
      </c>
      <c r="B3373" s="10"/>
      <c r="C3373" s="10"/>
      <c r="D3373" s="10"/>
      <c r="E3373" s="10"/>
      <c r="F3373" s="10"/>
    </row>
    <row r="3374">
      <c r="A3374" s="11">
        <v>1.0</v>
      </c>
      <c r="B3374" s="12" t="s">
        <v>8585</v>
      </c>
      <c r="C3374" s="13" t="s">
        <v>5636</v>
      </c>
      <c r="D3374" s="14">
        <v>145.71</v>
      </c>
      <c r="E3374" s="14">
        <v>204.0</v>
      </c>
      <c r="F3374" s="14">
        <v>12.0</v>
      </c>
    </row>
    <row r="3375">
      <c r="A3375" s="15">
        <v>2.0</v>
      </c>
      <c r="B3375" s="16" t="s">
        <v>8586</v>
      </c>
      <c r="C3375" s="17" t="s">
        <v>5788</v>
      </c>
      <c r="D3375" s="18">
        <v>87.86</v>
      </c>
      <c r="E3375" s="18">
        <v>123.0</v>
      </c>
      <c r="F3375" s="18">
        <v>12.0</v>
      </c>
    </row>
    <row r="3376">
      <c r="A3376" s="6"/>
      <c r="B3376" s="7"/>
      <c r="C3376" s="7"/>
      <c r="D3376" s="7"/>
      <c r="E3376" s="8"/>
      <c r="F3376" s="16" t="s">
        <v>8587</v>
      </c>
    </row>
    <row r="3377">
      <c r="A3377" s="6"/>
      <c r="B3377" s="7"/>
      <c r="C3377" s="7"/>
      <c r="D3377" s="7"/>
      <c r="E3377" s="7"/>
      <c r="F3377" s="8"/>
    </row>
    <row r="3378">
      <c r="A3378" s="6"/>
      <c r="B3378" s="7"/>
      <c r="C3378" s="7"/>
      <c r="D3378" s="7"/>
      <c r="E3378" s="7"/>
      <c r="F3378" s="8"/>
    </row>
    <row r="3379">
      <c r="A3379" s="6"/>
      <c r="B3379" s="7"/>
      <c r="C3379" s="7"/>
      <c r="D3379" s="7"/>
      <c r="E3379" s="7"/>
      <c r="F3379" s="8"/>
    </row>
    <row r="3380">
      <c r="A3380" s="6"/>
      <c r="B3380" s="7"/>
      <c r="C3380" s="7"/>
      <c r="D3380" s="7"/>
      <c r="E3380" s="7"/>
      <c r="F3380" s="8"/>
    </row>
    <row r="3381">
      <c r="A3381" s="9" t="s">
        <v>5582</v>
      </c>
      <c r="B3381" s="10"/>
      <c r="C3381" s="10"/>
      <c r="D3381" s="10"/>
      <c r="E3381" s="10"/>
      <c r="F3381" s="10"/>
    </row>
    <row r="3382">
      <c r="A3382" s="19" t="s">
        <v>5583</v>
      </c>
    </row>
    <row r="3383">
      <c r="A3383" s="6"/>
      <c r="B3383" s="7"/>
      <c r="C3383" s="7"/>
      <c r="D3383" s="8"/>
      <c r="E3383" s="12" t="s">
        <v>5584</v>
      </c>
      <c r="F3383" s="12" t="s">
        <v>8588</v>
      </c>
    </row>
    <row r="3384">
      <c r="A3384" s="20" t="s">
        <v>5522</v>
      </c>
      <c r="B3384" s="16" t="s">
        <v>5523</v>
      </c>
      <c r="C3384" s="16" t="s">
        <v>5524</v>
      </c>
      <c r="D3384" s="16" t="s">
        <v>5525</v>
      </c>
      <c r="E3384" s="16" t="s">
        <v>5526</v>
      </c>
      <c r="F3384" s="16" t="s">
        <v>5586</v>
      </c>
    </row>
    <row r="3385">
      <c r="A3385" s="15">
        <v>3.0</v>
      </c>
      <c r="B3385" s="16" t="s">
        <v>8589</v>
      </c>
      <c r="C3385" s="17" t="s">
        <v>5742</v>
      </c>
      <c r="D3385" s="18">
        <v>151.07</v>
      </c>
      <c r="E3385" s="18">
        <v>211.5</v>
      </c>
      <c r="F3385" s="18">
        <v>12.0</v>
      </c>
    </row>
    <row r="3386">
      <c r="A3386" s="15">
        <v>4.0</v>
      </c>
      <c r="B3386" s="16" t="s">
        <v>8590</v>
      </c>
      <c r="C3386" s="17" t="s">
        <v>5827</v>
      </c>
      <c r="D3386" s="18">
        <v>90.0</v>
      </c>
      <c r="E3386" s="18">
        <v>126.0</v>
      </c>
      <c r="F3386" s="18">
        <v>12.0</v>
      </c>
    </row>
    <row r="3387">
      <c r="A3387" s="15">
        <v>5.0</v>
      </c>
      <c r="B3387" s="16" t="s">
        <v>8589</v>
      </c>
      <c r="C3387" s="17" t="s">
        <v>8591</v>
      </c>
      <c r="D3387" s="18">
        <v>250.71</v>
      </c>
      <c r="E3387" s="18">
        <v>351.0</v>
      </c>
      <c r="F3387" s="18">
        <v>12.0</v>
      </c>
    </row>
    <row r="3388">
      <c r="A3388" s="15">
        <v>6.0</v>
      </c>
      <c r="B3388" s="16" t="s">
        <v>8592</v>
      </c>
      <c r="C3388" s="16" t="s">
        <v>8593</v>
      </c>
      <c r="D3388" s="18">
        <v>212.2</v>
      </c>
      <c r="E3388" s="18">
        <v>313.0</v>
      </c>
      <c r="F3388" s="18">
        <v>18.0</v>
      </c>
    </row>
    <row r="3389">
      <c r="A3389" s="15">
        <v>7.0</v>
      </c>
      <c r="B3389" s="16" t="s">
        <v>8594</v>
      </c>
      <c r="C3389" s="17" t="s">
        <v>8595</v>
      </c>
      <c r="D3389" s="18">
        <v>194.58</v>
      </c>
      <c r="E3389" s="18">
        <v>287.0</v>
      </c>
      <c r="F3389" s="18">
        <v>18.0</v>
      </c>
    </row>
    <row r="3390">
      <c r="A3390" s="15">
        <v>8.0</v>
      </c>
      <c r="B3390" s="16" t="s">
        <v>8596</v>
      </c>
      <c r="C3390" s="17" t="s">
        <v>8597</v>
      </c>
      <c r="D3390" s="18">
        <v>11.68</v>
      </c>
      <c r="E3390" s="18">
        <v>16.35</v>
      </c>
      <c r="F3390" s="18">
        <v>12.0</v>
      </c>
    </row>
    <row r="3391">
      <c r="A3391" s="15">
        <v>9.0</v>
      </c>
      <c r="B3391" s="16" t="s">
        <v>8596</v>
      </c>
      <c r="C3391" s="17" t="s">
        <v>7448</v>
      </c>
      <c r="D3391" s="18">
        <v>8.22</v>
      </c>
      <c r="E3391" s="18">
        <v>11.5</v>
      </c>
      <c r="F3391" s="18">
        <v>12.0</v>
      </c>
    </row>
    <row r="3392">
      <c r="A3392" s="15">
        <v>10.0</v>
      </c>
      <c r="B3392" s="16" t="s">
        <v>8598</v>
      </c>
      <c r="C3392" s="17" t="s">
        <v>5614</v>
      </c>
      <c r="D3392" s="18">
        <v>85.71</v>
      </c>
      <c r="E3392" s="18">
        <v>120.0</v>
      </c>
      <c r="F3392" s="18">
        <v>12.0</v>
      </c>
    </row>
    <row r="3393">
      <c r="A3393" s="15">
        <v>11.0</v>
      </c>
      <c r="B3393" s="16" t="s">
        <v>8599</v>
      </c>
      <c r="C3393" s="17" t="s">
        <v>5614</v>
      </c>
      <c r="D3393" s="18">
        <v>151.07</v>
      </c>
      <c r="E3393" s="18">
        <v>211.5</v>
      </c>
      <c r="F3393" s="18">
        <v>12.0</v>
      </c>
    </row>
    <row r="3394">
      <c r="A3394" s="15">
        <v>12.0</v>
      </c>
      <c r="B3394" s="16" t="s">
        <v>8600</v>
      </c>
      <c r="C3394" s="17" t="s">
        <v>5562</v>
      </c>
      <c r="D3394" s="18">
        <v>83.57</v>
      </c>
      <c r="E3394" s="18">
        <v>117.0</v>
      </c>
      <c r="F3394" s="18">
        <v>12.0</v>
      </c>
    </row>
    <row r="3395">
      <c r="A3395" s="15">
        <v>13.0</v>
      </c>
      <c r="B3395" s="16" t="s">
        <v>8601</v>
      </c>
      <c r="C3395" s="17" t="s">
        <v>5828</v>
      </c>
      <c r="D3395" s="18">
        <v>213.57</v>
      </c>
      <c r="E3395" s="18">
        <v>299.0</v>
      </c>
      <c r="F3395" s="18">
        <v>12.0</v>
      </c>
    </row>
    <row r="3396">
      <c r="A3396" s="15">
        <v>14.0</v>
      </c>
      <c r="B3396" s="16" t="s">
        <v>8601</v>
      </c>
      <c r="C3396" s="17" t="s">
        <v>5745</v>
      </c>
      <c r="D3396" s="18">
        <v>128.57</v>
      </c>
      <c r="E3396" s="18">
        <v>180.0</v>
      </c>
      <c r="F3396" s="18">
        <v>12.0</v>
      </c>
    </row>
    <row r="3397">
      <c r="A3397" s="15">
        <v>15.0</v>
      </c>
      <c r="B3397" s="16" t="s">
        <v>8602</v>
      </c>
      <c r="C3397" s="17" t="s">
        <v>5828</v>
      </c>
      <c r="D3397" s="18">
        <v>213.57</v>
      </c>
      <c r="E3397" s="18">
        <v>299.0</v>
      </c>
      <c r="F3397" s="18">
        <v>12.0</v>
      </c>
    </row>
    <row r="3398">
      <c r="A3398" s="15">
        <v>16.0</v>
      </c>
      <c r="B3398" s="16" t="s">
        <v>8602</v>
      </c>
      <c r="C3398" s="17" t="s">
        <v>5745</v>
      </c>
      <c r="D3398" s="18">
        <v>139.64</v>
      </c>
      <c r="E3398" s="18">
        <v>195.5</v>
      </c>
      <c r="F3398" s="18">
        <v>12.0</v>
      </c>
    </row>
    <row r="3399">
      <c r="A3399" s="15">
        <v>17.0</v>
      </c>
      <c r="B3399" s="16" t="s">
        <v>8603</v>
      </c>
      <c r="C3399" s="17" t="s">
        <v>5636</v>
      </c>
      <c r="D3399" s="18">
        <v>33.82</v>
      </c>
      <c r="E3399" s="18">
        <v>40.0</v>
      </c>
      <c r="F3399" s="18">
        <v>12.0</v>
      </c>
    </row>
    <row r="3400">
      <c r="A3400" s="15">
        <v>18.0</v>
      </c>
      <c r="B3400" s="16" t="s">
        <v>2757</v>
      </c>
      <c r="C3400" s="16" t="s">
        <v>5558</v>
      </c>
      <c r="D3400" s="18">
        <v>8.35</v>
      </c>
      <c r="E3400" s="18">
        <v>11.91</v>
      </c>
      <c r="F3400" s="18">
        <v>12.0</v>
      </c>
    </row>
    <row r="3401">
      <c r="A3401" s="15">
        <v>19.0</v>
      </c>
      <c r="B3401" s="16" t="s">
        <v>8604</v>
      </c>
      <c r="C3401" s="17" t="s">
        <v>5636</v>
      </c>
      <c r="D3401" s="18">
        <v>126.07</v>
      </c>
      <c r="E3401" s="18">
        <v>176.5</v>
      </c>
      <c r="F3401" s="18">
        <v>12.0</v>
      </c>
    </row>
    <row r="3402">
      <c r="A3402" s="15">
        <v>20.0</v>
      </c>
      <c r="B3402" s="16" t="s">
        <v>8605</v>
      </c>
      <c r="C3402" s="17" t="s">
        <v>5562</v>
      </c>
      <c r="D3402" s="18">
        <v>135.0</v>
      </c>
      <c r="E3402" s="18">
        <v>189.0</v>
      </c>
      <c r="F3402" s="18">
        <v>12.0</v>
      </c>
    </row>
    <row r="3403">
      <c r="A3403" s="15">
        <v>21.0</v>
      </c>
      <c r="B3403" s="16" t="s">
        <v>8606</v>
      </c>
      <c r="C3403" s="17" t="s">
        <v>8607</v>
      </c>
      <c r="D3403" s="18">
        <v>56.97</v>
      </c>
      <c r="E3403" s="18">
        <v>79.75</v>
      </c>
      <c r="F3403" s="18">
        <v>12.0</v>
      </c>
    </row>
    <row r="3404">
      <c r="A3404" s="15">
        <v>22.0</v>
      </c>
      <c r="B3404" s="16" t="s">
        <v>8605</v>
      </c>
      <c r="C3404" s="17" t="s">
        <v>5847</v>
      </c>
      <c r="D3404" s="18">
        <v>95.71</v>
      </c>
      <c r="E3404" s="18">
        <v>134.0</v>
      </c>
      <c r="F3404" s="18">
        <v>12.0</v>
      </c>
    </row>
    <row r="3405">
      <c r="A3405" s="15">
        <v>23.0</v>
      </c>
      <c r="B3405" s="16" t="s">
        <v>8608</v>
      </c>
      <c r="C3405" s="17" t="s">
        <v>5562</v>
      </c>
      <c r="D3405" s="18">
        <v>98.57</v>
      </c>
      <c r="E3405" s="18">
        <v>138.0</v>
      </c>
      <c r="F3405" s="18">
        <v>12.0</v>
      </c>
    </row>
    <row r="3406">
      <c r="A3406" s="15">
        <v>24.0</v>
      </c>
      <c r="B3406" s="16" t="s">
        <v>5953</v>
      </c>
      <c r="C3406" s="17" t="s">
        <v>8609</v>
      </c>
      <c r="D3406" s="18">
        <v>383.57</v>
      </c>
      <c r="E3406" s="18">
        <v>537.0</v>
      </c>
      <c r="F3406" s="18">
        <v>12.0</v>
      </c>
    </row>
    <row r="3407">
      <c r="A3407" s="15">
        <v>25.0</v>
      </c>
      <c r="B3407" s="16" t="s">
        <v>5953</v>
      </c>
      <c r="C3407" s="17" t="s">
        <v>8610</v>
      </c>
      <c r="D3407" s="18">
        <v>150.71</v>
      </c>
      <c r="E3407" s="18">
        <v>211.0</v>
      </c>
      <c r="F3407" s="18">
        <v>12.0</v>
      </c>
    </row>
    <row r="3408">
      <c r="A3408" s="15">
        <v>26.0</v>
      </c>
      <c r="B3408" s="16" t="s">
        <v>5953</v>
      </c>
      <c r="C3408" s="17" t="s">
        <v>8611</v>
      </c>
      <c r="D3408" s="18">
        <v>106.25</v>
      </c>
      <c r="E3408" s="18">
        <v>148.75</v>
      </c>
      <c r="F3408" s="18">
        <v>12.0</v>
      </c>
    </row>
    <row r="3409">
      <c r="A3409" s="15">
        <v>27.0</v>
      </c>
      <c r="B3409" s="16" t="s">
        <v>8612</v>
      </c>
      <c r="C3409" s="17" t="s">
        <v>8613</v>
      </c>
      <c r="D3409" s="18">
        <v>134.64</v>
      </c>
      <c r="E3409" s="18">
        <v>188.5</v>
      </c>
      <c r="F3409" s="18">
        <v>12.0</v>
      </c>
    </row>
    <row r="3410">
      <c r="A3410" s="15">
        <v>28.0</v>
      </c>
      <c r="B3410" s="16" t="s">
        <v>8612</v>
      </c>
      <c r="C3410" s="17" t="s">
        <v>6417</v>
      </c>
      <c r="D3410" s="18">
        <v>59.64</v>
      </c>
      <c r="E3410" s="18">
        <v>83.5</v>
      </c>
      <c r="F3410" s="18">
        <v>12.0</v>
      </c>
    </row>
    <row r="3411">
      <c r="A3411" s="15">
        <v>29.0</v>
      </c>
      <c r="B3411" s="16" t="s">
        <v>8614</v>
      </c>
      <c r="C3411" s="17" t="s">
        <v>8615</v>
      </c>
      <c r="D3411" s="18">
        <v>31.07</v>
      </c>
      <c r="E3411" s="18">
        <v>43.5</v>
      </c>
      <c r="F3411" s="18">
        <v>12.0</v>
      </c>
    </row>
    <row r="3412">
      <c r="A3412" s="15">
        <v>30.0</v>
      </c>
      <c r="B3412" s="16" t="s">
        <v>8616</v>
      </c>
      <c r="C3412" s="17" t="s">
        <v>5562</v>
      </c>
      <c r="D3412" s="18">
        <v>42.14</v>
      </c>
      <c r="E3412" s="18">
        <v>59.0</v>
      </c>
      <c r="F3412" s="18">
        <v>12.0</v>
      </c>
    </row>
    <row r="3413">
      <c r="A3413" s="15">
        <v>31.0</v>
      </c>
      <c r="B3413" s="16" t="s">
        <v>8617</v>
      </c>
      <c r="C3413" s="17" t="s">
        <v>5562</v>
      </c>
      <c r="D3413" s="18">
        <v>72.86</v>
      </c>
      <c r="E3413" s="18">
        <v>102.0</v>
      </c>
      <c r="F3413" s="18">
        <v>12.0</v>
      </c>
    </row>
    <row r="3414">
      <c r="A3414" s="15">
        <v>32.0</v>
      </c>
      <c r="B3414" s="16" t="s">
        <v>8618</v>
      </c>
      <c r="C3414" s="17" t="s">
        <v>6626</v>
      </c>
      <c r="D3414" s="18">
        <v>33.93</v>
      </c>
      <c r="E3414" s="18">
        <v>47.5</v>
      </c>
      <c r="F3414" s="18">
        <v>12.0</v>
      </c>
    </row>
    <row r="3415">
      <c r="A3415" s="15">
        <v>33.0</v>
      </c>
      <c r="B3415" s="16" t="s">
        <v>8619</v>
      </c>
      <c r="C3415" s="17" t="s">
        <v>6391</v>
      </c>
      <c r="D3415" s="18">
        <v>24.29</v>
      </c>
      <c r="E3415" s="18">
        <v>34.0</v>
      </c>
      <c r="F3415" s="18">
        <v>12.0</v>
      </c>
    </row>
    <row r="3416">
      <c r="A3416" s="15">
        <v>34.0</v>
      </c>
      <c r="B3416" s="16" t="s">
        <v>2773</v>
      </c>
      <c r="C3416" s="16" t="s">
        <v>5558</v>
      </c>
      <c r="D3416" s="18">
        <v>69.18</v>
      </c>
      <c r="E3416" s="18">
        <v>96.0</v>
      </c>
      <c r="F3416" s="18">
        <v>12.0</v>
      </c>
    </row>
    <row r="3417">
      <c r="A3417" s="15">
        <v>35.0</v>
      </c>
      <c r="B3417" s="16" t="s">
        <v>8620</v>
      </c>
      <c r="C3417" s="17" t="s">
        <v>5636</v>
      </c>
      <c r="D3417" s="18">
        <v>97.86</v>
      </c>
      <c r="E3417" s="18">
        <v>137.0</v>
      </c>
      <c r="F3417" s="18">
        <v>12.0</v>
      </c>
    </row>
    <row r="3418">
      <c r="A3418" s="15">
        <v>36.0</v>
      </c>
      <c r="B3418" s="16" t="s">
        <v>8621</v>
      </c>
      <c r="C3418" s="17" t="s">
        <v>5742</v>
      </c>
      <c r="D3418" s="18">
        <v>115.71</v>
      </c>
      <c r="E3418" s="18">
        <v>162.0</v>
      </c>
      <c r="F3418" s="18">
        <v>12.0</v>
      </c>
    </row>
    <row r="3419">
      <c r="A3419" s="15">
        <v>37.0</v>
      </c>
      <c r="B3419" s="16" t="s">
        <v>8621</v>
      </c>
      <c r="C3419" s="17" t="s">
        <v>5828</v>
      </c>
      <c r="D3419" s="18">
        <v>92.14</v>
      </c>
      <c r="E3419" s="18">
        <v>129.0</v>
      </c>
      <c r="F3419" s="18">
        <v>12.0</v>
      </c>
    </row>
    <row r="3420">
      <c r="A3420" s="15">
        <v>38.0</v>
      </c>
      <c r="B3420" s="16" t="s">
        <v>8621</v>
      </c>
      <c r="C3420" s="17" t="s">
        <v>5928</v>
      </c>
      <c r="D3420" s="18">
        <v>135.0</v>
      </c>
      <c r="E3420" s="18">
        <v>189.9</v>
      </c>
      <c r="F3420" s="18">
        <v>12.0</v>
      </c>
    </row>
    <row r="3421">
      <c r="A3421" s="15">
        <v>39.0</v>
      </c>
      <c r="B3421" s="16" t="s">
        <v>8622</v>
      </c>
      <c r="C3421" s="17" t="s">
        <v>5802</v>
      </c>
      <c r="D3421" s="18">
        <v>40.0</v>
      </c>
      <c r="E3421" s="18">
        <v>55.5</v>
      </c>
      <c r="F3421" s="18">
        <v>12.0</v>
      </c>
    </row>
    <row r="3422">
      <c r="A3422" s="15">
        <v>40.0</v>
      </c>
      <c r="B3422" s="16" t="s">
        <v>8623</v>
      </c>
      <c r="C3422" s="17" t="s">
        <v>8624</v>
      </c>
      <c r="D3422" s="18">
        <v>66.43</v>
      </c>
      <c r="E3422" s="18">
        <v>86.0</v>
      </c>
      <c r="F3422" s="18">
        <v>12.0</v>
      </c>
    </row>
    <row r="3423">
      <c r="A3423" s="15">
        <v>41.0</v>
      </c>
      <c r="B3423" s="16" t="s">
        <v>8623</v>
      </c>
      <c r="C3423" s="17" t="s">
        <v>8625</v>
      </c>
      <c r="D3423" s="18">
        <v>49.29</v>
      </c>
      <c r="E3423" s="18">
        <v>69.0</v>
      </c>
      <c r="F3423" s="18">
        <v>12.0</v>
      </c>
    </row>
    <row r="3424">
      <c r="A3424" s="15">
        <v>42.0</v>
      </c>
      <c r="B3424" s="16" t="s">
        <v>8623</v>
      </c>
      <c r="C3424" s="17" t="s">
        <v>8626</v>
      </c>
      <c r="D3424" s="18">
        <v>61.43</v>
      </c>
      <c r="E3424" s="18">
        <v>86.0</v>
      </c>
      <c r="F3424" s="18">
        <v>12.0</v>
      </c>
    </row>
    <row r="3425">
      <c r="A3425" s="15">
        <v>43.0</v>
      </c>
      <c r="B3425" s="16" t="s">
        <v>8623</v>
      </c>
      <c r="C3425" s="17" t="s">
        <v>8627</v>
      </c>
      <c r="D3425" s="18">
        <v>61.43</v>
      </c>
      <c r="E3425" s="18">
        <v>79.0</v>
      </c>
      <c r="F3425" s="18">
        <v>12.0</v>
      </c>
    </row>
    <row r="3426">
      <c r="A3426" s="15">
        <v>44.0</v>
      </c>
      <c r="B3426" s="16" t="s">
        <v>8623</v>
      </c>
      <c r="C3426" s="17" t="s">
        <v>8628</v>
      </c>
      <c r="D3426" s="18">
        <v>67.14</v>
      </c>
      <c r="E3426" s="18">
        <v>94.0</v>
      </c>
      <c r="F3426" s="18">
        <v>12.0</v>
      </c>
    </row>
    <row r="3427">
      <c r="A3427" s="15">
        <v>45.0</v>
      </c>
      <c r="B3427" s="16" t="s">
        <v>8623</v>
      </c>
      <c r="C3427" s="17" t="s">
        <v>8629</v>
      </c>
      <c r="D3427" s="18">
        <v>67.14</v>
      </c>
      <c r="E3427" s="18">
        <v>94.0</v>
      </c>
      <c r="F3427" s="18">
        <v>12.0</v>
      </c>
    </row>
    <row r="3428">
      <c r="A3428" s="15">
        <v>46.0</v>
      </c>
      <c r="B3428" s="16" t="s">
        <v>8623</v>
      </c>
      <c r="C3428" s="17" t="s">
        <v>5802</v>
      </c>
      <c r="D3428" s="18">
        <v>57.86</v>
      </c>
      <c r="E3428" s="18">
        <v>81.0</v>
      </c>
      <c r="F3428" s="18">
        <v>12.0</v>
      </c>
    </row>
    <row r="3429">
      <c r="A3429" s="15">
        <v>47.0</v>
      </c>
      <c r="B3429" s="16" t="s">
        <v>8630</v>
      </c>
      <c r="C3429" s="17" t="s">
        <v>8631</v>
      </c>
      <c r="D3429" s="18">
        <v>89.29</v>
      </c>
      <c r="E3429" s="18">
        <v>125.0</v>
      </c>
      <c r="F3429" s="18">
        <v>12.0</v>
      </c>
    </row>
    <row r="3430">
      <c r="A3430" s="15">
        <v>48.0</v>
      </c>
      <c r="B3430" s="16" t="s">
        <v>8630</v>
      </c>
      <c r="C3430" s="17" t="s">
        <v>8632</v>
      </c>
      <c r="D3430" s="18">
        <v>104.82</v>
      </c>
      <c r="E3430" s="18">
        <v>146.75</v>
      </c>
      <c r="F3430" s="18">
        <v>12.0</v>
      </c>
    </row>
    <row r="3431">
      <c r="A3431" s="15">
        <v>49.0</v>
      </c>
      <c r="B3431" s="16" t="s">
        <v>8630</v>
      </c>
      <c r="C3431" s="17" t="s">
        <v>8633</v>
      </c>
      <c r="D3431" s="18">
        <v>96.43</v>
      </c>
      <c r="E3431" s="18">
        <v>135.0</v>
      </c>
      <c r="F3431" s="18">
        <v>12.0</v>
      </c>
    </row>
    <row r="3432">
      <c r="A3432" s="15">
        <v>50.0</v>
      </c>
      <c r="B3432" s="16" t="s">
        <v>8630</v>
      </c>
      <c r="C3432" s="17" t="s">
        <v>8634</v>
      </c>
      <c r="D3432" s="18">
        <v>81.43</v>
      </c>
      <c r="E3432" s="18">
        <v>114.0</v>
      </c>
      <c r="F3432" s="18">
        <v>12.0</v>
      </c>
    </row>
    <row r="3433">
      <c r="A3433" s="15">
        <v>51.0</v>
      </c>
      <c r="B3433" s="16" t="s">
        <v>8630</v>
      </c>
      <c r="C3433" s="17" t="s">
        <v>5636</v>
      </c>
      <c r="D3433" s="18">
        <v>77.14</v>
      </c>
      <c r="E3433" s="18">
        <v>108.0</v>
      </c>
      <c r="F3433" s="18">
        <v>12.0</v>
      </c>
    </row>
    <row r="3434">
      <c r="A3434" s="15">
        <v>52.0</v>
      </c>
      <c r="B3434" s="16" t="s">
        <v>8635</v>
      </c>
      <c r="C3434" s="17" t="s">
        <v>5562</v>
      </c>
      <c r="D3434" s="18">
        <v>97.5</v>
      </c>
      <c r="E3434" s="18">
        <v>136.5</v>
      </c>
      <c r="F3434" s="18">
        <v>12.0</v>
      </c>
    </row>
    <row r="3435">
      <c r="A3435" s="15">
        <v>53.0</v>
      </c>
      <c r="B3435" s="16" t="s">
        <v>8636</v>
      </c>
      <c r="C3435" s="17" t="s">
        <v>5636</v>
      </c>
      <c r="D3435" s="18">
        <v>48.57</v>
      </c>
      <c r="E3435" s="18">
        <v>68.0</v>
      </c>
      <c r="F3435" s="18">
        <v>12.0</v>
      </c>
    </row>
    <row r="3436">
      <c r="A3436" s="15">
        <v>54.0</v>
      </c>
      <c r="B3436" s="16" t="s">
        <v>8637</v>
      </c>
      <c r="C3436" s="17" t="s">
        <v>5562</v>
      </c>
      <c r="D3436" s="18">
        <v>101.64</v>
      </c>
      <c r="E3436" s="18">
        <v>141.0</v>
      </c>
      <c r="F3436" s="18">
        <v>12.0</v>
      </c>
    </row>
    <row r="3437">
      <c r="A3437" s="15">
        <v>55.0</v>
      </c>
      <c r="B3437" s="16" t="s">
        <v>8638</v>
      </c>
      <c r="C3437" s="17" t="s">
        <v>5636</v>
      </c>
      <c r="D3437" s="18">
        <v>59.09</v>
      </c>
      <c r="E3437" s="18">
        <v>82.0</v>
      </c>
      <c r="F3437" s="18">
        <v>12.0</v>
      </c>
    </row>
    <row r="3438">
      <c r="A3438" s="15">
        <v>56.0</v>
      </c>
      <c r="B3438" s="16" t="s">
        <v>8639</v>
      </c>
      <c r="C3438" s="17" t="s">
        <v>5998</v>
      </c>
      <c r="D3438" s="18">
        <v>207.86</v>
      </c>
      <c r="E3438" s="18">
        <v>269.5</v>
      </c>
      <c r="F3438" s="18">
        <v>12.0</v>
      </c>
    </row>
    <row r="3439">
      <c r="A3439" s="15">
        <v>57.0</v>
      </c>
      <c r="B3439" s="16" t="s">
        <v>8640</v>
      </c>
      <c r="C3439" s="17" t="s">
        <v>5742</v>
      </c>
      <c r="D3439" s="18">
        <v>72.86</v>
      </c>
      <c r="E3439" s="18">
        <v>102.0</v>
      </c>
      <c r="F3439" s="18">
        <v>12.0</v>
      </c>
    </row>
    <row r="3440">
      <c r="A3440" s="15">
        <v>58.0</v>
      </c>
      <c r="B3440" s="16" t="s">
        <v>8640</v>
      </c>
      <c r="C3440" s="17" t="s">
        <v>6452</v>
      </c>
      <c r="D3440" s="18">
        <v>72.86</v>
      </c>
      <c r="E3440" s="18">
        <v>87.0</v>
      </c>
      <c r="F3440" s="18">
        <v>12.0</v>
      </c>
    </row>
    <row r="3441">
      <c r="A3441" s="15">
        <v>59.0</v>
      </c>
      <c r="B3441" s="16" t="s">
        <v>8641</v>
      </c>
      <c r="C3441" s="17" t="s">
        <v>5731</v>
      </c>
      <c r="D3441" s="18">
        <v>56.07</v>
      </c>
      <c r="E3441" s="18">
        <v>78.5</v>
      </c>
      <c r="F3441" s="18">
        <v>12.0</v>
      </c>
    </row>
    <row r="3442">
      <c r="A3442" s="15">
        <v>60.0</v>
      </c>
      <c r="B3442" s="16" t="s">
        <v>8642</v>
      </c>
      <c r="C3442" s="17" t="s">
        <v>5742</v>
      </c>
      <c r="D3442" s="18">
        <v>39.35</v>
      </c>
      <c r="E3442" s="18">
        <v>55.09</v>
      </c>
      <c r="F3442" s="18">
        <v>12.0</v>
      </c>
    </row>
    <row r="3443">
      <c r="A3443" s="15">
        <v>61.0</v>
      </c>
      <c r="B3443" s="16" t="s">
        <v>8642</v>
      </c>
      <c r="C3443" s="17" t="s">
        <v>5727</v>
      </c>
      <c r="D3443" s="18">
        <v>77.14</v>
      </c>
      <c r="E3443" s="18">
        <v>108.0</v>
      </c>
      <c r="F3443" s="18">
        <v>12.0</v>
      </c>
    </row>
    <row r="3444">
      <c r="A3444" s="15">
        <v>62.0</v>
      </c>
      <c r="B3444" s="16" t="s">
        <v>8643</v>
      </c>
      <c r="C3444" s="17" t="s">
        <v>6604</v>
      </c>
      <c r="D3444" s="18">
        <v>45.0</v>
      </c>
      <c r="E3444" s="18">
        <v>63.0</v>
      </c>
      <c r="F3444" s="18">
        <v>12.0</v>
      </c>
    </row>
    <row r="3445">
      <c r="A3445" s="15">
        <v>63.0</v>
      </c>
      <c r="B3445" s="16" t="s">
        <v>8642</v>
      </c>
      <c r="C3445" s="17" t="s">
        <v>6452</v>
      </c>
      <c r="D3445" s="18">
        <v>56.69</v>
      </c>
      <c r="E3445" s="18">
        <v>79.36</v>
      </c>
      <c r="F3445" s="18">
        <v>12.0</v>
      </c>
    </row>
    <row r="3446">
      <c r="A3446" s="6"/>
      <c r="B3446" s="7"/>
      <c r="C3446" s="7"/>
      <c r="D3446" s="7"/>
      <c r="E3446" s="8"/>
      <c r="F3446" s="16" t="s">
        <v>8644</v>
      </c>
    </row>
    <row r="3447">
      <c r="A3447" s="6"/>
      <c r="B3447" s="7"/>
      <c r="C3447" s="7"/>
      <c r="D3447" s="7"/>
      <c r="E3447" s="7"/>
      <c r="F3447" s="8"/>
    </row>
    <row r="3448">
      <c r="A3448" s="6"/>
      <c r="B3448" s="7"/>
      <c r="C3448" s="7"/>
      <c r="D3448" s="7"/>
      <c r="E3448" s="7"/>
      <c r="F3448" s="8"/>
    </row>
    <row r="3449">
      <c r="A3449" s="6"/>
      <c r="B3449" s="7"/>
      <c r="C3449" s="7"/>
      <c r="D3449" s="7"/>
      <c r="E3449" s="7"/>
      <c r="F3449" s="8"/>
    </row>
    <row r="3450">
      <c r="A3450" s="6"/>
      <c r="B3450" s="7"/>
      <c r="C3450" s="7"/>
      <c r="D3450" s="7"/>
      <c r="E3450" s="7"/>
      <c r="F3450" s="8"/>
    </row>
    <row r="3451">
      <c r="A3451" s="9" t="s">
        <v>5582</v>
      </c>
      <c r="B3451" s="10"/>
      <c r="C3451" s="10"/>
      <c r="D3451" s="10"/>
      <c r="E3451" s="10"/>
      <c r="F3451" s="10"/>
    </row>
    <row r="3452">
      <c r="A3452" s="19" t="s">
        <v>5583</v>
      </c>
    </row>
    <row r="3453">
      <c r="A3453" s="6"/>
      <c r="B3453" s="7"/>
      <c r="C3453" s="7"/>
      <c r="D3453" s="8"/>
      <c r="E3453" s="12" t="s">
        <v>5584</v>
      </c>
      <c r="F3453" s="12" t="s">
        <v>8645</v>
      </c>
    </row>
    <row r="3454">
      <c r="A3454" s="20" t="s">
        <v>5522</v>
      </c>
      <c r="B3454" s="16" t="s">
        <v>5523</v>
      </c>
      <c r="C3454" s="16" t="s">
        <v>5524</v>
      </c>
      <c r="D3454" s="16" t="s">
        <v>5525</v>
      </c>
      <c r="E3454" s="16" t="s">
        <v>5526</v>
      </c>
      <c r="F3454" s="16" t="s">
        <v>5586</v>
      </c>
    </row>
    <row r="3455">
      <c r="A3455" s="15">
        <v>64.0</v>
      </c>
      <c r="B3455" s="16" t="s">
        <v>8646</v>
      </c>
      <c r="C3455" s="17" t="s">
        <v>5827</v>
      </c>
      <c r="D3455" s="18">
        <v>44.64</v>
      </c>
      <c r="E3455" s="18">
        <v>62.5</v>
      </c>
      <c r="F3455" s="18">
        <v>12.0</v>
      </c>
    </row>
    <row r="3456">
      <c r="A3456" s="15">
        <v>65.0</v>
      </c>
      <c r="B3456" s="16" t="s">
        <v>8646</v>
      </c>
      <c r="C3456" s="17" t="s">
        <v>8087</v>
      </c>
      <c r="D3456" s="18">
        <v>42.14</v>
      </c>
      <c r="E3456" s="18">
        <v>59.0</v>
      </c>
      <c r="F3456" s="18">
        <v>12.0</v>
      </c>
    </row>
    <row r="3457">
      <c r="A3457" s="15">
        <v>66.0</v>
      </c>
      <c r="B3457" s="16" t="s">
        <v>2806</v>
      </c>
      <c r="C3457" s="16" t="s">
        <v>5558</v>
      </c>
      <c r="D3457" s="18">
        <v>118.93</v>
      </c>
      <c r="E3457" s="18">
        <v>166.5</v>
      </c>
      <c r="F3457" s="18">
        <v>12.0</v>
      </c>
    </row>
    <row r="3458">
      <c r="A3458" s="15">
        <v>67.0</v>
      </c>
      <c r="B3458" s="16" t="s">
        <v>8647</v>
      </c>
      <c r="C3458" s="17" t="s">
        <v>5636</v>
      </c>
      <c r="D3458" s="18">
        <v>181.62</v>
      </c>
      <c r="E3458" s="18">
        <v>252.0</v>
      </c>
      <c r="F3458" s="18">
        <v>12.0</v>
      </c>
    </row>
    <row r="3459">
      <c r="A3459" s="15">
        <v>68.0</v>
      </c>
      <c r="B3459" s="16" t="s">
        <v>8648</v>
      </c>
      <c r="C3459" s="17" t="s">
        <v>7705</v>
      </c>
      <c r="D3459" s="18">
        <v>133.93</v>
      </c>
      <c r="E3459" s="18">
        <v>187.5</v>
      </c>
      <c r="F3459" s="18">
        <v>12.0</v>
      </c>
    </row>
    <row r="3460">
      <c r="A3460" s="15">
        <v>69.0</v>
      </c>
      <c r="B3460" s="16" t="s">
        <v>2809</v>
      </c>
      <c r="C3460" s="16" t="s">
        <v>5558</v>
      </c>
      <c r="D3460" s="18">
        <v>135.0</v>
      </c>
      <c r="E3460" s="18">
        <v>189.0</v>
      </c>
      <c r="F3460" s="18">
        <v>12.0</v>
      </c>
    </row>
    <row r="3461">
      <c r="A3461" s="15">
        <v>70.0</v>
      </c>
      <c r="B3461" s="16" t="s">
        <v>2810</v>
      </c>
      <c r="C3461" s="16" t="s">
        <v>5679</v>
      </c>
      <c r="D3461" s="18">
        <v>111.43</v>
      </c>
      <c r="E3461" s="18">
        <v>156.0</v>
      </c>
      <c r="F3461" s="18">
        <v>12.0</v>
      </c>
    </row>
    <row r="3462">
      <c r="A3462" s="15">
        <v>71.0</v>
      </c>
      <c r="B3462" s="16" t="s">
        <v>2811</v>
      </c>
      <c r="C3462" s="16" t="s">
        <v>5558</v>
      </c>
      <c r="D3462" s="18">
        <v>41.07</v>
      </c>
      <c r="E3462" s="18">
        <v>55.0</v>
      </c>
      <c r="F3462" s="18">
        <v>12.0</v>
      </c>
    </row>
    <row r="3463">
      <c r="A3463" s="15">
        <v>72.0</v>
      </c>
      <c r="B3463" s="16" t="s">
        <v>8649</v>
      </c>
      <c r="C3463" s="17" t="s">
        <v>5562</v>
      </c>
      <c r="D3463" s="18">
        <v>81.07</v>
      </c>
      <c r="E3463" s="18">
        <v>113.5</v>
      </c>
      <c r="F3463" s="18">
        <v>12.0</v>
      </c>
    </row>
    <row r="3464">
      <c r="A3464" s="15">
        <v>73.0</v>
      </c>
      <c r="B3464" s="16" t="s">
        <v>2813</v>
      </c>
      <c r="C3464" s="16" t="s">
        <v>5558</v>
      </c>
      <c r="D3464" s="18">
        <v>41.81</v>
      </c>
      <c r="E3464" s="18">
        <v>58.0</v>
      </c>
      <c r="F3464" s="18">
        <v>12.0</v>
      </c>
    </row>
    <row r="3465">
      <c r="A3465" s="15">
        <v>74.0</v>
      </c>
      <c r="B3465" s="16" t="s">
        <v>2814</v>
      </c>
      <c r="C3465" s="16" t="s">
        <v>5558</v>
      </c>
      <c r="D3465" s="18">
        <v>70.36</v>
      </c>
      <c r="E3465" s="18">
        <v>98.5</v>
      </c>
      <c r="F3465" s="18">
        <v>12.0</v>
      </c>
    </row>
    <row r="3466">
      <c r="A3466" s="15">
        <v>75.0</v>
      </c>
      <c r="B3466" s="16" t="s">
        <v>8650</v>
      </c>
      <c r="C3466" s="17" t="s">
        <v>8651</v>
      </c>
      <c r="D3466" s="18">
        <v>30.0</v>
      </c>
      <c r="E3466" s="18">
        <v>42.0</v>
      </c>
      <c r="F3466" s="18">
        <v>12.0</v>
      </c>
    </row>
    <row r="3467">
      <c r="A3467" s="15">
        <v>76.0</v>
      </c>
      <c r="B3467" s="16" t="s">
        <v>8652</v>
      </c>
      <c r="C3467" s="17" t="s">
        <v>5747</v>
      </c>
      <c r="D3467" s="18">
        <v>21.79</v>
      </c>
      <c r="E3467" s="18">
        <v>30.5</v>
      </c>
      <c r="F3467" s="18">
        <v>12.0</v>
      </c>
    </row>
    <row r="3468">
      <c r="A3468" s="6"/>
      <c r="B3468" s="7"/>
      <c r="C3468" s="7"/>
      <c r="D3468" s="7"/>
      <c r="E3468" s="7"/>
      <c r="F3468" s="8"/>
    </row>
    <row r="3469">
      <c r="A3469" s="9" t="s">
        <v>8653</v>
      </c>
      <c r="B3469" s="10"/>
      <c r="C3469" s="10"/>
      <c r="D3469" s="10"/>
      <c r="E3469" s="10"/>
      <c r="F3469" s="10"/>
    </row>
    <row r="3470">
      <c r="A3470" s="11">
        <v>1.0</v>
      </c>
      <c r="B3470" s="12" t="s">
        <v>8654</v>
      </c>
      <c r="C3470" s="13" t="s">
        <v>5788</v>
      </c>
      <c r="D3470" s="14">
        <v>86.78</v>
      </c>
      <c r="E3470" s="14">
        <v>128.0</v>
      </c>
      <c r="F3470" s="14">
        <v>18.0</v>
      </c>
    </row>
    <row r="3471">
      <c r="A3471" s="15">
        <v>2.0</v>
      </c>
      <c r="B3471" s="16" t="s">
        <v>8654</v>
      </c>
      <c r="C3471" s="17" t="s">
        <v>8655</v>
      </c>
      <c r="D3471" s="18">
        <v>116.61</v>
      </c>
      <c r="E3471" s="18">
        <v>172.0</v>
      </c>
      <c r="F3471" s="18">
        <v>18.0</v>
      </c>
    </row>
    <row r="3472">
      <c r="A3472" s="15">
        <v>3.0</v>
      </c>
      <c r="B3472" s="16" t="s">
        <v>8656</v>
      </c>
      <c r="C3472" s="17" t="s">
        <v>5536</v>
      </c>
      <c r="D3472" s="18">
        <v>31.36</v>
      </c>
      <c r="E3472" s="18">
        <v>43.9</v>
      </c>
      <c r="F3472" s="18">
        <v>12.0</v>
      </c>
    </row>
    <row r="3473">
      <c r="A3473" s="15">
        <v>4.0</v>
      </c>
      <c r="B3473" s="16" t="s">
        <v>8657</v>
      </c>
      <c r="C3473" s="17" t="s">
        <v>5636</v>
      </c>
      <c r="D3473" s="18">
        <v>51.43</v>
      </c>
      <c r="E3473" s="18">
        <v>72.0</v>
      </c>
      <c r="F3473" s="18">
        <v>12.0</v>
      </c>
    </row>
    <row r="3474">
      <c r="A3474" s="15">
        <v>5.0</v>
      </c>
      <c r="B3474" s="16" t="s">
        <v>8658</v>
      </c>
      <c r="C3474" s="17" t="s">
        <v>5562</v>
      </c>
      <c r="D3474" s="18">
        <v>39.21</v>
      </c>
      <c r="E3474" s="18">
        <v>54.9</v>
      </c>
      <c r="F3474" s="18">
        <v>12.0</v>
      </c>
    </row>
    <row r="3475">
      <c r="A3475" s="15">
        <v>6.0</v>
      </c>
      <c r="B3475" s="16" t="s">
        <v>8659</v>
      </c>
      <c r="C3475" s="17" t="s">
        <v>5562</v>
      </c>
      <c r="D3475" s="18">
        <v>72.79</v>
      </c>
      <c r="E3475" s="18">
        <v>101.9</v>
      </c>
      <c r="F3475" s="18">
        <v>12.0</v>
      </c>
    </row>
    <row r="3476">
      <c r="A3476" s="15">
        <v>7.0</v>
      </c>
      <c r="B3476" s="16" t="s">
        <v>8660</v>
      </c>
      <c r="C3476" s="17" t="s">
        <v>5636</v>
      </c>
      <c r="D3476" s="18">
        <v>113.22</v>
      </c>
      <c r="E3476" s="18">
        <v>167.0</v>
      </c>
      <c r="F3476" s="18">
        <v>18.0</v>
      </c>
    </row>
    <row r="3477">
      <c r="A3477" s="15">
        <v>8.0</v>
      </c>
      <c r="B3477" s="16" t="s">
        <v>8661</v>
      </c>
      <c r="C3477" s="17" t="s">
        <v>5536</v>
      </c>
      <c r="D3477" s="18">
        <v>44.64</v>
      </c>
      <c r="E3477" s="18">
        <v>62.5</v>
      </c>
      <c r="F3477" s="18">
        <v>12.0</v>
      </c>
    </row>
    <row r="3478">
      <c r="A3478" s="15">
        <v>9.0</v>
      </c>
      <c r="B3478" s="16" t="s">
        <v>2826</v>
      </c>
      <c r="C3478" s="16" t="s">
        <v>5558</v>
      </c>
      <c r="D3478" s="18">
        <v>87.11</v>
      </c>
      <c r="E3478" s="18">
        <v>128.5</v>
      </c>
      <c r="F3478" s="18">
        <v>18.0</v>
      </c>
    </row>
    <row r="3479">
      <c r="A3479" s="15">
        <v>10.0</v>
      </c>
      <c r="B3479" s="16" t="s">
        <v>8662</v>
      </c>
      <c r="C3479" s="17" t="s">
        <v>5536</v>
      </c>
      <c r="D3479" s="18">
        <v>51.43</v>
      </c>
      <c r="E3479" s="18">
        <v>72.0</v>
      </c>
      <c r="F3479" s="18">
        <v>12.0</v>
      </c>
    </row>
    <row r="3480">
      <c r="A3480" s="15">
        <v>11.0</v>
      </c>
      <c r="B3480" s="16" t="s">
        <v>8663</v>
      </c>
      <c r="C3480" s="17" t="s">
        <v>5636</v>
      </c>
      <c r="D3480" s="18">
        <v>68.21</v>
      </c>
      <c r="E3480" s="18">
        <v>95.5</v>
      </c>
      <c r="F3480" s="18">
        <v>12.0</v>
      </c>
    </row>
    <row r="3481">
      <c r="A3481" s="15">
        <v>12.0</v>
      </c>
      <c r="B3481" s="16" t="s">
        <v>8664</v>
      </c>
      <c r="C3481" s="17" t="s">
        <v>5636</v>
      </c>
      <c r="D3481" s="18">
        <v>16.07</v>
      </c>
      <c r="E3481" s="18">
        <v>22.5</v>
      </c>
      <c r="F3481" s="18">
        <v>12.0</v>
      </c>
    </row>
    <row r="3482">
      <c r="A3482" s="15">
        <v>13.0</v>
      </c>
      <c r="B3482" s="16" t="s">
        <v>8665</v>
      </c>
      <c r="C3482" s="17" t="s">
        <v>5636</v>
      </c>
      <c r="D3482" s="18">
        <v>19.64</v>
      </c>
      <c r="E3482" s="18">
        <v>27.5</v>
      </c>
      <c r="F3482" s="18">
        <v>12.0</v>
      </c>
    </row>
    <row r="3483">
      <c r="A3483" s="15">
        <v>14.0</v>
      </c>
      <c r="B3483" s="16" t="s">
        <v>8666</v>
      </c>
      <c r="C3483" s="17" t="s">
        <v>5657</v>
      </c>
      <c r="D3483" s="18">
        <v>106.43</v>
      </c>
      <c r="E3483" s="18">
        <v>149.0</v>
      </c>
      <c r="F3483" s="18">
        <v>12.0</v>
      </c>
    </row>
    <row r="3484">
      <c r="A3484" s="15">
        <v>15.0</v>
      </c>
      <c r="B3484" s="16" t="s">
        <v>8667</v>
      </c>
      <c r="C3484" s="17" t="s">
        <v>5636</v>
      </c>
      <c r="D3484" s="18">
        <v>8.79</v>
      </c>
      <c r="E3484" s="18">
        <v>12.3</v>
      </c>
      <c r="F3484" s="18">
        <v>12.0</v>
      </c>
    </row>
    <row r="3485">
      <c r="A3485" s="15">
        <v>16.0</v>
      </c>
      <c r="B3485" s="16" t="s">
        <v>8668</v>
      </c>
      <c r="C3485" s="17" t="s">
        <v>5636</v>
      </c>
      <c r="D3485" s="18">
        <v>24.37</v>
      </c>
      <c r="E3485" s="18">
        <v>34.12</v>
      </c>
      <c r="F3485" s="18">
        <v>12.0</v>
      </c>
    </row>
    <row r="3486">
      <c r="A3486" s="15">
        <v>17.0</v>
      </c>
      <c r="B3486" s="16" t="s">
        <v>8669</v>
      </c>
      <c r="C3486" s="17" t="s">
        <v>5636</v>
      </c>
      <c r="D3486" s="18">
        <v>48.93</v>
      </c>
      <c r="E3486" s="18">
        <v>68.5</v>
      </c>
      <c r="F3486" s="18">
        <v>12.0</v>
      </c>
    </row>
    <row r="3487">
      <c r="A3487" s="15">
        <v>18.0</v>
      </c>
      <c r="B3487" s="16" t="s">
        <v>8670</v>
      </c>
      <c r="C3487" s="17" t="s">
        <v>5636</v>
      </c>
      <c r="D3487" s="18">
        <v>102.86</v>
      </c>
      <c r="E3487" s="18">
        <v>144.0</v>
      </c>
      <c r="F3487" s="18">
        <v>12.0</v>
      </c>
    </row>
    <row r="3488">
      <c r="A3488" s="15">
        <v>19.0</v>
      </c>
      <c r="B3488" s="16" t="s">
        <v>8671</v>
      </c>
      <c r="C3488" s="17" t="s">
        <v>8672</v>
      </c>
      <c r="D3488" s="18">
        <v>26.29</v>
      </c>
      <c r="E3488" s="18">
        <v>36.8</v>
      </c>
      <c r="F3488" s="18">
        <v>12.0</v>
      </c>
    </row>
    <row r="3489">
      <c r="A3489" s="15">
        <v>20.0</v>
      </c>
      <c r="B3489" s="16" t="s">
        <v>8673</v>
      </c>
      <c r="C3489" s="17" t="s">
        <v>5562</v>
      </c>
      <c r="D3489" s="18">
        <v>26.07</v>
      </c>
      <c r="E3489" s="18">
        <v>36.5</v>
      </c>
      <c r="F3489" s="18">
        <v>12.0</v>
      </c>
    </row>
    <row r="3490">
      <c r="A3490" s="15">
        <v>21.0</v>
      </c>
      <c r="B3490" s="16" t="s">
        <v>8674</v>
      </c>
      <c r="C3490" s="17" t="s">
        <v>5562</v>
      </c>
      <c r="D3490" s="18">
        <v>55.71</v>
      </c>
      <c r="E3490" s="18">
        <v>78.0</v>
      </c>
      <c r="F3490" s="18">
        <v>12.0</v>
      </c>
    </row>
    <row r="3491">
      <c r="A3491" s="15">
        <v>22.0</v>
      </c>
      <c r="B3491" s="16" t="s">
        <v>8675</v>
      </c>
      <c r="C3491" s="17" t="s">
        <v>5536</v>
      </c>
      <c r="D3491" s="18">
        <v>71.43</v>
      </c>
      <c r="E3491" s="18">
        <v>100.0</v>
      </c>
      <c r="F3491" s="18">
        <v>12.0</v>
      </c>
    </row>
    <row r="3492">
      <c r="A3492" s="15">
        <v>23.0</v>
      </c>
      <c r="B3492" s="16" t="s">
        <v>8676</v>
      </c>
      <c r="C3492" s="17" t="s">
        <v>5536</v>
      </c>
      <c r="D3492" s="18">
        <v>25.0</v>
      </c>
      <c r="E3492" s="18">
        <v>35.0</v>
      </c>
      <c r="F3492" s="18">
        <v>12.0</v>
      </c>
    </row>
    <row r="3493">
      <c r="A3493" s="15">
        <v>24.0</v>
      </c>
      <c r="B3493" s="16" t="s">
        <v>8677</v>
      </c>
      <c r="C3493" s="17" t="s">
        <v>5536</v>
      </c>
      <c r="D3493" s="18">
        <v>42.14</v>
      </c>
      <c r="E3493" s="18">
        <v>59.0</v>
      </c>
      <c r="F3493" s="18">
        <v>12.0</v>
      </c>
    </row>
    <row r="3494">
      <c r="A3494" s="15">
        <v>25.0</v>
      </c>
      <c r="B3494" s="16" t="s">
        <v>8678</v>
      </c>
      <c r="C3494" s="17" t="s">
        <v>5636</v>
      </c>
      <c r="D3494" s="18">
        <v>32.14</v>
      </c>
      <c r="E3494" s="18">
        <v>45.0</v>
      </c>
      <c r="F3494" s="18">
        <v>12.0</v>
      </c>
    </row>
    <row r="3495">
      <c r="A3495" s="15">
        <v>26.0</v>
      </c>
      <c r="B3495" s="16" t="s">
        <v>8679</v>
      </c>
      <c r="C3495" s="17" t="s">
        <v>5536</v>
      </c>
      <c r="D3495" s="18">
        <v>67.86</v>
      </c>
      <c r="E3495" s="18">
        <v>95.0</v>
      </c>
      <c r="F3495" s="18">
        <v>12.0</v>
      </c>
    </row>
    <row r="3496">
      <c r="A3496" s="15">
        <v>27.0</v>
      </c>
      <c r="B3496" s="16" t="s">
        <v>8680</v>
      </c>
      <c r="C3496" s="17" t="s">
        <v>5536</v>
      </c>
      <c r="D3496" s="18">
        <v>46.43</v>
      </c>
      <c r="E3496" s="18">
        <v>65.0</v>
      </c>
      <c r="F3496" s="18">
        <v>12.0</v>
      </c>
    </row>
    <row r="3497">
      <c r="A3497" s="15">
        <v>28.0</v>
      </c>
      <c r="B3497" s="16" t="s">
        <v>8681</v>
      </c>
      <c r="C3497" s="17" t="s">
        <v>5536</v>
      </c>
      <c r="D3497" s="18">
        <v>57.07</v>
      </c>
      <c r="E3497" s="18">
        <v>79.9</v>
      </c>
      <c r="F3497" s="18">
        <v>12.0</v>
      </c>
    </row>
    <row r="3498">
      <c r="A3498" s="6"/>
      <c r="B3498" s="7"/>
      <c r="C3498" s="7"/>
      <c r="D3498" s="7"/>
      <c r="E3498" s="7"/>
      <c r="F3498" s="8"/>
    </row>
    <row r="3499">
      <c r="A3499" s="9" t="s">
        <v>8682</v>
      </c>
      <c r="B3499" s="10"/>
      <c r="C3499" s="10"/>
      <c r="D3499" s="10"/>
      <c r="E3499" s="10"/>
      <c r="F3499" s="10"/>
    </row>
    <row r="3500">
      <c r="A3500" s="11">
        <v>1.0</v>
      </c>
      <c r="B3500" s="12" t="s">
        <v>2846</v>
      </c>
      <c r="C3500" s="12" t="s">
        <v>5558</v>
      </c>
      <c r="D3500" s="14">
        <v>151.34</v>
      </c>
      <c r="E3500" s="14">
        <v>210.0</v>
      </c>
      <c r="F3500" s="14">
        <v>12.0</v>
      </c>
    </row>
    <row r="3501">
      <c r="A3501" s="15">
        <v>2.0</v>
      </c>
      <c r="B3501" s="16" t="s">
        <v>8683</v>
      </c>
      <c r="C3501" s="17" t="s">
        <v>6308</v>
      </c>
      <c r="D3501" s="18">
        <v>139.37</v>
      </c>
      <c r="E3501" s="18">
        <v>225.0</v>
      </c>
      <c r="F3501" s="18">
        <v>18.0</v>
      </c>
    </row>
    <row r="3502">
      <c r="A3502" s="6"/>
      <c r="B3502" s="7"/>
      <c r="C3502" s="7"/>
      <c r="D3502" s="7"/>
      <c r="E3502" s="7"/>
      <c r="F3502" s="8"/>
    </row>
    <row r="3503">
      <c r="A3503" s="9" t="s">
        <v>8684</v>
      </c>
      <c r="B3503" s="10"/>
      <c r="C3503" s="10"/>
      <c r="D3503" s="10"/>
      <c r="E3503" s="10"/>
      <c r="F3503" s="10"/>
    </row>
    <row r="3504">
      <c r="A3504" s="6"/>
      <c r="B3504" s="7"/>
      <c r="C3504" s="7"/>
      <c r="D3504" s="7"/>
      <c r="E3504" s="7"/>
      <c r="F3504" s="8"/>
    </row>
    <row r="3505">
      <c r="A3505" s="9" t="s">
        <v>8685</v>
      </c>
      <c r="B3505" s="10"/>
      <c r="C3505" s="10"/>
      <c r="D3505" s="10"/>
      <c r="E3505" s="10"/>
      <c r="F3505" s="10"/>
    </row>
    <row r="3506">
      <c r="A3506" s="6"/>
      <c r="B3506" s="7"/>
      <c r="C3506" s="7"/>
      <c r="D3506" s="7"/>
      <c r="E3506" s="7"/>
      <c r="F3506" s="8"/>
    </row>
    <row r="3507">
      <c r="A3507" s="9" t="s">
        <v>8686</v>
      </c>
      <c r="B3507" s="10"/>
      <c r="C3507" s="10"/>
      <c r="D3507" s="10"/>
      <c r="E3507" s="10"/>
      <c r="F3507" s="10"/>
    </row>
    <row r="3508">
      <c r="A3508" s="6"/>
      <c r="B3508" s="7"/>
      <c r="C3508" s="7"/>
      <c r="D3508" s="7"/>
      <c r="E3508" s="7"/>
      <c r="F3508" s="8"/>
    </row>
    <row r="3509">
      <c r="A3509" s="9" t="s">
        <v>8687</v>
      </c>
      <c r="B3509" s="10"/>
      <c r="C3509" s="10"/>
      <c r="D3509" s="10"/>
      <c r="E3509" s="10"/>
      <c r="F3509" s="10"/>
    </row>
    <row r="3510">
      <c r="A3510" s="6"/>
      <c r="B3510" s="7"/>
      <c r="C3510" s="7"/>
      <c r="D3510" s="7"/>
      <c r="E3510" s="7"/>
      <c r="F3510" s="8"/>
    </row>
    <row r="3511">
      <c r="A3511" s="9" t="s">
        <v>8688</v>
      </c>
      <c r="B3511" s="10"/>
      <c r="C3511" s="10"/>
      <c r="D3511" s="10"/>
      <c r="E3511" s="10"/>
      <c r="F3511" s="10"/>
    </row>
    <row r="3512">
      <c r="A3512" s="6"/>
      <c r="B3512" s="7"/>
      <c r="C3512" s="7"/>
      <c r="D3512" s="7"/>
      <c r="E3512" s="7"/>
      <c r="F3512" s="8"/>
    </row>
    <row r="3513">
      <c r="A3513" s="9" t="s">
        <v>8689</v>
      </c>
      <c r="B3513" s="10"/>
      <c r="C3513" s="10"/>
      <c r="D3513" s="10"/>
      <c r="E3513" s="10"/>
      <c r="F3513" s="10"/>
    </row>
    <row r="3514">
      <c r="A3514" s="6"/>
      <c r="B3514" s="7"/>
      <c r="C3514" s="7"/>
      <c r="D3514" s="7"/>
      <c r="E3514" s="7"/>
      <c r="F3514" s="8"/>
    </row>
    <row r="3515">
      <c r="A3515" s="9" t="s">
        <v>8690</v>
      </c>
      <c r="B3515" s="10"/>
      <c r="C3515" s="10"/>
      <c r="D3515" s="10"/>
      <c r="E3515" s="10"/>
      <c r="F3515" s="10"/>
    </row>
    <row r="3516">
      <c r="A3516" s="6"/>
      <c r="B3516" s="7"/>
      <c r="C3516" s="7"/>
      <c r="D3516" s="7"/>
      <c r="E3516" s="8"/>
      <c r="F3516" s="12" t="s">
        <v>8691</v>
      </c>
    </row>
    <row r="3517">
      <c r="A3517" s="6"/>
      <c r="B3517" s="7"/>
      <c r="C3517" s="7"/>
      <c r="D3517" s="7"/>
      <c r="E3517" s="7"/>
      <c r="F3517" s="8"/>
    </row>
    <row r="3518">
      <c r="A3518" s="6"/>
      <c r="B3518" s="7"/>
      <c r="C3518" s="7"/>
      <c r="D3518" s="7"/>
      <c r="E3518" s="7"/>
      <c r="F3518" s="8"/>
    </row>
    <row r="3519">
      <c r="A3519" s="6"/>
      <c r="B3519" s="7"/>
      <c r="C3519" s="7"/>
      <c r="D3519" s="7"/>
      <c r="E3519" s="7"/>
      <c r="F3519" s="8"/>
    </row>
    <row r="3520">
      <c r="A3520" s="6"/>
      <c r="B3520" s="7"/>
      <c r="C3520" s="7"/>
      <c r="D3520" s="7"/>
      <c r="E3520" s="7"/>
      <c r="F3520" s="8"/>
    </row>
    <row r="3521">
      <c r="A3521" s="9" t="s">
        <v>5582</v>
      </c>
      <c r="B3521" s="10"/>
      <c r="C3521" s="10"/>
      <c r="D3521" s="10"/>
      <c r="E3521" s="10"/>
      <c r="F3521" s="10"/>
    </row>
    <row r="3522">
      <c r="A3522" s="19" t="s">
        <v>5583</v>
      </c>
    </row>
    <row r="3523">
      <c r="A3523" s="6"/>
      <c r="B3523" s="7"/>
      <c r="C3523" s="7"/>
      <c r="D3523" s="8"/>
      <c r="E3523" s="12" t="s">
        <v>5584</v>
      </c>
      <c r="F3523" s="12" t="s">
        <v>8692</v>
      </c>
    </row>
    <row r="3524">
      <c r="A3524" s="20" t="s">
        <v>5522</v>
      </c>
      <c r="B3524" s="16" t="s">
        <v>5523</v>
      </c>
      <c r="C3524" s="16" t="s">
        <v>5524</v>
      </c>
      <c r="D3524" s="16" t="s">
        <v>5525</v>
      </c>
      <c r="E3524" s="16" t="s">
        <v>5526</v>
      </c>
      <c r="F3524" s="16" t="s">
        <v>5586</v>
      </c>
    </row>
    <row r="3525">
      <c r="A3525" s="6"/>
      <c r="B3525" s="7"/>
      <c r="C3525" s="7"/>
      <c r="D3525" s="7"/>
      <c r="E3525" s="7"/>
      <c r="F3525" s="8"/>
    </row>
    <row r="3526">
      <c r="A3526" s="9" t="s">
        <v>8693</v>
      </c>
      <c r="B3526" s="10"/>
      <c r="C3526" s="10"/>
      <c r="D3526" s="10"/>
      <c r="E3526" s="10"/>
      <c r="F3526" s="10"/>
    </row>
    <row r="3527">
      <c r="A3527" s="11">
        <v>1.0</v>
      </c>
      <c r="B3527" s="12" t="s">
        <v>8694</v>
      </c>
      <c r="C3527" s="13" t="s">
        <v>5580</v>
      </c>
      <c r="D3527" s="14">
        <v>37.14</v>
      </c>
      <c r="E3527" s="14">
        <v>52.0</v>
      </c>
      <c r="F3527" s="14">
        <v>12.0</v>
      </c>
    </row>
    <row r="3528">
      <c r="A3528" s="15">
        <v>2.0</v>
      </c>
      <c r="B3528" s="16" t="s">
        <v>8694</v>
      </c>
      <c r="C3528" s="17" t="s">
        <v>5665</v>
      </c>
      <c r="D3528" s="18">
        <v>65.71</v>
      </c>
      <c r="E3528" s="18">
        <v>92.0</v>
      </c>
      <c r="F3528" s="18">
        <v>12.0</v>
      </c>
    </row>
    <row r="3529">
      <c r="A3529" s="15">
        <v>3.0</v>
      </c>
      <c r="B3529" s="16" t="s">
        <v>8695</v>
      </c>
      <c r="C3529" s="17" t="s">
        <v>5530</v>
      </c>
      <c r="D3529" s="18">
        <v>16.43</v>
      </c>
      <c r="E3529" s="18">
        <v>23.0</v>
      </c>
      <c r="F3529" s="18">
        <v>12.0</v>
      </c>
    </row>
    <row r="3530">
      <c r="A3530" s="15">
        <v>4.0</v>
      </c>
      <c r="B3530" s="16" t="s">
        <v>8695</v>
      </c>
      <c r="C3530" s="17" t="s">
        <v>5531</v>
      </c>
      <c r="D3530" s="18">
        <v>40.0</v>
      </c>
      <c r="E3530" s="18">
        <v>56.0</v>
      </c>
      <c r="F3530" s="18">
        <v>12.0</v>
      </c>
    </row>
    <row r="3531">
      <c r="A3531" s="15">
        <v>5.0</v>
      </c>
      <c r="B3531" s="16" t="s">
        <v>8696</v>
      </c>
      <c r="C3531" s="17" t="s">
        <v>5536</v>
      </c>
      <c r="D3531" s="18">
        <v>78.57</v>
      </c>
      <c r="E3531" s="18">
        <v>110.0</v>
      </c>
      <c r="F3531" s="18">
        <v>12.0</v>
      </c>
    </row>
    <row r="3532">
      <c r="A3532" s="15">
        <v>6.0</v>
      </c>
      <c r="B3532" s="16" t="s">
        <v>8697</v>
      </c>
      <c r="C3532" s="17" t="s">
        <v>5580</v>
      </c>
      <c r="D3532" s="18">
        <v>40.71</v>
      </c>
      <c r="E3532" s="18">
        <v>57.0</v>
      </c>
      <c r="F3532" s="18">
        <v>12.0</v>
      </c>
    </row>
    <row r="3533">
      <c r="A3533" s="15">
        <v>7.0</v>
      </c>
      <c r="B3533" s="16" t="s">
        <v>8697</v>
      </c>
      <c r="C3533" s="17" t="s">
        <v>5665</v>
      </c>
      <c r="D3533" s="18">
        <v>84.96</v>
      </c>
      <c r="E3533" s="18">
        <v>118.95</v>
      </c>
      <c r="F3533" s="18">
        <v>12.0</v>
      </c>
    </row>
    <row r="3534">
      <c r="A3534" s="15">
        <v>8.0</v>
      </c>
      <c r="B3534" s="16" t="s">
        <v>8698</v>
      </c>
      <c r="C3534" s="17" t="s">
        <v>8699</v>
      </c>
      <c r="D3534" s="18">
        <v>142.86</v>
      </c>
      <c r="E3534" s="18">
        <v>200.0</v>
      </c>
      <c r="F3534" s="18">
        <v>12.0</v>
      </c>
    </row>
    <row r="3535">
      <c r="A3535" s="15">
        <v>9.0</v>
      </c>
      <c r="B3535" s="16" t="s">
        <v>8700</v>
      </c>
      <c r="C3535" s="17" t="s">
        <v>5536</v>
      </c>
      <c r="D3535" s="18">
        <v>13.57</v>
      </c>
      <c r="E3535" s="18">
        <v>19.0</v>
      </c>
      <c r="F3535" s="18">
        <v>12.0</v>
      </c>
    </row>
    <row r="3536">
      <c r="A3536" s="15">
        <v>10.0</v>
      </c>
      <c r="B3536" s="16" t="s">
        <v>8701</v>
      </c>
      <c r="C3536" s="17" t="s">
        <v>5788</v>
      </c>
      <c r="D3536" s="18">
        <v>51.43</v>
      </c>
      <c r="E3536" s="18">
        <v>72.0</v>
      </c>
      <c r="F3536" s="18">
        <v>12.0</v>
      </c>
    </row>
    <row r="3537">
      <c r="A3537" s="15">
        <v>11.0</v>
      </c>
      <c r="B3537" s="16" t="s">
        <v>8701</v>
      </c>
      <c r="C3537" s="17" t="s">
        <v>5657</v>
      </c>
      <c r="D3537" s="18">
        <v>38.57</v>
      </c>
      <c r="E3537" s="18">
        <v>54.0</v>
      </c>
      <c r="F3537" s="18">
        <v>12.0</v>
      </c>
    </row>
    <row r="3538">
      <c r="A3538" s="15">
        <v>12.0</v>
      </c>
      <c r="B3538" s="16" t="s">
        <v>8702</v>
      </c>
      <c r="C3538" s="17" t="s">
        <v>5536</v>
      </c>
      <c r="D3538" s="18">
        <v>52.86</v>
      </c>
      <c r="E3538" s="18">
        <v>74.0</v>
      </c>
      <c r="F3538" s="18">
        <v>12.0</v>
      </c>
    </row>
    <row r="3539">
      <c r="A3539" s="15">
        <v>13.0</v>
      </c>
      <c r="B3539" s="16" t="s">
        <v>8703</v>
      </c>
      <c r="C3539" s="17" t="s">
        <v>5636</v>
      </c>
      <c r="D3539" s="18">
        <v>78.57</v>
      </c>
      <c r="E3539" s="18">
        <v>110.0</v>
      </c>
      <c r="F3539" s="18">
        <v>12.0</v>
      </c>
    </row>
    <row r="3540">
      <c r="A3540" s="15">
        <v>14.0</v>
      </c>
      <c r="B3540" s="16" t="s">
        <v>8704</v>
      </c>
      <c r="C3540" s="17" t="s">
        <v>5636</v>
      </c>
      <c r="D3540" s="18">
        <v>71.42</v>
      </c>
      <c r="E3540" s="18">
        <v>100.0</v>
      </c>
      <c r="F3540" s="18">
        <v>12.0</v>
      </c>
    </row>
    <row r="3541">
      <c r="A3541" s="15">
        <v>15.0</v>
      </c>
      <c r="B3541" s="16" t="s">
        <v>8705</v>
      </c>
      <c r="C3541" s="17" t="s">
        <v>5636</v>
      </c>
      <c r="D3541" s="18">
        <v>21.43</v>
      </c>
      <c r="E3541" s="18">
        <v>30.0</v>
      </c>
      <c r="F3541" s="18">
        <v>12.0</v>
      </c>
    </row>
    <row r="3542">
      <c r="A3542" s="15">
        <v>16.0</v>
      </c>
      <c r="B3542" s="16" t="s">
        <v>8706</v>
      </c>
      <c r="C3542" s="17" t="s">
        <v>5636</v>
      </c>
      <c r="D3542" s="18">
        <v>30.0</v>
      </c>
      <c r="E3542" s="18">
        <v>42.0</v>
      </c>
      <c r="F3542" s="18">
        <v>12.0</v>
      </c>
    </row>
    <row r="3543">
      <c r="A3543" s="15">
        <v>17.0</v>
      </c>
      <c r="B3543" s="16" t="s">
        <v>8707</v>
      </c>
      <c r="C3543" s="17" t="s">
        <v>5536</v>
      </c>
      <c r="D3543" s="18">
        <v>73.57</v>
      </c>
      <c r="E3543" s="18">
        <v>103.0</v>
      </c>
      <c r="F3543" s="18">
        <v>12.0</v>
      </c>
    </row>
    <row r="3544">
      <c r="A3544" s="15">
        <v>18.0</v>
      </c>
      <c r="B3544" s="16" t="s">
        <v>8708</v>
      </c>
      <c r="C3544" s="17" t="s">
        <v>5665</v>
      </c>
      <c r="D3544" s="18">
        <v>335.71</v>
      </c>
      <c r="E3544" s="18">
        <v>470.0</v>
      </c>
      <c r="F3544" s="18">
        <v>12.0</v>
      </c>
    </row>
    <row r="3545">
      <c r="A3545" s="15">
        <v>19.0</v>
      </c>
      <c r="B3545" s="16" t="s">
        <v>8709</v>
      </c>
      <c r="C3545" s="17" t="s">
        <v>5636</v>
      </c>
      <c r="D3545" s="18">
        <v>357.14</v>
      </c>
      <c r="E3545" s="18">
        <v>500.0</v>
      </c>
      <c r="F3545" s="18">
        <v>12.0</v>
      </c>
    </row>
    <row r="3546">
      <c r="A3546" s="15">
        <v>20.0</v>
      </c>
      <c r="B3546" s="16" t="s">
        <v>8710</v>
      </c>
      <c r="C3546" s="17" t="s">
        <v>7424</v>
      </c>
      <c r="D3546" s="18">
        <v>57.14</v>
      </c>
      <c r="E3546" s="18">
        <v>80.0</v>
      </c>
      <c r="F3546" s="18">
        <v>12.0</v>
      </c>
    </row>
    <row r="3547">
      <c r="A3547" s="15">
        <v>21.0</v>
      </c>
      <c r="B3547" s="16" t="s">
        <v>8711</v>
      </c>
      <c r="C3547" s="17" t="s">
        <v>5536</v>
      </c>
      <c r="D3547" s="18">
        <v>92.86</v>
      </c>
      <c r="E3547" s="18">
        <v>130.0</v>
      </c>
      <c r="F3547" s="18">
        <v>12.0</v>
      </c>
    </row>
    <row r="3548">
      <c r="A3548" s="6"/>
      <c r="B3548" s="7"/>
      <c r="C3548" s="7"/>
      <c r="D3548" s="7"/>
      <c r="E3548" s="7"/>
      <c r="F3548" s="8"/>
    </row>
    <row r="3549">
      <c r="A3549" s="9" t="s">
        <v>8712</v>
      </c>
      <c r="B3549" s="10"/>
      <c r="C3549" s="10"/>
      <c r="D3549" s="10"/>
      <c r="E3549" s="10"/>
      <c r="F3549" s="10"/>
    </row>
    <row r="3550">
      <c r="A3550" s="11">
        <v>1.0</v>
      </c>
      <c r="B3550" s="12" t="s">
        <v>8713</v>
      </c>
      <c r="C3550" s="12" t="s">
        <v>1124</v>
      </c>
      <c r="D3550" s="14">
        <v>84.29</v>
      </c>
      <c r="E3550" s="14">
        <v>118.0</v>
      </c>
      <c r="F3550" s="14">
        <v>12.0</v>
      </c>
    </row>
    <row r="3551">
      <c r="A3551" s="15">
        <v>2.0</v>
      </c>
      <c r="B3551" s="16" t="s">
        <v>8714</v>
      </c>
      <c r="C3551" s="16" t="s">
        <v>8715</v>
      </c>
      <c r="D3551" s="18">
        <v>56.95</v>
      </c>
      <c r="E3551" s="18">
        <v>84.0</v>
      </c>
      <c r="F3551" s="18">
        <v>18.0</v>
      </c>
    </row>
    <row r="3552">
      <c r="A3552" s="15">
        <v>3.0</v>
      </c>
      <c r="B3552" s="16" t="s">
        <v>8716</v>
      </c>
      <c r="C3552" s="17" t="s">
        <v>8717</v>
      </c>
      <c r="D3552" s="18">
        <v>162.03</v>
      </c>
      <c r="E3552" s="18">
        <v>239.0</v>
      </c>
      <c r="F3552" s="18">
        <v>18.0</v>
      </c>
    </row>
    <row r="3553">
      <c r="A3553" s="15">
        <v>4.0</v>
      </c>
      <c r="B3553" s="16" t="s">
        <v>8718</v>
      </c>
      <c r="C3553" s="17" t="s">
        <v>5636</v>
      </c>
      <c r="D3553" s="18">
        <v>85.71</v>
      </c>
      <c r="E3553" s="18">
        <v>120.0</v>
      </c>
      <c r="F3553" s="18">
        <v>12.0</v>
      </c>
    </row>
    <row r="3554">
      <c r="A3554" s="15">
        <v>5.0</v>
      </c>
      <c r="B3554" s="16" t="s">
        <v>8719</v>
      </c>
      <c r="C3554" s="17" t="s">
        <v>5731</v>
      </c>
      <c r="D3554" s="18">
        <v>100.0</v>
      </c>
      <c r="E3554" s="18">
        <v>140.0</v>
      </c>
      <c r="F3554" s="18">
        <v>12.0</v>
      </c>
    </row>
    <row r="3555">
      <c r="A3555" s="15">
        <v>6.0</v>
      </c>
      <c r="B3555" s="16" t="s">
        <v>8720</v>
      </c>
      <c r="C3555" s="16" t="s">
        <v>8715</v>
      </c>
      <c r="D3555" s="18">
        <v>40.0</v>
      </c>
      <c r="E3555" s="18">
        <v>59.0</v>
      </c>
      <c r="F3555" s="18">
        <v>18.0</v>
      </c>
    </row>
    <row r="3556">
      <c r="A3556" s="15">
        <v>7.0</v>
      </c>
      <c r="B3556" s="16" t="s">
        <v>8721</v>
      </c>
      <c r="C3556" s="17" t="s">
        <v>7287</v>
      </c>
      <c r="D3556" s="18">
        <v>162.14</v>
      </c>
      <c r="E3556" s="18">
        <v>227.0</v>
      </c>
      <c r="F3556" s="18">
        <v>12.0</v>
      </c>
    </row>
    <row r="3557">
      <c r="A3557" s="15">
        <v>8.0</v>
      </c>
      <c r="B3557" s="16" t="s">
        <v>8721</v>
      </c>
      <c r="C3557" s="17" t="s">
        <v>8722</v>
      </c>
      <c r="D3557" s="18">
        <v>225.0</v>
      </c>
      <c r="E3557" s="18">
        <v>315.0</v>
      </c>
      <c r="F3557" s="18">
        <v>12.0</v>
      </c>
    </row>
    <row r="3558">
      <c r="A3558" s="15">
        <v>9.0</v>
      </c>
      <c r="B3558" s="16" t="s">
        <v>8723</v>
      </c>
      <c r="C3558" s="17" t="s">
        <v>5731</v>
      </c>
      <c r="D3558" s="18">
        <v>60.0</v>
      </c>
      <c r="E3558" s="18">
        <v>84.0</v>
      </c>
      <c r="F3558" s="18">
        <v>12.0</v>
      </c>
    </row>
    <row r="3559">
      <c r="A3559" s="15">
        <v>10.0</v>
      </c>
      <c r="B3559" s="16" t="s">
        <v>8724</v>
      </c>
      <c r="C3559" s="17" t="s">
        <v>8725</v>
      </c>
      <c r="D3559" s="18">
        <v>207.14</v>
      </c>
      <c r="E3559" s="18">
        <v>290.0</v>
      </c>
      <c r="F3559" s="18">
        <v>12.0</v>
      </c>
    </row>
    <row r="3560">
      <c r="A3560" s="15">
        <v>11.0</v>
      </c>
      <c r="B3560" s="16" t="s">
        <v>8726</v>
      </c>
      <c r="C3560" s="16" t="s">
        <v>7779</v>
      </c>
      <c r="D3560" s="18">
        <v>128.81</v>
      </c>
      <c r="E3560" s="18">
        <v>190.0</v>
      </c>
      <c r="F3560" s="18">
        <v>18.0</v>
      </c>
    </row>
    <row r="3561">
      <c r="A3561" s="15">
        <v>12.0</v>
      </c>
      <c r="B3561" s="16" t="s">
        <v>8726</v>
      </c>
      <c r="C3561" s="16" t="s">
        <v>8137</v>
      </c>
      <c r="D3561" s="18">
        <v>71.19</v>
      </c>
      <c r="E3561" s="18">
        <v>105.0</v>
      </c>
      <c r="F3561" s="18">
        <v>18.0</v>
      </c>
    </row>
    <row r="3562">
      <c r="A3562" s="15">
        <v>13.0</v>
      </c>
      <c r="B3562" s="16" t="s">
        <v>8727</v>
      </c>
      <c r="C3562" s="17" t="s">
        <v>5827</v>
      </c>
      <c r="D3562" s="18">
        <v>80.0</v>
      </c>
      <c r="E3562" s="18">
        <v>112.0</v>
      </c>
      <c r="F3562" s="18">
        <v>12.0</v>
      </c>
    </row>
    <row r="3563">
      <c r="A3563" s="15">
        <v>14.0</v>
      </c>
      <c r="B3563" s="16" t="s">
        <v>8727</v>
      </c>
      <c r="C3563" s="17" t="s">
        <v>5745</v>
      </c>
      <c r="D3563" s="18">
        <v>87.86</v>
      </c>
      <c r="E3563" s="18">
        <v>123.0</v>
      </c>
      <c r="F3563" s="18">
        <v>12.0</v>
      </c>
    </row>
    <row r="3564">
      <c r="A3564" s="15">
        <v>15.0</v>
      </c>
      <c r="B3564" s="16" t="s">
        <v>8727</v>
      </c>
      <c r="C3564" s="17" t="s">
        <v>6452</v>
      </c>
      <c r="D3564" s="18">
        <v>132.14</v>
      </c>
      <c r="E3564" s="18">
        <v>169.0</v>
      </c>
      <c r="F3564" s="18">
        <v>12.0</v>
      </c>
    </row>
    <row r="3565">
      <c r="A3565" s="15">
        <v>16.0</v>
      </c>
      <c r="B3565" s="16" t="s">
        <v>8728</v>
      </c>
      <c r="C3565" s="16" t="s">
        <v>2290</v>
      </c>
      <c r="D3565" s="18">
        <v>70.0</v>
      </c>
      <c r="E3565" s="18">
        <v>98.0</v>
      </c>
      <c r="F3565" s="18">
        <v>12.0</v>
      </c>
    </row>
    <row r="3566">
      <c r="A3566" s="15">
        <v>17.0</v>
      </c>
      <c r="B3566" s="16" t="s">
        <v>8728</v>
      </c>
      <c r="C3566" s="16" t="s">
        <v>301</v>
      </c>
      <c r="D3566" s="18">
        <v>142.14</v>
      </c>
      <c r="E3566" s="18">
        <v>199.0</v>
      </c>
      <c r="F3566" s="18">
        <v>12.0</v>
      </c>
    </row>
    <row r="3567">
      <c r="A3567" s="15">
        <v>18.0</v>
      </c>
      <c r="B3567" s="16" t="s">
        <v>8729</v>
      </c>
      <c r="C3567" s="17" t="s">
        <v>8730</v>
      </c>
      <c r="D3567" s="18">
        <v>124.07</v>
      </c>
      <c r="E3567" s="18">
        <v>183.0</v>
      </c>
      <c r="F3567" s="18">
        <v>18.0</v>
      </c>
    </row>
    <row r="3568">
      <c r="A3568" s="15">
        <v>19.0</v>
      </c>
      <c r="B3568" s="16" t="s">
        <v>8731</v>
      </c>
      <c r="C3568" s="16" t="s">
        <v>6399</v>
      </c>
      <c r="D3568" s="18">
        <v>65.71</v>
      </c>
      <c r="E3568" s="18">
        <v>92.0</v>
      </c>
      <c r="F3568" s="18">
        <v>12.0</v>
      </c>
    </row>
    <row r="3569">
      <c r="A3569" s="15">
        <v>20.0</v>
      </c>
      <c r="B3569" s="16" t="s">
        <v>8731</v>
      </c>
      <c r="C3569" s="16" t="s">
        <v>8732</v>
      </c>
      <c r="D3569" s="18">
        <v>164.29</v>
      </c>
      <c r="E3569" s="18">
        <v>230.0</v>
      </c>
      <c r="F3569" s="18">
        <v>12.0</v>
      </c>
    </row>
    <row r="3570">
      <c r="A3570" s="15">
        <v>21.0</v>
      </c>
      <c r="B3570" s="16" t="s">
        <v>8733</v>
      </c>
      <c r="C3570" s="16" t="s">
        <v>7779</v>
      </c>
      <c r="D3570" s="18">
        <v>110.0</v>
      </c>
      <c r="E3570" s="18">
        <v>154.0</v>
      </c>
      <c r="F3570" s="18">
        <v>12.0</v>
      </c>
    </row>
    <row r="3571">
      <c r="A3571" s="15">
        <v>22.0</v>
      </c>
      <c r="B3571" s="16" t="s">
        <v>8733</v>
      </c>
      <c r="C3571" s="16" t="s">
        <v>8137</v>
      </c>
      <c r="D3571" s="18">
        <v>61.07</v>
      </c>
      <c r="E3571" s="18">
        <v>85.5</v>
      </c>
      <c r="F3571" s="18">
        <v>12.0</v>
      </c>
    </row>
    <row r="3572">
      <c r="A3572" s="15">
        <v>23.0</v>
      </c>
      <c r="B3572" s="16" t="s">
        <v>8734</v>
      </c>
      <c r="C3572" s="17" t="s">
        <v>5731</v>
      </c>
      <c r="D3572" s="18">
        <v>184.29</v>
      </c>
      <c r="E3572" s="18">
        <v>258.0</v>
      </c>
      <c r="F3572" s="18">
        <v>12.0</v>
      </c>
    </row>
    <row r="3573">
      <c r="A3573" s="15">
        <v>24.0</v>
      </c>
      <c r="B3573" s="16" t="s">
        <v>8735</v>
      </c>
      <c r="C3573" s="17" t="s">
        <v>8736</v>
      </c>
      <c r="D3573" s="18">
        <v>85.37</v>
      </c>
      <c r="E3573" s="18">
        <v>99.0</v>
      </c>
      <c r="F3573" s="18">
        <v>18.0</v>
      </c>
    </row>
    <row r="3574">
      <c r="A3574" s="15">
        <v>25.0</v>
      </c>
      <c r="B3574" s="16" t="s">
        <v>8737</v>
      </c>
      <c r="C3574" s="17" t="s">
        <v>5788</v>
      </c>
      <c r="D3574" s="18">
        <v>74.29</v>
      </c>
      <c r="E3574" s="18">
        <v>104.0</v>
      </c>
      <c r="F3574" s="18">
        <v>12.0</v>
      </c>
    </row>
    <row r="3575">
      <c r="A3575" s="15">
        <v>26.0</v>
      </c>
      <c r="B3575" s="16" t="s">
        <v>8738</v>
      </c>
      <c r="C3575" s="17" t="s">
        <v>5742</v>
      </c>
      <c r="D3575" s="18">
        <v>242.86</v>
      </c>
      <c r="E3575" s="18">
        <v>340.0</v>
      </c>
      <c r="F3575" s="18">
        <v>12.0</v>
      </c>
    </row>
    <row r="3576">
      <c r="A3576" s="15">
        <v>27.0</v>
      </c>
      <c r="B3576" s="16" t="s">
        <v>8739</v>
      </c>
      <c r="C3576" s="17" t="s">
        <v>5636</v>
      </c>
      <c r="D3576" s="18">
        <v>57.86</v>
      </c>
      <c r="E3576" s="18">
        <v>81.0</v>
      </c>
      <c r="F3576" s="18">
        <v>12.0</v>
      </c>
    </row>
    <row r="3577">
      <c r="A3577" s="15">
        <v>28.0</v>
      </c>
      <c r="B3577" s="16" t="s">
        <v>8740</v>
      </c>
      <c r="C3577" s="17" t="s">
        <v>5827</v>
      </c>
      <c r="D3577" s="18">
        <v>92.14</v>
      </c>
      <c r="E3577" s="18">
        <v>129.0</v>
      </c>
      <c r="F3577" s="18">
        <v>12.0</v>
      </c>
    </row>
    <row r="3578">
      <c r="A3578" s="15">
        <v>29.0</v>
      </c>
      <c r="B3578" s="16" t="s">
        <v>8741</v>
      </c>
      <c r="C3578" s="17" t="s">
        <v>5731</v>
      </c>
      <c r="D3578" s="18">
        <v>92.86</v>
      </c>
      <c r="E3578" s="18">
        <v>130.0</v>
      </c>
      <c r="F3578" s="18">
        <v>12.0</v>
      </c>
    </row>
    <row r="3579">
      <c r="A3579" s="15">
        <v>30.0</v>
      </c>
      <c r="B3579" s="16" t="s">
        <v>8741</v>
      </c>
      <c r="C3579" s="17" t="s">
        <v>8742</v>
      </c>
      <c r="D3579" s="18">
        <v>180.18</v>
      </c>
      <c r="E3579" s="18">
        <v>250.0</v>
      </c>
      <c r="F3579" s="18">
        <v>12.0</v>
      </c>
    </row>
    <row r="3580">
      <c r="A3580" s="15">
        <v>31.0</v>
      </c>
      <c r="B3580" s="16" t="s">
        <v>8743</v>
      </c>
      <c r="C3580" s="17" t="s">
        <v>8744</v>
      </c>
      <c r="D3580" s="18">
        <v>156.61</v>
      </c>
      <c r="E3580" s="18">
        <v>231.0</v>
      </c>
      <c r="F3580" s="18">
        <v>18.0</v>
      </c>
    </row>
    <row r="3581">
      <c r="A3581" s="15">
        <v>32.0</v>
      </c>
      <c r="B3581" s="16" t="s">
        <v>8743</v>
      </c>
      <c r="C3581" s="17" t="s">
        <v>7508</v>
      </c>
      <c r="D3581" s="18">
        <v>111.86</v>
      </c>
      <c r="E3581" s="18">
        <v>165.0</v>
      </c>
      <c r="F3581" s="18">
        <v>18.0</v>
      </c>
    </row>
    <row r="3582">
      <c r="A3582" s="15">
        <v>33.0</v>
      </c>
      <c r="B3582" s="16" t="s">
        <v>8745</v>
      </c>
      <c r="C3582" s="17" t="s">
        <v>8746</v>
      </c>
      <c r="D3582" s="18">
        <v>110.71</v>
      </c>
      <c r="E3582" s="18">
        <v>155.0</v>
      </c>
      <c r="F3582" s="18">
        <v>12.0</v>
      </c>
    </row>
    <row r="3583">
      <c r="A3583" s="15">
        <v>34.0</v>
      </c>
      <c r="B3583" s="16" t="s">
        <v>8747</v>
      </c>
      <c r="C3583" s="17" t="s">
        <v>7960</v>
      </c>
      <c r="D3583" s="18">
        <v>139.29</v>
      </c>
      <c r="E3583" s="18">
        <v>195.0</v>
      </c>
      <c r="F3583" s="18">
        <v>12.0</v>
      </c>
    </row>
    <row r="3584">
      <c r="A3584" s="6"/>
      <c r="B3584" s="7"/>
      <c r="C3584" s="7"/>
      <c r="D3584" s="7"/>
      <c r="E3584" s="7"/>
      <c r="F3584" s="8"/>
    </row>
    <row r="3585">
      <c r="A3585" s="9" t="s">
        <v>8748</v>
      </c>
      <c r="B3585" s="10"/>
      <c r="C3585" s="10"/>
      <c r="D3585" s="10"/>
      <c r="E3585" s="10"/>
      <c r="F3585" s="10"/>
    </row>
    <row r="3586">
      <c r="A3586" s="6"/>
      <c r="B3586" s="7"/>
      <c r="C3586" s="7"/>
      <c r="D3586" s="7"/>
      <c r="E3586" s="8"/>
      <c r="F3586" s="12" t="s">
        <v>8749</v>
      </c>
    </row>
    <row r="3587">
      <c r="A3587" s="6"/>
      <c r="B3587" s="7"/>
      <c r="C3587" s="7"/>
      <c r="D3587" s="7"/>
      <c r="E3587" s="7"/>
      <c r="F3587" s="8"/>
    </row>
    <row r="3588">
      <c r="A3588" s="6"/>
      <c r="B3588" s="7"/>
      <c r="C3588" s="7"/>
      <c r="D3588" s="7"/>
      <c r="E3588" s="7"/>
      <c r="F3588" s="8"/>
    </row>
    <row r="3589">
      <c r="A3589" s="6"/>
      <c r="B3589" s="7"/>
      <c r="C3589" s="7"/>
      <c r="D3589" s="7"/>
      <c r="E3589" s="7"/>
      <c r="F3589" s="8"/>
    </row>
    <row r="3590">
      <c r="A3590" s="6"/>
      <c r="B3590" s="7"/>
      <c r="C3590" s="7"/>
      <c r="D3590" s="7"/>
      <c r="E3590" s="7"/>
      <c r="F3590" s="8"/>
    </row>
    <row r="3591">
      <c r="A3591" s="9" t="s">
        <v>5582</v>
      </c>
      <c r="B3591" s="10"/>
      <c r="C3591" s="10"/>
      <c r="D3591" s="10"/>
      <c r="E3591" s="10"/>
      <c r="F3591" s="10"/>
    </row>
    <row r="3592">
      <c r="A3592" s="19" t="s">
        <v>5583</v>
      </c>
    </row>
    <row r="3593">
      <c r="A3593" s="6"/>
      <c r="B3593" s="7"/>
      <c r="C3593" s="7"/>
      <c r="D3593" s="8"/>
      <c r="E3593" s="12" t="s">
        <v>5584</v>
      </c>
      <c r="F3593" s="12" t="s">
        <v>8750</v>
      </c>
    </row>
    <row r="3594">
      <c r="A3594" s="20" t="s">
        <v>5522</v>
      </c>
      <c r="B3594" s="16" t="s">
        <v>5523</v>
      </c>
      <c r="C3594" s="16" t="s">
        <v>5524</v>
      </c>
      <c r="D3594" s="16" t="s">
        <v>5525</v>
      </c>
      <c r="E3594" s="16" t="s">
        <v>5526</v>
      </c>
      <c r="F3594" s="16" t="s">
        <v>5586</v>
      </c>
    </row>
    <row r="3595">
      <c r="A3595" s="15">
        <v>1.0</v>
      </c>
      <c r="B3595" s="16" t="s">
        <v>8751</v>
      </c>
      <c r="C3595" s="17" t="s">
        <v>8752</v>
      </c>
      <c r="D3595" s="18">
        <v>116.43</v>
      </c>
      <c r="E3595" s="18">
        <v>163.0</v>
      </c>
      <c r="F3595" s="18">
        <v>12.0</v>
      </c>
    </row>
    <row r="3596">
      <c r="A3596" s="15">
        <v>2.0</v>
      </c>
      <c r="B3596" s="16" t="s">
        <v>8751</v>
      </c>
      <c r="C3596" s="17" t="s">
        <v>5999</v>
      </c>
      <c r="D3596" s="18">
        <v>84.29</v>
      </c>
      <c r="E3596" s="18">
        <v>118.0</v>
      </c>
      <c r="F3596" s="18">
        <v>12.0</v>
      </c>
    </row>
    <row r="3597">
      <c r="A3597" s="15">
        <v>3.0</v>
      </c>
      <c r="B3597" s="16" t="s">
        <v>8753</v>
      </c>
      <c r="C3597" s="17" t="s">
        <v>8542</v>
      </c>
      <c r="D3597" s="18">
        <v>62.14</v>
      </c>
      <c r="E3597" s="18">
        <v>87.0</v>
      </c>
      <c r="F3597" s="18">
        <v>12.0</v>
      </c>
    </row>
    <row r="3598">
      <c r="A3598" s="15">
        <v>4.0</v>
      </c>
      <c r="B3598" s="16" t="s">
        <v>8754</v>
      </c>
      <c r="C3598" s="17" t="s">
        <v>8755</v>
      </c>
      <c r="D3598" s="18">
        <v>63.05</v>
      </c>
      <c r="E3598" s="18">
        <v>93.0</v>
      </c>
      <c r="F3598" s="18">
        <v>18.0</v>
      </c>
    </row>
    <row r="3599">
      <c r="A3599" s="15">
        <v>5.0</v>
      </c>
      <c r="B3599" s="16" t="s">
        <v>8756</v>
      </c>
      <c r="C3599" s="17" t="s">
        <v>5731</v>
      </c>
      <c r="D3599" s="18">
        <v>61.43</v>
      </c>
      <c r="E3599" s="18">
        <v>86.0</v>
      </c>
      <c r="F3599" s="18">
        <v>12.0</v>
      </c>
    </row>
    <row r="3600">
      <c r="A3600" s="15">
        <v>6.0</v>
      </c>
      <c r="B3600" s="16" t="s">
        <v>8757</v>
      </c>
      <c r="C3600" s="17" t="s">
        <v>8758</v>
      </c>
      <c r="D3600" s="18">
        <v>257.14</v>
      </c>
      <c r="E3600" s="18">
        <v>360.0</v>
      </c>
      <c r="F3600" s="18">
        <v>12.0</v>
      </c>
    </row>
    <row r="3601">
      <c r="A3601" s="15">
        <v>7.0</v>
      </c>
      <c r="B3601" s="16" t="s">
        <v>8759</v>
      </c>
      <c r="C3601" s="17" t="s">
        <v>5768</v>
      </c>
      <c r="D3601" s="18">
        <v>53.34</v>
      </c>
      <c r="E3601" s="18">
        <v>74.0</v>
      </c>
      <c r="F3601" s="18">
        <v>12.0</v>
      </c>
    </row>
    <row r="3602">
      <c r="A3602" s="15">
        <v>8.0</v>
      </c>
      <c r="B3602" s="16" t="s">
        <v>8760</v>
      </c>
      <c r="C3602" s="17" t="s">
        <v>8761</v>
      </c>
      <c r="D3602" s="18">
        <v>57.14</v>
      </c>
      <c r="E3602" s="18">
        <v>80.0</v>
      </c>
      <c r="F3602" s="18">
        <v>12.0</v>
      </c>
    </row>
    <row r="3603">
      <c r="A3603" s="15">
        <v>9.0</v>
      </c>
      <c r="B3603" s="16" t="s">
        <v>8762</v>
      </c>
      <c r="C3603" s="17" t="s">
        <v>6803</v>
      </c>
      <c r="D3603" s="18">
        <v>40.0</v>
      </c>
      <c r="E3603" s="18">
        <v>56.0</v>
      </c>
      <c r="F3603" s="18">
        <v>12.0</v>
      </c>
    </row>
    <row r="3604">
      <c r="A3604" s="15">
        <v>10.0</v>
      </c>
      <c r="B3604" s="16" t="s">
        <v>8762</v>
      </c>
      <c r="C3604" s="17" t="s">
        <v>5768</v>
      </c>
      <c r="D3604" s="18">
        <v>67.14</v>
      </c>
      <c r="E3604" s="18">
        <v>94.0</v>
      </c>
      <c r="F3604" s="18">
        <v>12.0</v>
      </c>
    </row>
    <row r="3605">
      <c r="A3605" s="15">
        <v>11.0</v>
      </c>
      <c r="B3605" s="16" t="s">
        <v>8763</v>
      </c>
      <c r="C3605" s="17" t="s">
        <v>8574</v>
      </c>
      <c r="D3605" s="18">
        <v>46.43</v>
      </c>
      <c r="E3605" s="18">
        <v>65.0</v>
      </c>
      <c r="F3605" s="18">
        <v>12.0</v>
      </c>
    </row>
    <row r="3606">
      <c r="A3606" s="15">
        <v>12.0</v>
      </c>
      <c r="B3606" s="16" t="s">
        <v>8764</v>
      </c>
      <c r="C3606" s="17" t="s">
        <v>5614</v>
      </c>
      <c r="D3606" s="18">
        <v>112.5</v>
      </c>
      <c r="E3606" s="18">
        <v>157.5</v>
      </c>
      <c r="F3606" s="18">
        <v>12.0</v>
      </c>
    </row>
    <row r="3607">
      <c r="A3607" s="15">
        <v>13.0</v>
      </c>
      <c r="B3607" s="16" t="s">
        <v>8765</v>
      </c>
      <c r="C3607" s="17" t="s">
        <v>5614</v>
      </c>
      <c r="D3607" s="18">
        <v>228.57</v>
      </c>
      <c r="E3607" s="18">
        <v>320.0</v>
      </c>
      <c r="F3607" s="18">
        <v>12.0</v>
      </c>
    </row>
    <row r="3608">
      <c r="A3608" s="15">
        <v>14.0</v>
      </c>
      <c r="B3608" s="16" t="s">
        <v>8766</v>
      </c>
      <c r="C3608" s="17" t="s">
        <v>8767</v>
      </c>
      <c r="D3608" s="18">
        <v>85.71</v>
      </c>
      <c r="E3608" s="18">
        <v>120.0</v>
      </c>
      <c r="F3608" s="18">
        <v>12.0</v>
      </c>
    </row>
    <row r="3609">
      <c r="A3609" s="15">
        <v>15.0</v>
      </c>
      <c r="B3609" s="16" t="s">
        <v>8766</v>
      </c>
      <c r="C3609" s="17" t="s">
        <v>6899</v>
      </c>
      <c r="D3609" s="18">
        <v>140.0</v>
      </c>
      <c r="E3609" s="18">
        <v>196.0</v>
      </c>
      <c r="F3609" s="18">
        <v>12.0</v>
      </c>
    </row>
    <row r="3610">
      <c r="A3610" s="15">
        <v>16.0</v>
      </c>
      <c r="B3610" s="16" t="s">
        <v>8766</v>
      </c>
      <c r="C3610" s="17" t="s">
        <v>8768</v>
      </c>
      <c r="D3610" s="18">
        <v>39.29</v>
      </c>
      <c r="E3610" s="18">
        <v>55.0</v>
      </c>
      <c r="F3610" s="18">
        <v>12.0</v>
      </c>
    </row>
    <row r="3611">
      <c r="A3611" s="15">
        <v>17.0</v>
      </c>
      <c r="B3611" s="16" t="s">
        <v>8737</v>
      </c>
      <c r="C3611" s="17" t="s">
        <v>7508</v>
      </c>
      <c r="D3611" s="18">
        <v>73.82</v>
      </c>
      <c r="E3611" s="18">
        <v>105.0</v>
      </c>
      <c r="F3611" s="18">
        <v>18.0</v>
      </c>
    </row>
    <row r="3612">
      <c r="A3612" s="15">
        <v>18.0</v>
      </c>
      <c r="B3612" s="16" t="s">
        <v>8769</v>
      </c>
      <c r="C3612" s="17" t="s">
        <v>5536</v>
      </c>
      <c r="D3612" s="18">
        <v>13.57</v>
      </c>
      <c r="E3612" s="18">
        <v>19.0</v>
      </c>
      <c r="F3612" s="18">
        <v>12.0</v>
      </c>
    </row>
    <row r="3613">
      <c r="A3613" s="15">
        <v>19.0</v>
      </c>
      <c r="B3613" s="16" t="s">
        <v>8770</v>
      </c>
      <c r="C3613" s="17" t="s">
        <v>6401</v>
      </c>
      <c r="D3613" s="18">
        <v>29.63</v>
      </c>
      <c r="E3613" s="18">
        <v>39.5</v>
      </c>
      <c r="F3613" s="18">
        <v>12.0</v>
      </c>
    </row>
    <row r="3614">
      <c r="A3614" s="15">
        <v>20.0</v>
      </c>
      <c r="B3614" s="16" t="s">
        <v>8771</v>
      </c>
      <c r="C3614" s="16" t="s">
        <v>8715</v>
      </c>
      <c r="D3614" s="18">
        <v>56.95</v>
      </c>
      <c r="E3614" s="18">
        <v>84.0</v>
      </c>
      <c r="F3614" s="18">
        <v>18.0</v>
      </c>
    </row>
    <row r="3615">
      <c r="A3615" s="15">
        <v>21.0</v>
      </c>
      <c r="B3615" s="16" t="s">
        <v>8772</v>
      </c>
      <c r="C3615" s="16" t="s">
        <v>301</v>
      </c>
      <c r="D3615" s="18">
        <v>43.14</v>
      </c>
      <c r="E3615" s="18">
        <v>57.0</v>
      </c>
      <c r="F3615" s="18">
        <v>12.0</v>
      </c>
    </row>
    <row r="3616">
      <c r="A3616" s="15">
        <v>22.0</v>
      </c>
      <c r="B3616" s="16" t="s">
        <v>8773</v>
      </c>
      <c r="C3616" s="17" t="s">
        <v>5999</v>
      </c>
      <c r="D3616" s="18">
        <v>43.23</v>
      </c>
      <c r="E3616" s="18">
        <v>60.0</v>
      </c>
      <c r="F3616" s="18">
        <v>12.0</v>
      </c>
    </row>
    <row r="3617">
      <c r="A3617" s="15">
        <v>23.0</v>
      </c>
      <c r="B3617" s="16" t="s">
        <v>8774</v>
      </c>
      <c r="C3617" s="17" t="s">
        <v>8177</v>
      </c>
      <c r="D3617" s="18">
        <v>46.28</v>
      </c>
      <c r="E3617" s="18">
        <v>68.0</v>
      </c>
      <c r="F3617" s="18">
        <v>18.0</v>
      </c>
    </row>
    <row r="3618">
      <c r="A3618" s="15">
        <v>24.0</v>
      </c>
      <c r="B3618" s="16" t="s">
        <v>8774</v>
      </c>
      <c r="C3618" s="17" t="s">
        <v>8775</v>
      </c>
      <c r="D3618" s="18">
        <v>60.34</v>
      </c>
      <c r="E3618" s="18">
        <v>89.0</v>
      </c>
      <c r="F3618" s="18">
        <v>18.0</v>
      </c>
    </row>
    <row r="3619">
      <c r="A3619" s="15">
        <v>25.0</v>
      </c>
      <c r="B3619" s="16" t="s">
        <v>8776</v>
      </c>
      <c r="C3619" s="17" t="s">
        <v>8777</v>
      </c>
      <c r="D3619" s="18">
        <v>89.48</v>
      </c>
      <c r="E3619" s="18">
        <v>120.0</v>
      </c>
      <c r="F3619" s="18">
        <v>18.0</v>
      </c>
    </row>
    <row r="3620">
      <c r="A3620" s="15">
        <v>26.0</v>
      </c>
      <c r="B3620" s="16" t="s">
        <v>8778</v>
      </c>
      <c r="C3620" s="17" t="s">
        <v>5788</v>
      </c>
      <c r="D3620" s="18">
        <v>152.54</v>
      </c>
      <c r="E3620" s="18">
        <v>225.0</v>
      </c>
      <c r="F3620" s="18">
        <v>18.0</v>
      </c>
    </row>
    <row r="3621">
      <c r="A3621" s="15">
        <v>27.0</v>
      </c>
      <c r="B3621" s="16" t="s">
        <v>8779</v>
      </c>
      <c r="C3621" s="17" t="s">
        <v>6803</v>
      </c>
      <c r="D3621" s="18">
        <v>31.0</v>
      </c>
      <c r="E3621" s="18">
        <v>43.0</v>
      </c>
      <c r="F3621" s="18">
        <v>12.0</v>
      </c>
    </row>
    <row r="3622">
      <c r="A3622" s="15">
        <v>28.0</v>
      </c>
      <c r="B3622" s="16" t="s">
        <v>8779</v>
      </c>
      <c r="C3622" s="17" t="s">
        <v>8780</v>
      </c>
      <c r="D3622" s="18">
        <v>23.08</v>
      </c>
      <c r="E3622" s="18">
        <v>32.0</v>
      </c>
      <c r="F3622" s="18">
        <v>12.0</v>
      </c>
    </row>
    <row r="3623">
      <c r="A3623" s="15">
        <v>29.0</v>
      </c>
      <c r="B3623" s="16" t="s">
        <v>8779</v>
      </c>
      <c r="C3623" s="17" t="s">
        <v>8781</v>
      </c>
      <c r="D3623" s="18">
        <v>47.14</v>
      </c>
      <c r="E3623" s="18">
        <v>66.0</v>
      </c>
      <c r="F3623" s="18">
        <v>12.0</v>
      </c>
    </row>
    <row r="3624">
      <c r="A3624" s="15">
        <v>30.0</v>
      </c>
      <c r="B3624" s="16" t="s">
        <v>8779</v>
      </c>
      <c r="C3624" s="17" t="s">
        <v>5657</v>
      </c>
      <c r="D3624" s="18">
        <v>49.29</v>
      </c>
      <c r="E3624" s="18">
        <v>69.0</v>
      </c>
      <c r="F3624" s="18">
        <v>12.0</v>
      </c>
    </row>
    <row r="3625">
      <c r="A3625" s="15">
        <v>31.0</v>
      </c>
      <c r="B3625" s="16" t="s">
        <v>8779</v>
      </c>
      <c r="C3625" s="17" t="s">
        <v>5804</v>
      </c>
      <c r="D3625" s="18">
        <v>37.14</v>
      </c>
      <c r="E3625" s="18">
        <v>52.0</v>
      </c>
      <c r="F3625" s="18">
        <v>12.0</v>
      </c>
    </row>
    <row r="3626">
      <c r="A3626" s="15">
        <v>32.0</v>
      </c>
      <c r="B3626" s="16" t="s">
        <v>2937</v>
      </c>
      <c r="C3626" s="16" t="s">
        <v>5544</v>
      </c>
      <c r="D3626" s="18">
        <v>47.14</v>
      </c>
      <c r="E3626" s="18">
        <v>66.0</v>
      </c>
      <c r="F3626" s="18">
        <v>12.0</v>
      </c>
    </row>
    <row r="3627">
      <c r="A3627" s="6"/>
      <c r="B3627" s="7"/>
      <c r="C3627" s="7"/>
      <c r="D3627" s="7"/>
      <c r="E3627" s="7"/>
      <c r="F3627" s="8"/>
    </row>
    <row r="3628">
      <c r="A3628" s="9" t="s">
        <v>8782</v>
      </c>
      <c r="B3628" s="10"/>
      <c r="C3628" s="10"/>
      <c r="D3628" s="10"/>
      <c r="E3628" s="10"/>
      <c r="F3628" s="10"/>
    </row>
    <row r="3629">
      <c r="A3629" s="11">
        <v>1.0</v>
      </c>
      <c r="B3629" s="12" t="s">
        <v>8743</v>
      </c>
      <c r="C3629" s="13" t="s">
        <v>5636</v>
      </c>
      <c r="D3629" s="14">
        <v>74.58</v>
      </c>
      <c r="E3629" s="14">
        <v>110.0</v>
      </c>
      <c r="F3629" s="14">
        <v>18.0</v>
      </c>
    </row>
    <row r="3630">
      <c r="A3630" s="6"/>
      <c r="B3630" s="7"/>
      <c r="C3630" s="7"/>
      <c r="D3630" s="7"/>
      <c r="E3630" s="7"/>
      <c r="F3630" s="8"/>
    </row>
    <row r="3631">
      <c r="A3631" s="9" t="s">
        <v>2940</v>
      </c>
      <c r="B3631" s="10"/>
      <c r="C3631" s="10"/>
      <c r="D3631" s="10"/>
      <c r="E3631" s="10"/>
      <c r="F3631" s="10"/>
    </row>
    <row r="3632">
      <c r="A3632" s="11">
        <v>1.0</v>
      </c>
      <c r="B3632" s="12" t="s">
        <v>8783</v>
      </c>
      <c r="C3632" s="13" t="s">
        <v>8784</v>
      </c>
      <c r="D3632" s="14">
        <v>11430.0</v>
      </c>
      <c r="E3632" s="14">
        <v>24000.0</v>
      </c>
      <c r="F3632" s="14">
        <v>5.0</v>
      </c>
    </row>
    <row r="3633">
      <c r="A3633" s="6"/>
      <c r="B3633" s="7"/>
      <c r="C3633" s="7"/>
      <c r="D3633" s="7"/>
      <c r="E3633" s="7"/>
      <c r="F3633" s="8"/>
    </row>
    <row r="3634">
      <c r="A3634" s="9" t="s">
        <v>8785</v>
      </c>
      <c r="B3634" s="10"/>
      <c r="C3634" s="10"/>
      <c r="D3634" s="10"/>
      <c r="E3634" s="10"/>
      <c r="F3634" s="10"/>
    </row>
    <row r="3635">
      <c r="A3635" s="11">
        <v>1.0</v>
      </c>
      <c r="B3635" s="12" t="s">
        <v>8786</v>
      </c>
      <c r="C3635" s="13" t="s">
        <v>5788</v>
      </c>
      <c r="D3635" s="14">
        <v>5.14</v>
      </c>
      <c r="E3635" s="14">
        <v>7.22</v>
      </c>
      <c r="F3635" s="14">
        <v>12.0</v>
      </c>
    </row>
    <row r="3636">
      <c r="A3636" s="6"/>
      <c r="B3636" s="7"/>
      <c r="C3636" s="7"/>
      <c r="D3636" s="7"/>
      <c r="E3636" s="7"/>
      <c r="F3636" s="8"/>
    </row>
    <row r="3637">
      <c r="A3637" s="9" t="s">
        <v>8787</v>
      </c>
      <c r="B3637" s="10"/>
      <c r="C3637" s="10"/>
      <c r="D3637" s="10"/>
      <c r="E3637" s="10"/>
      <c r="F3637" s="10"/>
    </row>
    <row r="3638">
      <c r="A3638" s="11">
        <v>1.0</v>
      </c>
      <c r="B3638" s="12" t="s">
        <v>8788</v>
      </c>
      <c r="C3638" s="13" t="s">
        <v>5636</v>
      </c>
      <c r="D3638" s="14">
        <v>47.86</v>
      </c>
      <c r="E3638" s="14">
        <v>67.0</v>
      </c>
      <c r="F3638" s="14">
        <v>12.0</v>
      </c>
    </row>
    <row r="3639">
      <c r="A3639" s="15">
        <v>2.0</v>
      </c>
      <c r="B3639" s="16" t="s">
        <v>8789</v>
      </c>
      <c r="C3639" s="17" t="s">
        <v>8790</v>
      </c>
      <c r="D3639" s="18">
        <v>18.57</v>
      </c>
      <c r="E3639" s="18">
        <v>26.0</v>
      </c>
      <c r="F3639" s="18">
        <v>12.0</v>
      </c>
    </row>
    <row r="3640">
      <c r="A3640" s="15">
        <v>3.0</v>
      </c>
      <c r="B3640" s="16" t="s">
        <v>8789</v>
      </c>
      <c r="C3640" s="17" t="s">
        <v>5804</v>
      </c>
      <c r="D3640" s="18">
        <v>25.23</v>
      </c>
      <c r="E3640" s="18">
        <v>34.65</v>
      </c>
      <c r="F3640" s="18">
        <v>12.0</v>
      </c>
    </row>
    <row r="3641">
      <c r="A3641" s="15">
        <v>4.0</v>
      </c>
      <c r="B3641" s="16" t="s">
        <v>8789</v>
      </c>
      <c r="C3641" s="17" t="s">
        <v>5636</v>
      </c>
      <c r="D3641" s="18">
        <v>12.0</v>
      </c>
      <c r="E3641" s="18">
        <v>16.8</v>
      </c>
      <c r="F3641" s="18">
        <v>12.0</v>
      </c>
    </row>
    <row r="3642">
      <c r="A3642" s="15">
        <v>5.0</v>
      </c>
      <c r="B3642" s="16" t="s">
        <v>8791</v>
      </c>
      <c r="C3642" s="17" t="s">
        <v>6898</v>
      </c>
      <c r="D3642" s="18">
        <v>112.86</v>
      </c>
      <c r="E3642" s="18">
        <v>158.0</v>
      </c>
      <c r="F3642" s="18">
        <v>12.0</v>
      </c>
    </row>
    <row r="3643">
      <c r="A3643" s="15">
        <v>6.0</v>
      </c>
      <c r="B3643" s="16" t="s">
        <v>8791</v>
      </c>
      <c r="C3643" s="17" t="s">
        <v>6899</v>
      </c>
      <c r="D3643" s="18">
        <v>134.88</v>
      </c>
      <c r="E3643" s="18">
        <v>188.83</v>
      </c>
      <c r="F3643" s="18">
        <v>12.0</v>
      </c>
    </row>
    <row r="3644">
      <c r="A3644" s="15">
        <v>7.0</v>
      </c>
      <c r="B3644" s="16" t="s">
        <v>8791</v>
      </c>
      <c r="C3644" s="17" t="s">
        <v>8792</v>
      </c>
      <c r="D3644" s="18">
        <v>40.8</v>
      </c>
      <c r="E3644" s="18">
        <v>57.12</v>
      </c>
      <c r="F3644" s="18">
        <v>12.0</v>
      </c>
    </row>
    <row r="3645">
      <c r="A3645" s="15">
        <v>8.0</v>
      </c>
      <c r="B3645" s="16" t="s">
        <v>8791</v>
      </c>
      <c r="C3645" s="17" t="s">
        <v>8793</v>
      </c>
      <c r="D3645" s="18">
        <v>76.34</v>
      </c>
      <c r="E3645" s="18">
        <v>106.87</v>
      </c>
      <c r="F3645" s="18">
        <v>12.0</v>
      </c>
    </row>
    <row r="3646">
      <c r="A3646" s="15">
        <v>9.0</v>
      </c>
      <c r="B3646" s="16" t="s">
        <v>8791</v>
      </c>
      <c r="C3646" s="17" t="s">
        <v>5671</v>
      </c>
      <c r="D3646" s="18">
        <v>73.93</v>
      </c>
      <c r="E3646" s="18">
        <v>103.5</v>
      </c>
      <c r="F3646" s="18">
        <v>12.0</v>
      </c>
    </row>
    <row r="3647">
      <c r="A3647" s="15">
        <v>10.0</v>
      </c>
      <c r="B3647" s="16" t="s">
        <v>8794</v>
      </c>
      <c r="C3647" s="17" t="s">
        <v>8795</v>
      </c>
      <c r="D3647" s="18">
        <v>125.0</v>
      </c>
      <c r="E3647" s="18">
        <v>175.0</v>
      </c>
      <c r="F3647" s="18">
        <v>12.0</v>
      </c>
    </row>
    <row r="3648">
      <c r="A3648" s="15">
        <v>11.0</v>
      </c>
      <c r="B3648" s="16" t="s">
        <v>8794</v>
      </c>
      <c r="C3648" s="17" t="s">
        <v>5562</v>
      </c>
      <c r="D3648" s="18">
        <v>68.57</v>
      </c>
      <c r="E3648" s="18">
        <v>96.0</v>
      </c>
      <c r="F3648" s="18">
        <v>12.0</v>
      </c>
    </row>
    <row r="3649">
      <c r="A3649" s="15">
        <v>12.0</v>
      </c>
      <c r="B3649" s="16" t="s">
        <v>8794</v>
      </c>
      <c r="C3649" s="17" t="s">
        <v>8796</v>
      </c>
      <c r="D3649" s="18">
        <v>105.0</v>
      </c>
      <c r="E3649" s="18">
        <v>147.0</v>
      </c>
      <c r="F3649" s="18">
        <v>12.0</v>
      </c>
    </row>
    <row r="3650">
      <c r="A3650" s="15">
        <v>13.0</v>
      </c>
      <c r="B3650" s="16" t="s">
        <v>8794</v>
      </c>
      <c r="C3650" s="17" t="s">
        <v>5802</v>
      </c>
      <c r="D3650" s="18">
        <v>225.0</v>
      </c>
      <c r="E3650" s="18">
        <v>315.0</v>
      </c>
      <c r="F3650" s="18">
        <v>12.0</v>
      </c>
    </row>
    <row r="3651">
      <c r="A3651" s="15">
        <v>14.0</v>
      </c>
      <c r="B3651" s="16" t="s">
        <v>2957</v>
      </c>
      <c r="C3651" s="16" t="s">
        <v>5558</v>
      </c>
      <c r="D3651" s="18">
        <v>26.43</v>
      </c>
      <c r="E3651" s="18">
        <v>37.0</v>
      </c>
      <c r="F3651" s="18">
        <v>12.0</v>
      </c>
    </row>
    <row r="3652">
      <c r="A3652" s="15">
        <v>15.0</v>
      </c>
      <c r="B3652" s="16" t="s">
        <v>8797</v>
      </c>
      <c r="C3652" s="17" t="s">
        <v>5562</v>
      </c>
      <c r="D3652" s="18">
        <v>153.57</v>
      </c>
      <c r="E3652" s="18">
        <v>215.0</v>
      </c>
      <c r="F3652" s="18">
        <v>12.0</v>
      </c>
    </row>
    <row r="3653">
      <c r="A3653" s="15">
        <v>16.0</v>
      </c>
      <c r="B3653" s="16" t="s">
        <v>8798</v>
      </c>
      <c r="C3653" s="17" t="s">
        <v>5636</v>
      </c>
      <c r="D3653" s="18">
        <v>257.14</v>
      </c>
      <c r="E3653" s="18">
        <v>360.0</v>
      </c>
      <c r="F3653" s="18">
        <v>12.0</v>
      </c>
    </row>
    <row r="3654">
      <c r="A3654" s="15">
        <v>17.0</v>
      </c>
      <c r="B3654" s="16" t="s">
        <v>8799</v>
      </c>
      <c r="C3654" s="17" t="s">
        <v>5580</v>
      </c>
      <c r="D3654" s="18">
        <v>125.6</v>
      </c>
      <c r="E3654" s="18">
        <v>172.5</v>
      </c>
      <c r="F3654" s="18">
        <v>12.0</v>
      </c>
    </row>
    <row r="3655">
      <c r="A3655" s="15">
        <v>18.0</v>
      </c>
      <c r="B3655" s="16" t="s">
        <v>8799</v>
      </c>
      <c r="C3655" s="17" t="s">
        <v>5665</v>
      </c>
      <c r="D3655" s="18">
        <v>226.51</v>
      </c>
      <c r="E3655" s="18">
        <v>311.0</v>
      </c>
      <c r="F3655" s="18">
        <v>12.0</v>
      </c>
    </row>
    <row r="3656">
      <c r="A3656" s="6"/>
      <c r="B3656" s="7"/>
      <c r="C3656" s="7"/>
      <c r="D3656" s="7"/>
      <c r="E3656" s="8"/>
      <c r="F3656" s="16" t="s">
        <v>8800</v>
      </c>
    </row>
    <row r="3657">
      <c r="A3657" s="6"/>
      <c r="B3657" s="7"/>
      <c r="C3657" s="7"/>
      <c r="D3657" s="7"/>
      <c r="E3657" s="7"/>
      <c r="F3657" s="8"/>
    </row>
    <row r="3658">
      <c r="A3658" s="6"/>
      <c r="B3658" s="7"/>
      <c r="C3658" s="7"/>
      <c r="D3658" s="7"/>
      <c r="E3658" s="7"/>
      <c r="F3658" s="8"/>
    </row>
    <row r="3659">
      <c r="A3659" s="6"/>
      <c r="B3659" s="7"/>
      <c r="C3659" s="7"/>
      <c r="D3659" s="7"/>
      <c r="E3659" s="7"/>
      <c r="F3659" s="8"/>
    </row>
    <row r="3660">
      <c r="A3660" s="6"/>
      <c r="B3660" s="7"/>
      <c r="C3660" s="7"/>
      <c r="D3660" s="7"/>
      <c r="E3660" s="7"/>
      <c r="F3660" s="8"/>
    </row>
    <row r="3661">
      <c r="A3661" s="9" t="s">
        <v>5582</v>
      </c>
      <c r="B3661" s="10"/>
      <c r="C3661" s="10"/>
      <c r="D3661" s="10"/>
      <c r="E3661" s="10"/>
      <c r="F3661" s="10"/>
    </row>
    <row r="3662">
      <c r="A3662" s="19" t="s">
        <v>5583</v>
      </c>
    </row>
    <row r="3663">
      <c r="A3663" s="6"/>
      <c r="B3663" s="7"/>
      <c r="C3663" s="7"/>
      <c r="D3663" s="8"/>
      <c r="E3663" s="12" t="s">
        <v>5584</v>
      </c>
      <c r="F3663" s="12" t="s">
        <v>8801</v>
      </c>
    </row>
    <row r="3664">
      <c r="A3664" s="20" t="s">
        <v>5522</v>
      </c>
      <c r="B3664" s="16" t="s">
        <v>5523</v>
      </c>
      <c r="C3664" s="16" t="s">
        <v>5524</v>
      </c>
      <c r="D3664" s="16" t="s">
        <v>5525</v>
      </c>
      <c r="E3664" s="16" t="s">
        <v>5526</v>
      </c>
      <c r="F3664" s="16" t="s">
        <v>5586</v>
      </c>
    </row>
    <row r="3665">
      <c r="A3665" s="15">
        <v>19.0</v>
      </c>
      <c r="B3665" s="16" t="s">
        <v>8802</v>
      </c>
      <c r="C3665" s="17" t="s">
        <v>8803</v>
      </c>
      <c r="D3665" s="18">
        <v>80.0</v>
      </c>
      <c r="E3665" s="18">
        <v>109.87</v>
      </c>
      <c r="F3665" s="18">
        <v>12.0</v>
      </c>
    </row>
    <row r="3666">
      <c r="A3666" s="15">
        <v>20.0</v>
      </c>
      <c r="B3666" s="16" t="s">
        <v>8802</v>
      </c>
      <c r="C3666" s="17" t="s">
        <v>8804</v>
      </c>
      <c r="D3666" s="18">
        <v>108.85</v>
      </c>
      <c r="E3666" s="18">
        <v>149.5</v>
      </c>
      <c r="F3666" s="18">
        <v>12.0</v>
      </c>
    </row>
    <row r="3667">
      <c r="A3667" s="15">
        <v>21.0</v>
      </c>
      <c r="B3667" s="16" t="s">
        <v>8805</v>
      </c>
      <c r="C3667" s="17" t="s">
        <v>5636</v>
      </c>
      <c r="D3667" s="18">
        <v>358.93</v>
      </c>
      <c r="E3667" s="18">
        <v>498.0</v>
      </c>
      <c r="F3667" s="18">
        <v>12.0</v>
      </c>
    </row>
    <row r="3668">
      <c r="A3668" s="15">
        <v>22.0</v>
      </c>
      <c r="B3668" s="16" t="s">
        <v>8806</v>
      </c>
      <c r="C3668" s="17" t="s">
        <v>8807</v>
      </c>
      <c r="D3668" s="18">
        <v>27.14</v>
      </c>
      <c r="E3668" s="18">
        <v>38.0</v>
      </c>
      <c r="F3668" s="18">
        <v>12.0</v>
      </c>
    </row>
    <row r="3669">
      <c r="A3669" s="15">
        <v>23.0</v>
      </c>
      <c r="B3669" s="16" t="s">
        <v>8808</v>
      </c>
      <c r="C3669" s="17" t="s">
        <v>5536</v>
      </c>
      <c r="D3669" s="18">
        <v>63.36</v>
      </c>
      <c r="E3669" s="18">
        <v>88.7</v>
      </c>
      <c r="F3669" s="18">
        <v>12.0</v>
      </c>
    </row>
    <row r="3670">
      <c r="A3670" s="6"/>
      <c r="B3670" s="7"/>
      <c r="C3670" s="7"/>
      <c r="D3670" s="7"/>
      <c r="E3670" s="7"/>
      <c r="F3670" s="8"/>
    </row>
    <row r="3671">
      <c r="A3671" s="9" t="s">
        <v>8809</v>
      </c>
      <c r="B3671" s="10"/>
      <c r="C3671" s="10"/>
      <c r="D3671" s="10"/>
      <c r="E3671" s="10"/>
      <c r="F3671" s="10"/>
    </row>
    <row r="3672">
      <c r="A3672" s="11">
        <v>1.0</v>
      </c>
      <c r="B3672" s="12" t="s">
        <v>8810</v>
      </c>
      <c r="C3672" s="13" t="s">
        <v>5636</v>
      </c>
      <c r="D3672" s="14">
        <v>93.57</v>
      </c>
      <c r="E3672" s="14">
        <v>131.0</v>
      </c>
      <c r="F3672" s="14">
        <v>12.0</v>
      </c>
    </row>
    <row r="3673">
      <c r="A3673" s="15">
        <v>2.0</v>
      </c>
      <c r="B3673" s="16" t="s">
        <v>8811</v>
      </c>
      <c r="C3673" s="17" t="s">
        <v>5636</v>
      </c>
      <c r="D3673" s="18">
        <v>100.0</v>
      </c>
      <c r="E3673" s="18">
        <v>140.0</v>
      </c>
      <c r="F3673" s="18">
        <v>12.0</v>
      </c>
    </row>
    <row r="3674">
      <c r="A3674" s="15">
        <v>3.0</v>
      </c>
      <c r="B3674" s="16" t="s">
        <v>8812</v>
      </c>
      <c r="C3674" s="17" t="s">
        <v>5536</v>
      </c>
      <c r="D3674" s="18">
        <v>23.57</v>
      </c>
      <c r="E3674" s="18">
        <v>33.0</v>
      </c>
      <c r="F3674" s="18">
        <v>12.0</v>
      </c>
    </row>
    <row r="3675">
      <c r="A3675" s="15">
        <v>4.0</v>
      </c>
      <c r="B3675" s="16" t="s">
        <v>8813</v>
      </c>
      <c r="C3675" s="17" t="s">
        <v>5536</v>
      </c>
      <c r="D3675" s="18">
        <v>44.29</v>
      </c>
      <c r="E3675" s="18">
        <v>62.0</v>
      </c>
      <c r="F3675" s="18">
        <v>12.0</v>
      </c>
    </row>
    <row r="3676">
      <c r="A3676" s="15">
        <v>5.0</v>
      </c>
      <c r="B3676" s="16" t="s">
        <v>8814</v>
      </c>
      <c r="C3676" s="17" t="s">
        <v>5636</v>
      </c>
      <c r="D3676" s="18">
        <v>92.86</v>
      </c>
      <c r="E3676" s="18">
        <v>130.0</v>
      </c>
      <c r="F3676" s="18">
        <v>12.0</v>
      </c>
    </row>
    <row r="3677">
      <c r="A3677" s="15">
        <v>6.0</v>
      </c>
      <c r="B3677" s="16" t="s">
        <v>8815</v>
      </c>
      <c r="C3677" s="17" t="s">
        <v>5536</v>
      </c>
      <c r="D3677" s="18">
        <v>42.14</v>
      </c>
      <c r="E3677" s="18">
        <v>59.0</v>
      </c>
      <c r="F3677" s="18">
        <v>12.0</v>
      </c>
    </row>
    <row r="3678">
      <c r="A3678" s="15">
        <v>7.0</v>
      </c>
      <c r="B3678" s="16" t="s">
        <v>8816</v>
      </c>
      <c r="C3678" s="17" t="s">
        <v>8817</v>
      </c>
      <c r="D3678" s="18">
        <v>88.57</v>
      </c>
      <c r="E3678" s="18">
        <v>124.0</v>
      </c>
      <c r="F3678" s="18">
        <v>12.0</v>
      </c>
    </row>
    <row r="3679">
      <c r="A3679" s="15">
        <v>8.0</v>
      </c>
      <c r="B3679" s="16" t="s">
        <v>8816</v>
      </c>
      <c r="C3679" s="17" t="s">
        <v>5603</v>
      </c>
      <c r="D3679" s="18">
        <v>125.0</v>
      </c>
      <c r="E3679" s="18">
        <v>175.0</v>
      </c>
      <c r="F3679" s="18">
        <v>12.0</v>
      </c>
    </row>
    <row r="3680">
      <c r="A3680" s="15">
        <v>9.0</v>
      </c>
      <c r="B3680" s="16" t="s">
        <v>8818</v>
      </c>
      <c r="C3680" s="17" t="s">
        <v>6096</v>
      </c>
      <c r="D3680" s="18">
        <v>37.14</v>
      </c>
      <c r="E3680" s="18">
        <v>52.0</v>
      </c>
      <c r="F3680" s="18">
        <v>12.0</v>
      </c>
    </row>
    <row r="3681">
      <c r="A3681" s="15">
        <v>10.0</v>
      </c>
      <c r="B3681" s="16" t="s">
        <v>8818</v>
      </c>
      <c r="C3681" s="17" t="s">
        <v>6097</v>
      </c>
      <c r="D3681" s="18">
        <v>72.14</v>
      </c>
      <c r="E3681" s="18">
        <v>101.0</v>
      </c>
      <c r="F3681" s="18">
        <v>12.0</v>
      </c>
    </row>
    <row r="3682">
      <c r="A3682" s="15">
        <v>11.0</v>
      </c>
      <c r="B3682" s="16" t="s">
        <v>8819</v>
      </c>
      <c r="C3682" s="17" t="s">
        <v>8820</v>
      </c>
      <c r="D3682" s="18">
        <v>52.14</v>
      </c>
      <c r="E3682" s="18">
        <v>73.0</v>
      </c>
      <c r="F3682" s="18">
        <v>12.0</v>
      </c>
    </row>
    <row r="3683">
      <c r="A3683" s="15">
        <v>12.0</v>
      </c>
      <c r="B3683" s="16" t="s">
        <v>8819</v>
      </c>
      <c r="C3683" s="17" t="s">
        <v>8821</v>
      </c>
      <c r="D3683" s="18">
        <v>85.71</v>
      </c>
      <c r="E3683" s="18">
        <v>120.0</v>
      </c>
      <c r="F3683" s="18">
        <v>12.0</v>
      </c>
    </row>
    <row r="3684">
      <c r="A3684" s="15">
        <v>13.0</v>
      </c>
      <c r="B3684" s="16" t="s">
        <v>2980</v>
      </c>
      <c r="C3684" s="16" t="s">
        <v>5558</v>
      </c>
      <c r="D3684" s="18">
        <v>110.72</v>
      </c>
      <c r="E3684" s="18">
        <v>152.0</v>
      </c>
      <c r="F3684" s="18">
        <v>12.0</v>
      </c>
    </row>
    <row r="3685">
      <c r="A3685" s="15">
        <v>14.0</v>
      </c>
      <c r="B3685" s="16" t="s">
        <v>8822</v>
      </c>
      <c r="C3685" s="17" t="s">
        <v>5636</v>
      </c>
      <c r="D3685" s="18">
        <v>85.71</v>
      </c>
      <c r="E3685" s="18">
        <v>120.0</v>
      </c>
      <c r="F3685" s="18">
        <v>12.0</v>
      </c>
    </row>
    <row r="3686">
      <c r="A3686" s="15">
        <v>15.0</v>
      </c>
      <c r="B3686" s="16" t="s">
        <v>8823</v>
      </c>
      <c r="C3686" s="17" t="s">
        <v>5536</v>
      </c>
      <c r="D3686" s="18">
        <v>28.11</v>
      </c>
      <c r="E3686" s="18">
        <v>39.0</v>
      </c>
      <c r="F3686" s="18">
        <v>12.0</v>
      </c>
    </row>
    <row r="3687">
      <c r="A3687" s="15">
        <v>16.0</v>
      </c>
      <c r="B3687" s="16" t="s">
        <v>8824</v>
      </c>
      <c r="C3687" s="17" t="s">
        <v>6114</v>
      </c>
      <c r="D3687" s="18">
        <v>46.84</v>
      </c>
      <c r="E3687" s="18">
        <v>65.0</v>
      </c>
      <c r="F3687" s="18">
        <v>12.0</v>
      </c>
    </row>
    <row r="3688">
      <c r="A3688" s="15">
        <v>17.0</v>
      </c>
      <c r="B3688" s="16" t="s">
        <v>8825</v>
      </c>
      <c r="C3688" s="17" t="s">
        <v>5536</v>
      </c>
      <c r="D3688" s="18">
        <v>84.29</v>
      </c>
      <c r="E3688" s="18">
        <v>118.0</v>
      </c>
      <c r="F3688" s="18">
        <v>12.0</v>
      </c>
    </row>
    <row r="3689">
      <c r="A3689" s="15">
        <v>18.0</v>
      </c>
      <c r="B3689" s="16" t="s">
        <v>8826</v>
      </c>
      <c r="C3689" s="17" t="s">
        <v>5536</v>
      </c>
      <c r="D3689" s="18">
        <v>142.86</v>
      </c>
      <c r="E3689" s="18">
        <v>200.0</v>
      </c>
      <c r="F3689" s="18">
        <v>12.0</v>
      </c>
    </row>
    <row r="3690">
      <c r="A3690" s="15">
        <v>19.0</v>
      </c>
      <c r="B3690" s="16" t="s">
        <v>8827</v>
      </c>
      <c r="C3690" s="17" t="s">
        <v>5536</v>
      </c>
      <c r="D3690" s="18">
        <v>183.06</v>
      </c>
      <c r="E3690" s="18">
        <v>250.0</v>
      </c>
      <c r="F3690" s="18">
        <v>12.0</v>
      </c>
    </row>
    <row r="3691">
      <c r="A3691" s="15">
        <v>20.0</v>
      </c>
      <c r="B3691" s="16" t="s">
        <v>8828</v>
      </c>
      <c r="C3691" s="17" t="s">
        <v>5536</v>
      </c>
      <c r="D3691" s="18">
        <v>42.86</v>
      </c>
      <c r="E3691" s="18">
        <v>55.0</v>
      </c>
      <c r="F3691" s="18">
        <v>12.0</v>
      </c>
    </row>
    <row r="3692">
      <c r="A3692" s="15">
        <v>21.0</v>
      </c>
      <c r="B3692" s="16" t="s">
        <v>8829</v>
      </c>
      <c r="C3692" s="17" t="s">
        <v>6876</v>
      </c>
      <c r="D3692" s="18">
        <v>37.14</v>
      </c>
      <c r="E3692" s="18">
        <v>52.0</v>
      </c>
      <c r="F3692" s="18">
        <v>12.0</v>
      </c>
    </row>
    <row r="3693">
      <c r="A3693" s="15">
        <v>22.0</v>
      </c>
      <c r="B3693" s="16" t="s">
        <v>8830</v>
      </c>
      <c r="C3693" s="17" t="s">
        <v>5636</v>
      </c>
      <c r="D3693" s="18">
        <v>113.22</v>
      </c>
      <c r="E3693" s="18">
        <v>158.5</v>
      </c>
      <c r="F3693" s="18">
        <v>12.0</v>
      </c>
    </row>
    <row r="3694">
      <c r="A3694" s="15">
        <v>23.0</v>
      </c>
      <c r="B3694" s="16" t="s">
        <v>8831</v>
      </c>
      <c r="C3694" s="17" t="s">
        <v>5636</v>
      </c>
      <c r="D3694" s="18">
        <v>148.57</v>
      </c>
      <c r="E3694" s="18">
        <v>208.0</v>
      </c>
      <c r="F3694" s="18">
        <v>12.0</v>
      </c>
    </row>
    <row r="3695">
      <c r="A3695" s="15">
        <v>24.0</v>
      </c>
      <c r="B3695" s="16" t="s">
        <v>8829</v>
      </c>
      <c r="C3695" s="17" t="s">
        <v>8832</v>
      </c>
      <c r="D3695" s="18">
        <v>143.03</v>
      </c>
      <c r="E3695" s="18">
        <v>200.25</v>
      </c>
      <c r="F3695" s="18">
        <v>12.0</v>
      </c>
    </row>
    <row r="3696">
      <c r="A3696" s="15">
        <v>25.0</v>
      </c>
      <c r="B3696" s="16" t="s">
        <v>8829</v>
      </c>
      <c r="C3696" s="17" t="s">
        <v>6284</v>
      </c>
      <c r="D3696" s="18">
        <v>91.68</v>
      </c>
      <c r="E3696" s="18">
        <v>128.35</v>
      </c>
      <c r="F3696" s="18">
        <v>12.0</v>
      </c>
    </row>
    <row r="3697">
      <c r="A3697" s="15">
        <v>26.0</v>
      </c>
      <c r="B3697" s="16" t="s">
        <v>8833</v>
      </c>
      <c r="C3697" s="17" t="s">
        <v>5550</v>
      </c>
      <c r="D3697" s="18">
        <v>77.14</v>
      </c>
      <c r="E3697" s="18">
        <v>108.0</v>
      </c>
      <c r="F3697" s="18">
        <v>12.0</v>
      </c>
    </row>
    <row r="3698">
      <c r="A3698" s="15">
        <v>27.0</v>
      </c>
      <c r="B3698" s="16" t="s">
        <v>8834</v>
      </c>
      <c r="C3698" s="17" t="s">
        <v>5562</v>
      </c>
      <c r="D3698" s="18">
        <v>79.39</v>
      </c>
      <c r="E3698" s="18">
        <v>109.0</v>
      </c>
      <c r="F3698" s="18">
        <v>12.0</v>
      </c>
    </row>
    <row r="3699">
      <c r="A3699" s="15">
        <v>28.0</v>
      </c>
      <c r="B3699" s="16" t="s">
        <v>8835</v>
      </c>
      <c r="C3699" s="17" t="s">
        <v>7142</v>
      </c>
      <c r="D3699" s="18">
        <v>52.49</v>
      </c>
      <c r="E3699" s="18">
        <v>73.48</v>
      </c>
      <c r="F3699" s="18">
        <v>12.0</v>
      </c>
    </row>
    <row r="3700">
      <c r="A3700" s="15">
        <v>29.0</v>
      </c>
      <c r="B3700" s="16" t="s">
        <v>8835</v>
      </c>
      <c r="C3700" s="17" t="s">
        <v>7143</v>
      </c>
      <c r="D3700" s="18">
        <v>70.56</v>
      </c>
      <c r="E3700" s="18">
        <v>98.78</v>
      </c>
      <c r="F3700" s="18">
        <v>12.0</v>
      </c>
    </row>
    <row r="3701">
      <c r="A3701" s="15">
        <v>30.0</v>
      </c>
      <c r="B3701" s="16" t="s">
        <v>8835</v>
      </c>
      <c r="C3701" s="17" t="s">
        <v>8836</v>
      </c>
      <c r="D3701" s="18">
        <v>90.0</v>
      </c>
      <c r="E3701" s="18">
        <v>126.0</v>
      </c>
      <c r="F3701" s="18">
        <v>12.0</v>
      </c>
    </row>
    <row r="3702">
      <c r="A3702" s="15">
        <v>31.0</v>
      </c>
      <c r="B3702" s="16" t="s">
        <v>8835</v>
      </c>
      <c r="C3702" s="17" t="s">
        <v>8837</v>
      </c>
      <c r="D3702" s="18">
        <v>91.37</v>
      </c>
      <c r="E3702" s="18">
        <v>125.5</v>
      </c>
      <c r="F3702" s="18">
        <v>12.0</v>
      </c>
    </row>
    <row r="3703">
      <c r="A3703" s="15">
        <v>32.0</v>
      </c>
      <c r="B3703" s="16" t="s">
        <v>8835</v>
      </c>
      <c r="C3703" s="17" t="s">
        <v>8838</v>
      </c>
      <c r="D3703" s="18">
        <v>175.71</v>
      </c>
      <c r="E3703" s="18">
        <v>246.0</v>
      </c>
      <c r="F3703" s="18">
        <v>12.0</v>
      </c>
    </row>
    <row r="3704">
      <c r="A3704" s="15">
        <v>33.0</v>
      </c>
      <c r="B3704" s="16" t="s">
        <v>8835</v>
      </c>
      <c r="C3704" s="17" t="s">
        <v>8839</v>
      </c>
      <c r="D3704" s="18">
        <v>101.43</v>
      </c>
      <c r="E3704" s="18">
        <v>142.0</v>
      </c>
      <c r="F3704" s="18">
        <v>12.0</v>
      </c>
    </row>
    <row r="3705">
      <c r="A3705" s="15">
        <v>34.0</v>
      </c>
      <c r="B3705" s="16" t="s">
        <v>8835</v>
      </c>
      <c r="C3705" s="17" t="s">
        <v>8840</v>
      </c>
      <c r="D3705" s="18">
        <v>230.71</v>
      </c>
      <c r="E3705" s="18">
        <v>323.0</v>
      </c>
      <c r="F3705" s="18">
        <v>12.0</v>
      </c>
    </row>
    <row r="3706">
      <c r="A3706" s="15">
        <v>35.0</v>
      </c>
      <c r="B3706" s="16" t="s">
        <v>8835</v>
      </c>
      <c r="C3706" s="17" t="s">
        <v>8841</v>
      </c>
      <c r="D3706" s="18">
        <v>95.71</v>
      </c>
      <c r="E3706" s="18">
        <v>134.0</v>
      </c>
      <c r="F3706" s="18">
        <v>12.0</v>
      </c>
    </row>
    <row r="3707">
      <c r="A3707" s="15">
        <v>36.0</v>
      </c>
      <c r="B3707" s="16" t="s">
        <v>8842</v>
      </c>
      <c r="C3707" s="17" t="s">
        <v>7142</v>
      </c>
      <c r="D3707" s="18">
        <v>72.5</v>
      </c>
      <c r="E3707" s="18">
        <v>101.5</v>
      </c>
      <c r="F3707" s="18">
        <v>12.0</v>
      </c>
    </row>
    <row r="3708">
      <c r="A3708" s="15">
        <v>37.0</v>
      </c>
      <c r="B3708" s="16" t="s">
        <v>8842</v>
      </c>
      <c r="C3708" s="17" t="s">
        <v>7143</v>
      </c>
      <c r="D3708" s="18">
        <v>103.57</v>
      </c>
      <c r="E3708" s="18">
        <v>145.0</v>
      </c>
      <c r="F3708" s="18">
        <v>12.0</v>
      </c>
    </row>
    <row r="3709">
      <c r="A3709" s="15">
        <v>38.0</v>
      </c>
      <c r="B3709" s="16" t="s">
        <v>8843</v>
      </c>
      <c r="C3709" s="17" t="s">
        <v>5536</v>
      </c>
      <c r="D3709" s="18">
        <v>57.86</v>
      </c>
      <c r="E3709" s="18">
        <v>81.0</v>
      </c>
      <c r="F3709" s="18">
        <v>12.0</v>
      </c>
    </row>
    <row r="3710">
      <c r="A3710" s="15">
        <v>39.0</v>
      </c>
      <c r="B3710" s="16" t="s">
        <v>8844</v>
      </c>
      <c r="C3710" s="17" t="s">
        <v>5536</v>
      </c>
      <c r="D3710" s="18">
        <v>109.29</v>
      </c>
      <c r="E3710" s="18">
        <v>153.0</v>
      </c>
      <c r="F3710" s="18">
        <v>12.0</v>
      </c>
    </row>
    <row r="3711">
      <c r="A3711" s="15">
        <v>40.0</v>
      </c>
      <c r="B3711" s="16" t="s">
        <v>8845</v>
      </c>
      <c r="C3711" s="17" t="s">
        <v>6038</v>
      </c>
      <c r="D3711" s="18">
        <v>85.0</v>
      </c>
      <c r="E3711" s="18">
        <v>119.0</v>
      </c>
      <c r="F3711" s="18">
        <v>12.0</v>
      </c>
    </row>
    <row r="3712">
      <c r="A3712" s="15">
        <v>41.0</v>
      </c>
      <c r="B3712" s="16" t="s">
        <v>8845</v>
      </c>
      <c r="C3712" s="17" t="s">
        <v>6040</v>
      </c>
      <c r="D3712" s="18">
        <v>85.0</v>
      </c>
      <c r="E3712" s="18">
        <v>119.0</v>
      </c>
      <c r="F3712" s="18">
        <v>12.0</v>
      </c>
    </row>
    <row r="3713">
      <c r="A3713" s="6"/>
      <c r="B3713" s="7"/>
      <c r="C3713" s="7"/>
      <c r="D3713" s="7"/>
      <c r="E3713" s="7"/>
      <c r="F3713" s="8"/>
    </row>
    <row r="3714">
      <c r="A3714" s="9" t="s">
        <v>8846</v>
      </c>
      <c r="B3714" s="10"/>
      <c r="C3714" s="10"/>
      <c r="D3714" s="10"/>
      <c r="E3714" s="10"/>
      <c r="F3714" s="10"/>
    </row>
    <row r="3715">
      <c r="A3715" s="11">
        <v>1.0</v>
      </c>
      <c r="B3715" s="12" t="s">
        <v>8847</v>
      </c>
      <c r="C3715" s="13" t="s">
        <v>5636</v>
      </c>
      <c r="D3715" s="14">
        <v>85.71</v>
      </c>
      <c r="E3715" s="14">
        <v>120.0</v>
      </c>
      <c r="F3715" s="14">
        <v>12.0</v>
      </c>
    </row>
    <row r="3716">
      <c r="A3716" s="15">
        <v>2.0</v>
      </c>
      <c r="B3716" s="16" t="s">
        <v>8848</v>
      </c>
      <c r="C3716" s="17" t="s">
        <v>5562</v>
      </c>
      <c r="D3716" s="18">
        <v>140.71</v>
      </c>
      <c r="E3716" s="18">
        <v>197.0</v>
      </c>
      <c r="F3716" s="18">
        <v>12.0</v>
      </c>
    </row>
    <row r="3717">
      <c r="A3717" s="15">
        <v>3.0</v>
      </c>
      <c r="B3717" s="16" t="s">
        <v>8849</v>
      </c>
      <c r="C3717" s="17" t="s">
        <v>5833</v>
      </c>
      <c r="D3717" s="18">
        <v>50.0</v>
      </c>
      <c r="E3717" s="18">
        <v>70.0</v>
      </c>
      <c r="F3717" s="18">
        <v>12.0</v>
      </c>
    </row>
    <row r="3718">
      <c r="A3718" s="15">
        <v>4.0</v>
      </c>
      <c r="B3718" s="16" t="s">
        <v>8850</v>
      </c>
      <c r="C3718" s="17" t="s">
        <v>5636</v>
      </c>
      <c r="D3718" s="18">
        <v>82.14</v>
      </c>
      <c r="E3718" s="18">
        <v>115.0</v>
      </c>
      <c r="F3718" s="18">
        <v>12.0</v>
      </c>
    </row>
    <row r="3719">
      <c r="A3719" s="15">
        <v>5.0</v>
      </c>
      <c r="B3719" s="16" t="s">
        <v>8851</v>
      </c>
      <c r="C3719" s="17" t="s">
        <v>5636</v>
      </c>
      <c r="D3719" s="18">
        <v>64.29</v>
      </c>
      <c r="E3719" s="18">
        <v>90.0</v>
      </c>
      <c r="F3719" s="18">
        <v>12.0</v>
      </c>
    </row>
    <row r="3720">
      <c r="A3720" s="15">
        <v>6.0</v>
      </c>
      <c r="B3720" s="16" t="s">
        <v>8849</v>
      </c>
      <c r="C3720" s="17" t="s">
        <v>5636</v>
      </c>
      <c r="D3720" s="18">
        <v>88.57</v>
      </c>
      <c r="E3720" s="18">
        <v>124.0</v>
      </c>
      <c r="F3720" s="18">
        <v>12.0</v>
      </c>
    </row>
    <row r="3721">
      <c r="A3721" s="15">
        <v>7.0</v>
      </c>
      <c r="B3721" s="16" t="s">
        <v>8852</v>
      </c>
      <c r="C3721" s="17" t="s">
        <v>5536</v>
      </c>
      <c r="D3721" s="18">
        <v>58.57</v>
      </c>
      <c r="E3721" s="18">
        <v>82.0</v>
      </c>
      <c r="F3721" s="18">
        <v>12.0</v>
      </c>
    </row>
    <row r="3722">
      <c r="A3722" s="15">
        <v>8.0</v>
      </c>
      <c r="B3722" s="16" t="s">
        <v>8853</v>
      </c>
      <c r="C3722" s="17" t="s">
        <v>5636</v>
      </c>
      <c r="D3722" s="18">
        <v>32.86</v>
      </c>
      <c r="E3722" s="18">
        <v>46.0</v>
      </c>
      <c r="F3722" s="18">
        <v>12.0</v>
      </c>
    </row>
    <row r="3723">
      <c r="A3723" s="15">
        <v>9.0</v>
      </c>
      <c r="B3723" s="16" t="s">
        <v>8854</v>
      </c>
      <c r="C3723" s="17" t="s">
        <v>5654</v>
      </c>
      <c r="D3723" s="18">
        <v>72.07</v>
      </c>
      <c r="E3723" s="18">
        <v>100.0</v>
      </c>
      <c r="F3723" s="18">
        <v>12.0</v>
      </c>
    </row>
    <row r="3724">
      <c r="A3724" s="15">
        <v>10.0</v>
      </c>
      <c r="B3724" s="16" t="s">
        <v>8854</v>
      </c>
      <c r="C3724" s="17" t="s">
        <v>5830</v>
      </c>
      <c r="D3724" s="18">
        <v>115.3</v>
      </c>
      <c r="E3724" s="18">
        <v>160.0</v>
      </c>
      <c r="F3724" s="18">
        <v>12.0</v>
      </c>
    </row>
    <row r="3725">
      <c r="A3725" s="15">
        <v>11.0</v>
      </c>
      <c r="B3725" s="16" t="s">
        <v>8855</v>
      </c>
      <c r="C3725" s="17" t="s">
        <v>5830</v>
      </c>
      <c r="D3725" s="18">
        <v>142.86</v>
      </c>
      <c r="E3725" s="18">
        <v>200.0</v>
      </c>
      <c r="F3725" s="18">
        <v>12.0</v>
      </c>
    </row>
    <row r="3726">
      <c r="A3726" s="6"/>
      <c r="B3726" s="7"/>
      <c r="C3726" s="7"/>
      <c r="D3726" s="7"/>
      <c r="E3726" s="8"/>
      <c r="F3726" s="16" t="s">
        <v>8856</v>
      </c>
    </row>
    <row r="3727">
      <c r="A3727" s="6"/>
      <c r="B3727" s="7"/>
      <c r="C3727" s="7"/>
      <c r="D3727" s="7"/>
      <c r="E3727" s="7"/>
      <c r="F3727" s="8"/>
    </row>
    <row r="3728">
      <c r="A3728" s="6"/>
      <c r="B3728" s="7"/>
      <c r="C3728" s="7"/>
      <c r="D3728" s="7"/>
      <c r="E3728" s="7"/>
      <c r="F3728" s="8"/>
    </row>
    <row r="3729">
      <c r="A3729" s="6"/>
      <c r="B3729" s="7"/>
      <c r="C3729" s="7"/>
      <c r="D3729" s="7"/>
      <c r="E3729" s="7"/>
      <c r="F3729" s="8"/>
    </row>
    <row r="3730">
      <c r="A3730" s="6"/>
      <c r="B3730" s="7"/>
      <c r="C3730" s="7"/>
      <c r="D3730" s="7"/>
      <c r="E3730" s="7"/>
      <c r="F3730" s="8"/>
    </row>
    <row r="3731">
      <c r="A3731" s="9" t="s">
        <v>5582</v>
      </c>
      <c r="B3731" s="10"/>
      <c r="C3731" s="10"/>
      <c r="D3731" s="10"/>
      <c r="E3731" s="10"/>
      <c r="F3731" s="10"/>
    </row>
    <row r="3732">
      <c r="A3732" s="19" t="s">
        <v>5583</v>
      </c>
    </row>
    <row r="3733">
      <c r="A3733" s="6"/>
      <c r="B3733" s="7"/>
      <c r="C3733" s="7"/>
      <c r="D3733" s="8"/>
      <c r="E3733" s="12" t="s">
        <v>5584</v>
      </c>
      <c r="F3733" s="12" t="s">
        <v>8857</v>
      </c>
    </row>
    <row r="3734">
      <c r="A3734" s="20" t="s">
        <v>5522</v>
      </c>
      <c r="B3734" s="16" t="s">
        <v>5523</v>
      </c>
      <c r="C3734" s="16" t="s">
        <v>5524</v>
      </c>
      <c r="D3734" s="16" t="s">
        <v>5525</v>
      </c>
      <c r="E3734" s="16" t="s">
        <v>5526</v>
      </c>
      <c r="F3734" s="16" t="s">
        <v>5586</v>
      </c>
    </row>
    <row r="3735">
      <c r="A3735" s="15">
        <v>12.0</v>
      </c>
      <c r="B3735" s="16" t="s">
        <v>8855</v>
      </c>
      <c r="C3735" s="17" t="s">
        <v>5636</v>
      </c>
      <c r="D3735" s="18">
        <v>92.86</v>
      </c>
      <c r="E3735" s="18">
        <v>130.0</v>
      </c>
      <c r="F3735" s="18">
        <v>12.0</v>
      </c>
    </row>
    <row r="3736">
      <c r="A3736" s="15">
        <v>13.0</v>
      </c>
      <c r="B3736" s="16" t="s">
        <v>8858</v>
      </c>
      <c r="C3736" s="17" t="s">
        <v>5636</v>
      </c>
      <c r="D3736" s="18">
        <v>72.86</v>
      </c>
      <c r="E3736" s="18">
        <v>102.0</v>
      </c>
      <c r="F3736" s="18">
        <v>12.0</v>
      </c>
    </row>
    <row r="3737">
      <c r="A3737" s="15">
        <v>14.0</v>
      </c>
      <c r="B3737" s="16" t="s">
        <v>8859</v>
      </c>
      <c r="C3737" s="17" t="s">
        <v>5636</v>
      </c>
      <c r="D3737" s="18">
        <v>110.94</v>
      </c>
      <c r="E3737" s="18">
        <v>155.32</v>
      </c>
      <c r="F3737" s="18">
        <v>12.0</v>
      </c>
    </row>
    <row r="3738">
      <c r="A3738" s="15">
        <v>15.0</v>
      </c>
      <c r="B3738" s="16" t="s">
        <v>8860</v>
      </c>
      <c r="C3738" s="17" t="s">
        <v>5536</v>
      </c>
      <c r="D3738" s="18">
        <v>88.57</v>
      </c>
      <c r="E3738" s="18">
        <v>124.0</v>
      </c>
      <c r="F3738" s="18">
        <v>12.0</v>
      </c>
    </row>
    <row r="3739">
      <c r="A3739" s="15">
        <v>16.0</v>
      </c>
      <c r="B3739" s="16" t="s">
        <v>8861</v>
      </c>
      <c r="C3739" s="17" t="s">
        <v>5536</v>
      </c>
      <c r="D3739" s="18">
        <v>129.64</v>
      </c>
      <c r="E3739" s="18">
        <v>181.5</v>
      </c>
      <c r="F3739" s="18">
        <v>12.0</v>
      </c>
    </row>
    <row r="3740">
      <c r="A3740" s="15">
        <v>17.0</v>
      </c>
      <c r="B3740" s="16" t="s">
        <v>8862</v>
      </c>
      <c r="C3740" s="17" t="s">
        <v>5830</v>
      </c>
      <c r="D3740" s="18">
        <v>150.0</v>
      </c>
      <c r="E3740" s="18">
        <v>210.0</v>
      </c>
      <c r="F3740" s="18">
        <v>12.0</v>
      </c>
    </row>
    <row r="3741">
      <c r="A3741" s="15">
        <v>18.0</v>
      </c>
      <c r="B3741" s="16" t="s">
        <v>8862</v>
      </c>
      <c r="C3741" s="17" t="s">
        <v>5636</v>
      </c>
      <c r="D3741" s="18">
        <v>92.86</v>
      </c>
      <c r="E3741" s="18">
        <v>130.0</v>
      </c>
      <c r="F3741" s="18">
        <v>12.0</v>
      </c>
    </row>
    <row r="3742">
      <c r="A3742" s="15">
        <v>19.0</v>
      </c>
      <c r="B3742" s="16" t="s">
        <v>8863</v>
      </c>
      <c r="C3742" s="17" t="s">
        <v>5536</v>
      </c>
      <c r="D3742" s="18">
        <v>74.64</v>
      </c>
      <c r="E3742" s="18">
        <v>104.5</v>
      </c>
      <c r="F3742" s="18">
        <v>12.0</v>
      </c>
    </row>
    <row r="3743">
      <c r="A3743" s="15">
        <v>20.0</v>
      </c>
      <c r="B3743" s="16" t="s">
        <v>8864</v>
      </c>
      <c r="C3743" s="17" t="s">
        <v>5536</v>
      </c>
      <c r="D3743" s="18">
        <v>111.78</v>
      </c>
      <c r="E3743" s="18">
        <v>156.5</v>
      </c>
      <c r="F3743" s="18">
        <v>12.0</v>
      </c>
    </row>
    <row r="3744">
      <c r="A3744" s="15">
        <v>21.0</v>
      </c>
      <c r="B3744" s="16" t="s">
        <v>8865</v>
      </c>
      <c r="C3744" s="17" t="s">
        <v>5536</v>
      </c>
      <c r="D3744" s="18">
        <v>166.43</v>
      </c>
      <c r="E3744" s="18">
        <v>233.0</v>
      </c>
      <c r="F3744" s="18">
        <v>12.0</v>
      </c>
    </row>
    <row r="3745">
      <c r="A3745" s="15">
        <v>22.0</v>
      </c>
      <c r="B3745" s="16" t="s">
        <v>3030</v>
      </c>
      <c r="C3745" s="16" t="s">
        <v>5558</v>
      </c>
      <c r="D3745" s="18">
        <v>88.57</v>
      </c>
      <c r="E3745" s="18">
        <v>124.0</v>
      </c>
      <c r="F3745" s="18">
        <v>12.0</v>
      </c>
    </row>
    <row r="3746">
      <c r="A3746" s="15">
        <v>23.0</v>
      </c>
      <c r="B3746" s="16" t="s">
        <v>8866</v>
      </c>
      <c r="C3746" s="17" t="s">
        <v>5536</v>
      </c>
      <c r="D3746" s="18">
        <v>50.71</v>
      </c>
      <c r="E3746" s="18">
        <v>71.0</v>
      </c>
      <c r="F3746" s="18">
        <v>12.0</v>
      </c>
    </row>
    <row r="3747">
      <c r="A3747" s="15">
        <v>24.0</v>
      </c>
      <c r="B3747" s="16" t="s">
        <v>8867</v>
      </c>
      <c r="C3747" s="17" t="s">
        <v>5536</v>
      </c>
      <c r="D3747" s="18">
        <v>68.22</v>
      </c>
      <c r="E3747" s="18">
        <v>95.5</v>
      </c>
      <c r="F3747" s="18">
        <v>12.0</v>
      </c>
    </row>
    <row r="3748">
      <c r="A3748" s="15">
        <v>25.0</v>
      </c>
      <c r="B3748" s="16" t="s">
        <v>8868</v>
      </c>
      <c r="C3748" s="17" t="s">
        <v>5636</v>
      </c>
      <c r="D3748" s="18">
        <v>74.91</v>
      </c>
      <c r="E3748" s="18">
        <v>100.0</v>
      </c>
      <c r="F3748" s="18">
        <v>12.0</v>
      </c>
    </row>
    <row r="3749">
      <c r="A3749" s="15">
        <v>26.0</v>
      </c>
      <c r="B3749" s="16" t="s">
        <v>8869</v>
      </c>
      <c r="C3749" s="17" t="s">
        <v>8870</v>
      </c>
      <c r="D3749" s="18">
        <v>110.47</v>
      </c>
      <c r="E3749" s="18">
        <v>157.5</v>
      </c>
      <c r="F3749" s="18">
        <v>18.0</v>
      </c>
    </row>
    <row r="3750">
      <c r="A3750" s="15">
        <v>27.0</v>
      </c>
      <c r="B3750" s="16" t="s">
        <v>8871</v>
      </c>
      <c r="C3750" s="17" t="s">
        <v>5881</v>
      </c>
      <c r="D3750" s="18">
        <v>56.21</v>
      </c>
      <c r="E3750" s="18">
        <v>78.0</v>
      </c>
      <c r="F3750" s="18">
        <v>12.0</v>
      </c>
    </row>
    <row r="3751">
      <c r="A3751" s="6"/>
      <c r="B3751" s="7"/>
      <c r="C3751" s="7"/>
      <c r="D3751" s="7"/>
      <c r="E3751" s="7"/>
      <c r="F3751" s="8"/>
    </row>
    <row r="3752">
      <c r="A3752" s="9" t="s">
        <v>8872</v>
      </c>
      <c r="B3752" s="10"/>
      <c r="C3752" s="10"/>
      <c r="D3752" s="10"/>
      <c r="E3752" s="10"/>
      <c r="F3752" s="10"/>
    </row>
    <row r="3753">
      <c r="A3753" s="11">
        <v>1.0</v>
      </c>
      <c r="B3753" s="12" t="s">
        <v>8873</v>
      </c>
      <c r="C3753" s="13" t="s">
        <v>5546</v>
      </c>
      <c r="D3753" s="14">
        <v>59.52</v>
      </c>
      <c r="E3753" s="14">
        <v>83.33</v>
      </c>
      <c r="F3753" s="14">
        <v>12.0</v>
      </c>
    </row>
    <row r="3754">
      <c r="A3754" s="15">
        <v>2.0</v>
      </c>
      <c r="B3754" s="16" t="s">
        <v>8874</v>
      </c>
      <c r="C3754" s="17" t="s">
        <v>5546</v>
      </c>
      <c r="D3754" s="18">
        <v>19.8</v>
      </c>
      <c r="E3754" s="18">
        <v>27.72</v>
      </c>
      <c r="F3754" s="18">
        <v>12.0</v>
      </c>
    </row>
    <row r="3755">
      <c r="A3755" s="15">
        <v>3.0</v>
      </c>
      <c r="B3755" s="16" t="s">
        <v>8875</v>
      </c>
      <c r="C3755" s="17" t="s">
        <v>5603</v>
      </c>
      <c r="D3755" s="18">
        <v>26.77</v>
      </c>
      <c r="E3755" s="18">
        <v>37.48</v>
      </c>
      <c r="F3755" s="18">
        <v>12.0</v>
      </c>
    </row>
    <row r="3756">
      <c r="A3756" s="15">
        <v>4.0</v>
      </c>
      <c r="B3756" s="16" t="s">
        <v>8876</v>
      </c>
      <c r="C3756" s="17" t="s">
        <v>5536</v>
      </c>
      <c r="D3756" s="18">
        <v>39.29</v>
      </c>
      <c r="E3756" s="18">
        <v>55.0</v>
      </c>
      <c r="F3756" s="18">
        <v>12.0</v>
      </c>
    </row>
    <row r="3757">
      <c r="A3757" s="15">
        <v>5.0</v>
      </c>
      <c r="B3757" s="16" t="s">
        <v>8877</v>
      </c>
      <c r="C3757" s="17" t="s">
        <v>5603</v>
      </c>
      <c r="D3757" s="18">
        <v>87.14</v>
      </c>
      <c r="E3757" s="18">
        <v>122.0</v>
      </c>
      <c r="F3757" s="18">
        <v>12.0</v>
      </c>
    </row>
    <row r="3758">
      <c r="A3758" s="15">
        <v>6.0</v>
      </c>
      <c r="B3758" s="16" t="s">
        <v>8878</v>
      </c>
      <c r="C3758" s="17" t="s">
        <v>5603</v>
      </c>
      <c r="D3758" s="18">
        <v>75.71</v>
      </c>
      <c r="E3758" s="18">
        <v>105.0</v>
      </c>
      <c r="F3758" s="18">
        <v>12.0</v>
      </c>
    </row>
    <row r="3759">
      <c r="A3759" s="15">
        <v>7.0</v>
      </c>
      <c r="B3759" s="16" t="s">
        <v>8879</v>
      </c>
      <c r="C3759" s="17" t="s">
        <v>8880</v>
      </c>
      <c r="D3759" s="18">
        <v>42.86</v>
      </c>
      <c r="E3759" s="18">
        <v>60.0</v>
      </c>
      <c r="F3759" s="18">
        <v>12.0</v>
      </c>
    </row>
    <row r="3760">
      <c r="A3760" s="15">
        <v>8.0</v>
      </c>
      <c r="B3760" s="16" t="s">
        <v>8879</v>
      </c>
      <c r="C3760" s="17" t="s">
        <v>8881</v>
      </c>
      <c r="D3760" s="18">
        <v>63.57</v>
      </c>
      <c r="E3760" s="18">
        <v>89.0</v>
      </c>
      <c r="F3760" s="18">
        <v>12.0</v>
      </c>
    </row>
    <row r="3761">
      <c r="A3761" s="15">
        <v>9.0</v>
      </c>
      <c r="B3761" s="16" t="s">
        <v>8882</v>
      </c>
      <c r="C3761" s="17" t="s">
        <v>5830</v>
      </c>
      <c r="D3761" s="18">
        <v>86.78</v>
      </c>
      <c r="E3761" s="18">
        <v>121.5</v>
      </c>
      <c r="F3761" s="18">
        <v>12.0</v>
      </c>
    </row>
    <row r="3762">
      <c r="A3762" s="15">
        <v>10.0</v>
      </c>
      <c r="B3762" s="16" t="s">
        <v>8883</v>
      </c>
      <c r="C3762" s="17" t="s">
        <v>8884</v>
      </c>
      <c r="D3762" s="18">
        <v>109.29</v>
      </c>
      <c r="E3762" s="18">
        <v>153.0</v>
      </c>
      <c r="F3762" s="18">
        <v>12.0</v>
      </c>
    </row>
    <row r="3763">
      <c r="A3763" s="15">
        <v>11.0</v>
      </c>
      <c r="B3763" s="16" t="s">
        <v>8883</v>
      </c>
      <c r="C3763" s="17" t="s">
        <v>8885</v>
      </c>
      <c r="D3763" s="18">
        <v>125.0</v>
      </c>
      <c r="E3763" s="18">
        <v>175.0</v>
      </c>
      <c r="F3763" s="18">
        <v>12.0</v>
      </c>
    </row>
    <row r="3764">
      <c r="A3764" s="15">
        <v>12.0</v>
      </c>
      <c r="B3764" s="16" t="s">
        <v>8886</v>
      </c>
      <c r="C3764" s="17" t="s">
        <v>5636</v>
      </c>
      <c r="D3764" s="18">
        <v>41.2</v>
      </c>
      <c r="E3764" s="18">
        <v>55.78</v>
      </c>
      <c r="F3764" s="18">
        <v>12.0</v>
      </c>
    </row>
    <row r="3765">
      <c r="A3765" s="15">
        <v>13.0</v>
      </c>
      <c r="B3765" s="16" t="s">
        <v>8886</v>
      </c>
      <c r="C3765" s="17" t="s">
        <v>5565</v>
      </c>
      <c r="D3765" s="18">
        <v>128.88</v>
      </c>
      <c r="E3765" s="18">
        <v>180.43</v>
      </c>
      <c r="F3765" s="18">
        <v>12.0</v>
      </c>
    </row>
    <row r="3766">
      <c r="A3766" s="15">
        <v>14.0</v>
      </c>
      <c r="B3766" s="16" t="s">
        <v>8887</v>
      </c>
      <c r="C3766" s="17" t="s">
        <v>5636</v>
      </c>
      <c r="D3766" s="18">
        <v>99.76</v>
      </c>
      <c r="E3766" s="18">
        <v>129.57</v>
      </c>
      <c r="F3766" s="18">
        <v>12.0</v>
      </c>
    </row>
    <row r="3767">
      <c r="A3767" s="15">
        <v>15.0</v>
      </c>
      <c r="B3767" s="16" t="s">
        <v>8887</v>
      </c>
      <c r="C3767" s="17" t="s">
        <v>5565</v>
      </c>
      <c r="D3767" s="18">
        <v>312.0</v>
      </c>
      <c r="E3767" s="18">
        <v>436.8</v>
      </c>
      <c r="F3767" s="18">
        <v>12.0</v>
      </c>
    </row>
    <row r="3768">
      <c r="A3768" s="15">
        <v>16.0</v>
      </c>
      <c r="B3768" s="16" t="s">
        <v>8888</v>
      </c>
      <c r="C3768" s="17" t="s">
        <v>5636</v>
      </c>
      <c r="D3768" s="18">
        <v>151.04</v>
      </c>
      <c r="E3768" s="18">
        <v>211.46</v>
      </c>
      <c r="F3768" s="18">
        <v>12.0</v>
      </c>
    </row>
    <row r="3769">
      <c r="A3769" s="15">
        <v>17.0</v>
      </c>
      <c r="B3769" s="16" t="s">
        <v>8889</v>
      </c>
      <c r="C3769" s="17" t="s">
        <v>5636</v>
      </c>
      <c r="D3769" s="18">
        <v>33.57</v>
      </c>
      <c r="E3769" s="18">
        <v>47.0</v>
      </c>
      <c r="F3769" s="18">
        <v>12.0</v>
      </c>
    </row>
    <row r="3770">
      <c r="A3770" s="15">
        <v>18.0</v>
      </c>
      <c r="B3770" s="16" t="s">
        <v>8890</v>
      </c>
      <c r="C3770" s="17" t="s">
        <v>5536</v>
      </c>
      <c r="D3770" s="18">
        <v>67.15</v>
      </c>
      <c r="E3770" s="18">
        <v>94.01</v>
      </c>
      <c r="F3770" s="18">
        <v>12.0</v>
      </c>
    </row>
    <row r="3771">
      <c r="A3771" s="15">
        <v>19.0</v>
      </c>
      <c r="B3771" s="16" t="s">
        <v>8891</v>
      </c>
      <c r="C3771" s="17" t="s">
        <v>5536</v>
      </c>
      <c r="D3771" s="18">
        <v>82.14</v>
      </c>
      <c r="E3771" s="18">
        <v>115.0</v>
      </c>
      <c r="F3771" s="18">
        <v>12.0</v>
      </c>
    </row>
    <row r="3772">
      <c r="A3772" s="15">
        <v>20.0</v>
      </c>
      <c r="B3772" s="16" t="s">
        <v>3054</v>
      </c>
      <c r="C3772" s="16" t="s">
        <v>5558</v>
      </c>
      <c r="D3772" s="18">
        <v>178.57</v>
      </c>
      <c r="E3772" s="18">
        <v>250.0</v>
      </c>
      <c r="F3772" s="18">
        <v>12.0</v>
      </c>
    </row>
    <row r="3773">
      <c r="A3773" s="15">
        <v>21.0</v>
      </c>
      <c r="B3773" s="16" t="s">
        <v>8892</v>
      </c>
      <c r="C3773" s="17" t="s">
        <v>5928</v>
      </c>
      <c r="D3773" s="18">
        <v>60.34</v>
      </c>
      <c r="E3773" s="18">
        <v>89.0</v>
      </c>
      <c r="F3773" s="18">
        <v>18.0</v>
      </c>
    </row>
    <row r="3774">
      <c r="A3774" s="15">
        <v>22.0</v>
      </c>
      <c r="B3774" s="16" t="s">
        <v>8893</v>
      </c>
      <c r="C3774" s="17" t="s">
        <v>7142</v>
      </c>
      <c r="D3774" s="18">
        <v>52.14</v>
      </c>
      <c r="E3774" s="18">
        <v>73.0</v>
      </c>
      <c r="F3774" s="18">
        <v>12.0</v>
      </c>
    </row>
    <row r="3775">
      <c r="A3775" s="15">
        <v>23.0</v>
      </c>
      <c r="B3775" s="16" t="s">
        <v>8893</v>
      </c>
      <c r="C3775" s="17" t="s">
        <v>7143</v>
      </c>
      <c r="D3775" s="18">
        <v>71.43</v>
      </c>
      <c r="E3775" s="18">
        <v>100.0</v>
      </c>
      <c r="F3775" s="18">
        <v>12.0</v>
      </c>
    </row>
    <row r="3776">
      <c r="A3776" s="15">
        <v>24.0</v>
      </c>
      <c r="B3776" s="16" t="s">
        <v>8894</v>
      </c>
      <c r="C3776" s="17" t="s">
        <v>5632</v>
      </c>
      <c r="D3776" s="18">
        <v>26.43</v>
      </c>
      <c r="E3776" s="18">
        <v>37.0</v>
      </c>
      <c r="F3776" s="18">
        <v>12.0</v>
      </c>
    </row>
    <row r="3777">
      <c r="A3777" s="15">
        <v>25.0</v>
      </c>
      <c r="B3777" s="16" t="s">
        <v>8894</v>
      </c>
      <c r="C3777" s="17" t="s">
        <v>5562</v>
      </c>
      <c r="D3777" s="18">
        <v>27.86</v>
      </c>
      <c r="E3777" s="18">
        <v>39.0</v>
      </c>
      <c r="F3777" s="18">
        <v>12.0</v>
      </c>
    </row>
    <row r="3778">
      <c r="A3778" s="15">
        <v>26.0</v>
      </c>
      <c r="B3778" s="16" t="s">
        <v>8895</v>
      </c>
      <c r="C3778" s="17" t="s">
        <v>5636</v>
      </c>
      <c r="D3778" s="18">
        <v>48.38</v>
      </c>
      <c r="E3778" s="18">
        <v>67.74</v>
      </c>
      <c r="F3778" s="18">
        <v>12.0</v>
      </c>
    </row>
    <row r="3779">
      <c r="A3779" s="15">
        <v>27.0</v>
      </c>
      <c r="B3779" s="16" t="s">
        <v>8896</v>
      </c>
      <c r="C3779" s="17" t="s">
        <v>5833</v>
      </c>
      <c r="D3779" s="18">
        <v>32.41</v>
      </c>
      <c r="E3779" s="18">
        <v>44.5</v>
      </c>
      <c r="F3779" s="18">
        <v>12.0</v>
      </c>
    </row>
    <row r="3780">
      <c r="A3780" s="15">
        <v>28.0</v>
      </c>
      <c r="B3780" s="16" t="s">
        <v>3062</v>
      </c>
      <c r="C3780" s="16" t="s">
        <v>5558</v>
      </c>
      <c r="D3780" s="18">
        <v>63.57</v>
      </c>
      <c r="E3780" s="18">
        <v>89.0</v>
      </c>
      <c r="F3780" s="18">
        <v>12.0</v>
      </c>
    </row>
    <row r="3781">
      <c r="A3781" s="15">
        <v>29.0</v>
      </c>
      <c r="B3781" s="16" t="s">
        <v>8897</v>
      </c>
      <c r="C3781" s="17" t="s">
        <v>6046</v>
      </c>
      <c r="D3781" s="18">
        <v>82.14</v>
      </c>
      <c r="E3781" s="18">
        <v>115.0</v>
      </c>
      <c r="F3781" s="18">
        <v>12.0</v>
      </c>
    </row>
    <row r="3782">
      <c r="A3782" s="15">
        <v>30.0</v>
      </c>
      <c r="B3782" s="16" t="s">
        <v>8898</v>
      </c>
      <c r="C3782" s="17" t="s">
        <v>5818</v>
      </c>
      <c r="D3782" s="18">
        <v>207.14</v>
      </c>
      <c r="E3782" s="18">
        <v>290.0</v>
      </c>
      <c r="F3782" s="18">
        <v>12.0</v>
      </c>
    </row>
    <row r="3783">
      <c r="A3783" s="15">
        <v>31.0</v>
      </c>
      <c r="B3783" s="16" t="s">
        <v>8898</v>
      </c>
      <c r="C3783" s="17" t="s">
        <v>5830</v>
      </c>
      <c r="D3783" s="18">
        <v>107.14</v>
      </c>
      <c r="E3783" s="18">
        <v>150.0</v>
      </c>
      <c r="F3783" s="18">
        <v>12.0</v>
      </c>
    </row>
    <row r="3784">
      <c r="A3784" s="15">
        <v>32.0</v>
      </c>
      <c r="B3784" s="16" t="s">
        <v>8899</v>
      </c>
      <c r="C3784" s="17" t="s">
        <v>5536</v>
      </c>
      <c r="D3784" s="18">
        <v>19.29</v>
      </c>
      <c r="E3784" s="18">
        <v>27.0</v>
      </c>
      <c r="F3784" s="18">
        <v>12.0</v>
      </c>
    </row>
    <row r="3785">
      <c r="A3785" s="6"/>
      <c r="B3785" s="7"/>
      <c r="C3785" s="7"/>
      <c r="D3785" s="7"/>
      <c r="E3785" s="7"/>
      <c r="F3785" s="8"/>
    </row>
    <row r="3786">
      <c r="A3786" s="9" t="s">
        <v>8900</v>
      </c>
      <c r="B3786" s="10"/>
      <c r="C3786" s="10"/>
      <c r="D3786" s="10"/>
      <c r="E3786" s="10"/>
      <c r="F3786" s="10"/>
    </row>
    <row r="3787">
      <c r="A3787" s="11">
        <v>1.0</v>
      </c>
      <c r="B3787" s="12" t="s">
        <v>8901</v>
      </c>
      <c r="C3787" s="13" t="s">
        <v>5536</v>
      </c>
      <c r="D3787" s="14">
        <v>44.72</v>
      </c>
      <c r="E3787" s="14">
        <v>62.61</v>
      </c>
      <c r="F3787" s="14">
        <v>12.0</v>
      </c>
    </row>
    <row r="3788">
      <c r="A3788" s="15">
        <v>2.0</v>
      </c>
      <c r="B3788" s="16" t="s">
        <v>8902</v>
      </c>
      <c r="C3788" s="17" t="s">
        <v>5536</v>
      </c>
      <c r="D3788" s="18">
        <v>88.64</v>
      </c>
      <c r="E3788" s="18">
        <v>124.1</v>
      </c>
      <c r="F3788" s="18">
        <v>12.0</v>
      </c>
    </row>
    <row r="3789">
      <c r="A3789" s="15">
        <v>3.0</v>
      </c>
      <c r="B3789" s="16" t="s">
        <v>8903</v>
      </c>
      <c r="C3789" s="17" t="s">
        <v>5536</v>
      </c>
      <c r="D3789" s="18">
        <v>28.56</v>
      </c>
      <c r="E3789" s="18">
        <v>39.98</v>
      </c>
      <c r="F3789" s="18">
        <v>12.0</v>
      </c>
    </row>
    <row r="3790">
      <c r="A3790" s="15">
        <v>4.0</v>
      </c>
      <c r="B3790" s="16" t="s">
        <v>8904</v>
      </c>
      <c r="C3790" s="17" t="s">
        <v>5536</v>
      </c>
      <c r="D3790" s="18">
        <v>51.6</v>
      </c>
      <c r="E3790" s="18">
        <v>72.24</v>
      </c>
      <c r="F3790" s="18">
        <v>12.0</v>
      </c>
    </row>
    <row r="3791">
      <c r="A3791" s="15">
        <v>5.0</v>
      </c>
      <c r="B3791" s="16" t="s">
        <v>8905</v>
      </c>
      <c r="C3791" s="17" t="s">
        <v>5536</v>
      </c>
      <c r="D3791" s="18">
        <v>78.64</v>
      </c>
      <c r="E3791" s="18">
        <v>110.1</v>
      </c>
      <c r="F3791" s="18">
        <v>12.0</v>
      </c>
    </row>
    <row r="3792">
      <c r="A3792" s="15">
        <v>6.0</v>
      </c>
      <c r="B3792" s="16" t="s">
        <v>8906</v>
      </c>
      <c r="C3792" s="17" t="s">
        <v>5831</v>
      </c>
      <c r="D3792" s="18">
        <v>100.0</v>
      </c>
      <c r="E3792" s="18">
        <v>140.0</v>
      </c>
      <c r="F3792" s="18">
        <v>12.0</v>
      </c>
    </row>
    <row r="3793">
      <c r="A3793" s="15">
        <v>7.0</v>
      </c>
      <c r="B3793" s="16" t="s">
        <v>8907</v>
      </c>
      <c r="C3793" s="17" t="s">
        <v>5636</v>
      </c>
      <c r="D3793" s="18">
        <v>101.43</v>
      </c>
      <c r="E3793" s="18">
        <v>142.0</v>
      </c>
      <c r="F3793" s="18">
        <v>12.0</v>
      </c>
    </row>
    <row r="3794">
      <c r="A3794" s="15">
        <v>8.0</v>
      </c>
      <c r="B3794" s="16" t="s">
        <v>8906</v>
      </c>
      <c r="C3794" s="17" t="s">
        <v>5636</v>
      </c>
      <c r="D3794" s="18">
        <v>94.29</v>
      </c>
      <c r="E3794" s="18">
        <v>132.0</v>
      </c>
      <c r="F3794" s="18">
        <v>12.0</v>
      </c>
    </row>
    <row r="3795">
      <c r="A3795" s="15">
        <v>9.0</v>
      </c>
      <c r="B3795" s="16" t="s">
        <v>8908</v>
      </c>
      <c r="C3795" s="17" t="s">
        <v>5636</v>
      </c>
      <c r="D3795" s="18">
        <v>117.86</v>
      </c>
      <c r="E3795" s="18">
        <v>165.0</v>
      </c>
      <c r="F3795" s="18">
        <v>12.0</v>
      </c>
    </row>
    <row r="3796">
      <c r="A3796" s="6"/>
      <c r="B3796" s="7"/>
      <c r="C3796" s="7"/>
      <c r="D3796" s="7"/>
      <c r="E3796" s="8"/>
      <c r="F3796" s="16" t="s">
        <v>8909</v>
      </c>
    </row>
    <row r="3797">
      <c r="A3797" s="6"/>
      <c r="B3797" s="7"/>
      <c r="C3797" s="7"/>
      <c r="D3797" s="7"/>
      <c r="E3797" s="7"/>
      <c r="F3797" s="8"/>
    </row>
    <row r="3798">
      <c r="A3798" s="6"/>
      <c r="B3798" s="7"/>
      <c r="C3798" s="7"/>
      <c r="D3798" s="7"/>
      <c r="E3798" s="7"/>
      <c r="F3798" s="8"/>
    </row>
    <row r="3799">
      <c r="A3799" s="6"/>
      <c r="B3799" s="7"/>
      <c r="C3799" s="7"/>
      <c r="D3799" s="7"/>
      <c r="E3799" s="7"/>
      <c r="F3799" s="8"/>
    </row>
    <row r="3800">
      <c r="A3800" s="6"/>
      <c r="B3800" s="7"/>
      <c r="C3800" s="7"/>
      <c r="D3800" s="7"/>
      <c r="E3800" s="7"/>
      <c r="F3800" s="8"/>
    </row>
    <row r="3801">
      <c r="A3801" s="9" t="s">
        <v>5582</v>
      </c>
      <c r="B3801" s="10"/>
      <c r="C3801" s="10"/>
      <c r="D3801" s="10"/>
      <c r="E3801" s="10"/>
      <c r="F3801" s="10"/>
    </row>
    <row r="3802">
      <c r="A3802" s="19" t="s">
        <v>5583</v>
      </c>
    </row>
    <row r="3803">
      <c r="A3803" s="6"/>
      <c r="B3803" s="7"/>
      <c r="C3803" s="7"/>
      <c r="D3803" s="8"/>
      <c r="E3803" s="12" t="s">
        <v>5584</v>
      </c>
      <c r="F3803" s="12" t="s">
        <v>8910</v>
      </c>
    </row>
    <row r="3804">
      <c r="A3804" s="20" t="s">
        <v>5522</v>
      </c>
      <c r="B3804" s="16" t="s">
        <v>5523</v>
      </c>
      <c r="C3804" s="16" t="s">
        <v>5524</v>
      </c>
      <c r="D3804" s="16" t="s">
        <v>5525</v>
      </c>
      <c r="E3804" s="16" t="s">
        <v>5526</v>
      </c>
      <c r="F3804" s="16" t="s">
        <v>5586</v>
      </c>
    </row>
    <row r="3805">
      <c r="A3805" s="15">
        <v>10.0</v>
      </c>
      <c r="B3805" s="16" t="s">
        <v>8911</v>
      </c>
      <c r="C3805" s="17" t="s">
        <v>5830</v>
      </c>
      <c r="D3805" s="18">
        <v>71.43</v>
      </c>
      <c r="E3805" s="18">
        <v>100.0</v>
      </c>
      <c r="F3805" s="18">
        <v>12.0</v>
      </c>
    </row>
    <row r="3806">
      <c r="A3806" s="15">
        <v>11.0</v>
      </c>
      <c r="B3806" s="16" t="s">
        <v>8911</v>
      </c>
      <c r="C3806" s="17" t="s">
        <v>5831</v>
      </c>
      <c r="D3806" s="18">
        <v>132.14</v>
      </c>
      <c r="E3806" s="18">
        <v>185.0</v>
      </c>
      <c r="F3806" s="18">
        <v>12.0</v>
      </c>
    </row>
    <row r="3807">
      <c r="A3807" s="15">
        <v>12.0</v>
      </c>
      <c r="B3807" s="16" t="s">
        <v>8912</v>
      </c>
      <c r="C3807" s="17" t="s">
        <v>5831</v>
      </c>
      <c r="D3807" s="18">
        <v>148.57</v>
      </c>
      <c r="E3807" s="18">
        <v>208.0</v>
      </c>
      <c r="F3807" s="18">
        <v>12.0</v>
      </c>
    </row>
    <row r="3808">
      <c r="A3808" s="15">
        <v>13.0</v>
      </c>
      <c r="B3808" s="16" t="s">
        <v>8912</v>
      </c>
      <c r="C3808" s="17" t="s">
        <v>5636</v>
      </c>
      <c r="D3808" s="18">
        <v>91.43</v>
      </c>
      <c r="E3808" s="18">
        <v>128.0</v>
      </c>
      <c r="F3808" s="18">
        <v>12.0</v>
      </c>
    </row>
    <row r="3809">
      <c r="A3809" s="15">
        <v>14.0</v>
      </c>
      <c r="B3809" s="16" t="s">
        <v>8913</v>
      </c>
      <c r="C3809" s="17" t="s">
        <v>5530</v>
      </c>
      <c r="D3809" s="18">
        <v>70.0</v>
      </c>
      <c r="E3809" s="18">
        <v>98.0</v>
      </c>
      <c r="F3809" s="18">
        <v>12.0</v>
      </c>
    </row>
    <row r="3810">
      <c r="A3810" s="15">
        <v>15.0</v>
      </c>
      <c r="B3810" s="16" t="s">
        <v>8913</v>
      </c>
      <c r="C3810" s="17" t="s">
        <v>5531</v>
      </c>
      <c r="D3810" s="18">
        <v>77.14</v>
      </c>
      <c r="E3810" s="18">
        <v>108.0</v>
      </c>
      <c r="F3810" s="18">
        <v>12.0</v>
      </c>
    </row>
    <row r="3811">
      <c r="A3811" s="15">
        <v>16.0</v>
      </c>
      <c r="B3811" s="16" t="s">
        <v>8914</v>
      </c>
      <c r="C3811" s="17" t="s">
        <v>8915</v>
      </c>
      <c r="D3811" s="18">
        <v>77.14</v>
      </c>
      <c r="E3811" s="18">
        <v>108.0</v>
      </c>
      <c r="F3811" s="18">
        <v>12.0</v>
      </c>
    </row>
    <row r="3812">
      <c r="A3812" s="15">
        <v>17.0</v>
      </c>
      <c r="B3812" s="16" t="s">
        <v>8914</v>
      </c>
      <c r="C3812" s="17" t="s">
        <v>8916</v>
      </c>
      <c r="D3812" s="18">
        <v>97.14</v>
      </c>
      <c r="E3812" s="18">
        <v>136.0</v>
      </c>
      <c r="F3812" s="18">
        <v>12.0</v>
      </c>
    </row>
    <row r="3813">
      <c r="A3813" s="15">
        <v>18.0</v>
      </c>
      <c r="B3813" s="16" t="s">
        <v>8917</v>
      </c>
      <c r="C3813" s="17" t="s">
        <v>5636</v>
      </c>
      <c r="D3813" s="18">
        <v>41.2</v>
      </c>
      <c r="E3813" s="18">
        <v>57.68</v>
      </c>
      <c r="F3813" s="18">
        <v>12.0</v>
      </c>
    </row>
    <row r="3814">
      <c r="A3814" s="15">
        <v>19.0</v>
      </c>
      <c r="B3814" s="16" t="s">
        <v>8917</v>
      </c>
      <c r="C3814" s="17" t="s">
        <v>5565</v>
      </c>
      <c r="D3814" s="18">
        <v>128.88</v>
      </c>
      <c r="E3814" s="18">
        <v>180.43</v>
      </c>
      <c r="F3814" s="18">
        <v>12.0</v>
      </c>
    </row>
    <row r="3815">
      <c r="A3815" s="15">
        <v>20.0</v>
      </c>
      <c r="B3815" s="16" t="s">
        <v>8918</v>
      </c>
      <c r="C3815" s="17" t="s">
        <v>5636</v>
      </c>
      <c r="D3815" s="18">
        <v>99.76</v>
      </c>
      <c r="E3815" s="18">
        <v>139.66</v>
      </c>
      <c r="F3815" s="18">
        <v>12.0</v>
      </c>
    </row>
    <row r="3816">
      <c r="A3816" s="15">
        <v>21.0</v>
      </c>
      <c r="B3816" s="16" t="s">
        <v>8918</v>
      </c>
      <c r="C3816" s="17" t="s">
        <v>5565</v>
      </c>
      <c r="D3816" s="18">
        <v>312.0</v>
      </c>
      <c r="E3816" s="18">
        <v>436.8</v>
      </c>
      <c r="F3816" s="18">
        <v>12.0</v>
      </c>
    </row>
    <row r="3817">
      <c r="A3817" s="15">
        <v>22.0</v>
      </c>
      <c r="B3817" s="16" t="s">
        <v>8919</v>
      </c>
      <c r="C3817" s="17" t="s">
        <v>5636</v>
      </c>
      <c r="D3817" s="18">
        <v>134.29</v>
      </c>
      <c r="E3817" s="18">
        <v>188.0</v>
      </c>
      <c r="F3817" s="18">
        <v>12.0</v>
      </c>
    </row>
    <row r="3818">
      <c r="A3818" s="15">
        <v>23.0</v>
      </c>
      <c r="B3818" s="16" t="s">
        <v>8920</v>
      </c>
      <c r="C3818" s="17" t="s">
        <v>5536</v>
      </c>
      <c r="D3818" s="18">
        <v>72.86</v>
      </c>
      <c r="E3818" s="18">
        <v>102.0</v>
      </c>
      <c r="F3818" s="18">
        <v>12.0</v>
      </c>
    </row>
    <row r="3819">
      <c r="A3819" s="15">
        <v>24.0</v>
      </c>
      <c r="B3819" s="16" t="s">
        <v>8921</v>
      </c>
      <c r="C3819" s="17" t="s">
        <v>5536</v>
      </c>
      <c r="D3819" s="18">
        <v>89.29</v>
      </c>
      <c r="E3819" s="18">
        <v>125.0</v>
      </c>
      <c r="F3819" s="18">
        <v>12.0</v>
      </c>
    </row>
    <row r="3820">
      <c r="A3820" s="15">
        <v>25.0</v>
      </c>
      <c r="B3820" s="16" t="s">
        <v>8922</v>
      </c>
      <c r="C3820" s="17" t="s">
        <v>5536</v>
      </c>
      <c r="D3820" s="18">
        <v>77.14</v>
      </c>
      <c r="E3820" s="18">
        <v>108.0</v>
      </c>
      <c r="F3820" s="18">
        <v>12.0</v>
      </c>
    </row>
    <row r="3821">
      <c r="A3821" s="15">
        <v>26.0</v>
      </c>
      <c r="B3821" s="16" t="s">
        <v>8923</v>
      </c>
      <c r="C3821" s="17" t="s">
        <v>5536</v>
      </c>
      <c r="D3821" s="18">
        <v>157.86</v>
      </c>
      <c r="E3821" s="18">
        <v>221.0</v>
      </c>
      <c r="F3821" s="18">
        <v>12.0</v>
      </c>
    </row>
    <row r="3822">
      <c r="A3822" s="15">
        <v>27.0</v>
      </c>
      <c r="B3822" s="16" t="s">
        <v>8924</v>
      </c>
      <c r="C3822" s="17" t="s">
        <v>5536</v>
      </c>
      <c r="D3822" s="18">
        <v>60.71</v>
      </c>
      <c r="E3822" s="18">
        <v>85.0</v>
      </c>
      <c r="F3822" s="18">
        <v>12.0</v>
      </c>
    </row>
    <row r="3823">
      <c r="A3823" s="15">
        <v>28.0</v>
      </c>
      <c r="B3823" s="16" t="s">
        <v>8925</v>
      </c>
      <c r="C3823" s="17" t="s">
        <v>5536</v>
      </c>
      <c r="D3823" s="18">
        <v>76.43</v>
      </c>
      <c r="E3823" s="18">
        <v>107.0</v>
      </c>
      <c r="F3823" s="18">
        <v>12.0</v>
      </c>
    </row>
    <row r="3824">
      <c r="A3824" s="15">
        <v>29.0</v>
      </c>
      <c r="B3824" s="16" t="s">
        <v>8926</v>
      </c>
      <c r="C3824" s="17" t="s">
        <v>5636</v>
      </c>
      <c r="D3824" s="18">
        <v>91.43</v>
      </c>
      <c r="E3824" s="18">
        <v>128.0</v>
      </c>
      <c r="F3824" s="18">
        <v>12.0</v>
      </c>
    </row>
    <row r="3825">
      <c r="A3825" s="15">
        <v>30.0</v>
      </c>
      <c r="B3825" s="16" t="s">
        <v>8927</v>
      </c>
      <c r="C3825" s="17" t="s">
        <v>7424</v>
      </c>
      <c r="D3825" s="18">
        <v>44.95</v>
      </c>
      <c r="E3825" s="18">
        <v>62.93</v>
      </c>
      <c r="F3825" s="18">
        <v>12.0</v>
      </c>
    </row>
    <row r="3826">
      <c r="A3826" s="15">
        <v>31.0</v>
      </c>
      <c r="B3826" s="16" t="s">
        <v>8927</v>
      </c>
      <c r="C3826" s="17" t="s">
        <v>7118</v>
      </c>
      <c r="D3826" s="18">
        <v>21.14</v>
      </c>
      <c r="E3826" s="18">
        <v>29.59</v>
      </c>
      <c r="F3826" s="18">
        <v>12.0</v>
      </c>
    </row>
    <row r="3827">
      <c r="A3827" s="15">
        <v>32.0</v>
      </c>
      <c r="B3827" s="16" t="s">
        <v>8927</v>
      </c>
      <c r="C3827" s="17" t="s">
        <v>7184</v>
      </c>
      <c r="D3827" s="18">
        <v>34.26</v>
      </c>
      <c r="E3827" s="18">
        <v>51.0</v>
      </c>
      <c r="F3827" s="18">
        <v>12.0</v>
      </c>
    </row>
    <row r="3828">
      <c r="A3828" s="15">
        <v>33.0</v>
      </c>
      <c r="B3828" s="16" t="s">
        <v>8928</v>
      </c>
      <c r="C3828" s="17" t="s">
        <v>5536</v>
      </c>
      <c r="D3828" s="18">
        <v>18.8</v>
      </c>
      <c r="E3828" s="18">
        <v>26.32</v>
      </c>
      <c r="F3828" s="18">
        <v>12.0</v>
      </c>
    </row>
    <row r="3829">
      <c r="A3829" s="15">
        <v>34.0</v>
      </c>
      <c r="B3829" s="16" t="s">
        <v>8929</v>
      </c>
      <c r="C3829" s="17" t="s">
        <v>5536</v>
      </c>
      <c r="D3829" s="18">
        <v>38.24</v>
      </c>
      <c r="E3829" s="18">
        <v>53.54</v>
      </c>
      <c r="F3829" s="18">
        <v>12.0</v>
      </c>
    </row>
    <row r="3830">
      <c r="A3830" s="15">
        <v>35.0</v>
      </c>
      <c r="B3830" s="16" t="s">
        <v>8930</v>
      </c>
      <c r="C3830" s="17" t="s">
        <v>8931</v>
      </c>
      <c r="D3830" s="18">
        <v>76.34</v>
      </c>
      <c r="E3830" s="18">
        <v>106.87</v>
      </c>
      <c r="F3830" s="18">
        <v>12.0</v>
      </c>
    </row>
    <row r="3831">
      <c r="A3831" s="15">
        <v>36.0</v>
      </c>
      <c r="B3831" s="16" t="s">
        <v>8930</v>
      </c>
      <c r="C3831" s="17" t="s">
        <v>8932</v>
      </c>
      <c r="D3831" s="18">
        <v>74.4</v>
      </c>
      <c r="E3831" s="18">
        <v>104.16</v>
      </c>
      <c r="F3831" s="18">
        <v>12.0</v>
      </c>
    </row>
    <row r="3832">
      <c r="A3832" s="15">
        <v>37.0</v>
      </c>
      <c r="B3832" s="16" t="s">
        <v>8933</v>
      </c>
      <c r="C3832" s="17" t="s">
        <v>8934</v>
      </c>
      <c r="D3832" s="18">
        <v>234.29</v>
      </c>
      <c r="E3832" s="18">
        <v>328.0</v>
      </c>
      <c r="F3832" s="18">
        <v>12.0</v>
      </c>
    </row>
    <row r="3833">
      <c r="A3833" s="15">
        <v>38.0</v>
      </c>
      <c r="B3833" s="16" t="s">
        <v>8933</v>
      </c>
      <c r="C3833" s="17" t="s">
        <v>5632</v>
      </c>
      <c r="D3833" s="18">
        <v>250.0</v>
      </c>
      <c r="E3833" s="18">
        <v>350.0</v>
      </c>
      <c r="F3833" s="18">
        <v>12.0</v>
      </c>
    </row>
    <row r="3834">
      <c r="A3834" s="15">
        <v>39.0</v>
      </c>
      <c r="B3834" s="16" t="s">
        <v>8935</v>
      </c>
      <c r="C3834" s="17" t="s">
        <v>5614</v>
      </c>
      <c r="D3834" s="18">
        <v>200.0</v>
      </c>
      <c r="E3834" s="18">
        <v>280.0</v>
      </c>
      <c r="F3834" s="18">
        <v>12.0</v>
      </c>
    </row>
    <row r="3835">
      <c r="A3835" s="15">
        <v>40.0</v>
      </c>
      <c r="B3835" s="16" t="s">
        <v>8936</v>
      </c>
      <c r="C3835" s="17" t="s">
        <v>5546</v>
      </c>
      <c r="D3835" s="18">
        <v>121.43</v>
      </c>
      <c r="E3835" s="18">
        <v>170.0</v>
      </c>
      <c r="F3835" s="18">
        <v>12.0</v>
      </c>
    </row>
    <row r="3836">
      <c r="A3836" s="15">
        <v>41.0</v>
      </c>
      <c r="B3836" s="16" t="s">
        <v>8937</v>
      </c>
      <c r="C3836" s="17" t="s">
        <v>5536</v>
      </c>
      <c r="D3836" s="18">
        <v>27.34</v>
      </c>
      <c r="E3836" s="18">
        <v>38.28</v>
      </c>
      <c r="F3836" s="18">
        <v>12.0</v>
      </c>
    </row>
    <row r="3837">
      <c r="A3837" s="15">
        <v>42.0</v>
      </c>
      <c r="B3837" s="16" t="s">
        <v>8938</v>
      </c>
      <c r="C3837" s="17" t="s">
        <v>5536</v>
      </c>
      <c r="D3837" s="18">
        <v>38.96</v>
      </c>
      <c r="E3837" s="18">
        <v>54.54</v>
      </c>
      <c r="F3837" s="18">
        <v>12.0</v>
      </c>
    </row>
    <row r="3838">
      <c r="A3838" s="15">
        <v>43.0</v>
      </c>
      <c r="B3838" s="16" t="s">
        <v>8939</v>
      </c>
      <c r="C3838" s="17" t="s">
        <v>5603</v>
      </c>
      <c r="D3838" s="18">
        <v>83.47</v>
      </c>
      <c r="E3838" s="18">
        <v>119.62</v>
      </c>
      <c r="F3838" s="18">
        <v>12.0</v>
      </c>
    </row>
    <row r="3839">
      <c r="A3839" s="15">
        <v>44.0</v>
      </c>
      <c r="B3839" s="16" t="s">
        <v>8939</v>
      </c>
      <c r="C3839" s="17" t="s">
        <v>5565</v>
      </c>
      <c r="D3839" s="18">
        <v>184.09</v>
      </c>
      <c r="E3839" s="18">
        <v>257.72</v>
      </c>
      <c r="F3839" s="18">
        <v>12.0</v>
      </c>
    </row>
    <row r="3840">
      <c r="A3840" s="15">
        <v>45.0</v>
      </c>
      <c r="B3840" s="16" t="s">
        <v>8940</v>
      </c>
      <c r="C3840" s="17" t="s">
        <v>5614</v>
      </c>
      <c r="D3840" s="18">
        <v>117.86</v>
      </c>
      <c r="E3840" s="18">
        <v>165.0</v>
      </c>
      <c r="F3840" s="18">
        <v>12.0</v>
      </c>
    </row>
    <row r="3841">
      <c r="A3841" s="15">
        <v>46.0</v>
      </c>
      <c r="B3841" s="16" t="s">
        <v>8941</v>
      </c>
      <c r="C3841" s="17" t="s">
        <v>5636</v>
      </c>
      <c r="D3841" s="18">
        <v>68.22</v>
      </c>
      <c r="E3841" s="18">
        <v>95.5</v>
      </c>
      <c r="F3841" s="18">
        <v>12.0</v>
      </c>
    </row>
    <row r="3842">
      <c r="A3842" s="15">
        <v>47.0</v>
      </c>
      <c r="B3842" s="16" t="s">
        <v>8942</v>
      </c>
      <c r="C3842" s="17" t="s">
        <v>8880</v>
      </c>
      <c r="D3842" s="18">
        <v>57.43</v>
      </c>
      <c r="E3842" s="18">
        <v>80.4</v>
      </c>
      <c r="F3842" s="18">
        <v>12.0</v>
      </c>
    </row>
    <row r="3843">
      <c r="A3843" s="15">
        <v>48.0</v>
      </c>
      <c r="B3843" s="16" t="s">
        <v>8942</v>
      </c>
      <c r="C3843" s="17" t="s">
        <v>8881</v>
      </c>
      <c r="D3843" s="18">
        <v>78.57</v>
      </c>
      <c r="E3843" s="18">
        <v>103.0</v>
      </c>
      <c r="F3843" s="18">
        <v>12.0</v>
      </c>
    </row>
    <row r="3844">
      <c r="A3844" s="15">
        <v>49.0</v>
      </c>
      <c r="B3844" s="16" t="s">
        <v>8943</v>
      </c>
      <c r="C3844" s="17" t="s">
        <v>8880</v>
      </c>
      <c r="D3844" s="18">
        <v>42.86</v>
      </c>
      <c r="E3844" s="18">
        <v>60.0</v>
      </c>
      <c r="F3844" s="18">
        <v>12.0</v>
      </c>
    </row>
    <row r="3845">
      <c r="A3845" s="15">
        <v>50.0</v>
      </c>
      <c r="B3845" s="16" t="s">
        <v>8943</v>
      </c>
      <c r="C3845" s="17" t="s">
        <v>5531</v>
      </c>
      <c r="D3845" s="18">
        <v>63.57</v>
      </c>
      <c r="E3845" s="18">
        <v>89.0</v>
      </c>
      <c r="F3845" s="18">
        <v>12.0</v>
      </c>
    </row>
    <row r="3846">
      <c r="A3846" s="15">
        <v>51.0</v>
      </c>
      <c r="B3846" s="16" t="s">
        <v>8944</v>
      </c>
      <c r="C3846" s="17" t="s">
        <v>5531</v>
      </c>
      <c r="D3846" s="18">
        <v>64.86</v>
      </c>
      <c r="E3846" s="18">
        <v>90.0</v>
      </c>
      <c r="F3846" s="18">
        <v>12.0</v>
      </c>
    </row>
    <row r="3847">
      <c r="A3847" s="15">
        <v>52.0</v>
      </c>
      <c r="B3847" s="16" t="s">
        <v>8945</v>
      </c>
      <c r="C3847" s="17" t="s">
        <v>6019</v>
      </c>
      <c r="D3847" s="18">
        <v>48.23</v>
      </c>
      <c r="E3847" s="18">
        <v>67.53</v>
      </c>
      <c r="F3847" s="18">
        <v>12.0</v>
      </c>
    </row>
    <row r="3848">
      <c r="A3848" s="15">
        <v>53.0</v>
      </c>
      <c r="B3848" s="16" t="s">
        <v>8945</v>
      </c>
      <c r="C3848" s="17" t="s">
        <v>6020</v>
      </c>
      <c r="D3848" s="18">
        <v>67.8</v>
      </c>
      <c r="E3848" s="18">
        <v>94.92</v>
      </c>
      <c r="F3848" s="18">
        <v>12.0</v>
      </c>
    </row>
    <row r="3849">
      <c r="A3849" s="15">
        <v>54.0</v>
      </c>
      <c r="B3849" s="16" t="s">
        <v>8946</v>
      </c>
      <c r="C3849" s="17" t="s">
        <v>5536</v>
      </c>
      <c r="D3849" s="18">
        <v>15.45</v>
      </c>
      <c r="E3849" s="18">
        <v>21.63</v>
      </c>
      <c r="F3849" s="18">
        <v>12.0</v>
      </c>
    </row>
    <row r="3850">
      <c r="A3850" s="15">
        <v>55.0</v>
      </c>
      <c r="B3850" s="16" t="s">
        <v>8947</v>
      </c>
      <c r="C3850" s="17" t="s">
        <v>5536</v>
      </c>
      <c r="D3850" s="18">
        <v>24.64</v>
      </c>
      <c r="E3850" s="18">
        <v>34.5</v>
      </c>
      <c r="F3850" s="18">
        <v>12.0</v>
      </c>
    </row>
    <row r="3851">
      <c r="A3851" s="15">
        <v>56.0</v>
      </c>
      <c r="B3851" s="16" t="s">
        <v>8948</v>
      </c>
      <c r="C3851" s="17" t="s">
        <v>6096</v>
      </c>
      <c r="D3851" s="18">
        <v>38.32</v>
      </c>
      <c r="E3851" s="18">
        <v>53.65</v>
      </c>
      <c r="F3851" s="18">
        <v>12.0</v>
      </c>
    </row>
    <row r="3852">
      <c r="A3852" s="15">
        <v>57.0</v>
      </c>
      <c r="B3852" s="16" t="s">
        <v>8948</v>
      </c>
      <c r="C3852" s="17" t="s">
        <v>6097</v>
      </c>
      <c r="D3852" s="18">
        <v>47.97</v>
      </c>
      <c r="E3852" s="18">
        <v>67.09</v>
      </c>
      <c r="F3852" s="18">
        <v>12.0</v>
      </c>
    </row>
    <row r="3853">
      <c r="A3853" s="15">
        <v>58.0</v>
      </c>
      <c r="B3853" s="16" t="s">
        <v>8898</v>
      </c>
      <c r="C3853" s="17" t="s">
        <v>5653</v>
      </c>
      <c r="D3853" s="18">
        <v>29.29</v>
      </c>
      <c r="E3853" s="18">
        <v>41.0</v>
      </c>
      <c r="F3853" s="18">
        <v>12.0</v>
      </c>
    </row>
    <row r="3854">
      <c r="A3854" s="15">
        <v>59.0</v>
      </c>
      <c r="B3854" s="16" t="s">
        <v>8898</v>
      </c>
      <c r="C3854" s="17" t="s">
        <v>5654</v>
      </c>
      <c r="D3854" s="18">
        <v>53.57</v>
      </c>
      <c r="E3854" s="18">
        <v>75.0</v>
      </c>
      <c r="F3854" s="18">
        <v>12.0</v>
      </c>
    </row>
    <row r="3855">
      <c r="A3855" s="15">
        <v>60.0</v>
      </c>
      <c r="B3855" s="16" t="s">
        <v>8949</v>
      </c>
      <c r="C3855" s="17" t="s">
        <v>5536</v>
      </c>
      <c r="D3855" s="18">
        <v>29.29</v>
      </c>
      <c r="E3855" s="18">
        <v>41.0</v>
      </c>
      <c r="F3855" s="18">
        <v>12.0</v>
      </c>
    </row>
    <row r="3856">
      <c r="A3856" s="15">
        <v>61.0</v>
      </c>
      <c r="B3856" s="16" t="s">
        <v>8950</v>
      </c>
      <c r="C3856" s="17" t="s">
        <v>5536</v>
      </c>
      <c r="D3856" s="18">
        <v>53.57</v>
      </c>
      <c r="E3856" s="18">
        <v>75.0</v>
      </c>
      <c r="F3856" s="18">
        <v>12.0</v>
      </c>
    </row>
    <row r="3857">
      <c r="A3857" s="15">
        <v>62.0</v>
      </c>
      <c r="B3857" s="16" t="s">
        <v>8951</v>
      </c>
      <c r="C3857" s="17" t="s">
        <v>8952</v>
      </c>
      <c r="D3857" s="18">
        <v>26.22</v>
      </c>
      <c r="E3857" s="18">
        <v>36.0</v>
      </c>
      <c r="F3857" s="18">
        <v>12.0</v>
      </c>
    </row>
    <row r="3858">
      <c r="A3858" s="15">
        <v>63.0</v>
      </c>
      <c r="B3858" s="16" t="s">
        <v>8951</v>
      </c>
      <c r="C3858" s="17" t="s">
        <v>8953</v>
      </c>
      <c r="D3858" s="18">
        <v>34.96</v>
      </c>
      <c r="E3858" s="18">
        <v>48.0</v>
      </c>
      <c r="F3858" s="18">
        <v>12.0</v>
      </c>
    </row>
    <row r="3859">
      <c r="A3859" s="15">
        <v>64.0</v>
      </c>
      <c r="B3859" s="16" t="s">
        <v>8951</v>
      </c>
      <c r="C3859" s="17" t="s">
        <v>8954</v>
      </c>
      <c r="D3859" s="18">
        <v>21.83</v>
      </c>
      <c r="E3859" s="18">
        <v>30.0</v>
      </c>
      <c r="F3859" s="18">
        <v>12.0</v>
      </c>
    </row>
    <row r="3860">
      <c r="A3860" s="15">
        <v>65.0</v>
      </c>
      <c r="B3860" s="16" t="s">
        <v>8951</v>
      </c>
      <c r="C3860" s="17" t="s">
        <v>6785</v>
      </c>
      <c r="D3860" s="18">
        <v>13.57</v>
      </c>
      <c r="E3860" s="18">
        <v>19.0</v>
      </c>
      <c r="F3860" s="18">
        <v>12.0</v>
      </c>
    </row>
    <row r="3861">
      <c r="A3861" s="15">
        <v>66.0</v>
      </c>
      <c r="B3861" s="16" t="s">
        <v>8951</v>
      </c>
      <c r="C3861" s="17" t="s">
        <v>5657</v>
      </c>
      <c r="D3861" s="18">
        <v>17.14</v>
      </c>
      <c r="E3861" s="18">
        <v>24.0</v>
      </c>
      <c r="F3861" s="18">
        <v>12.0</v>
      </c>
    </row>
    <row r="3862">
      <c r="A3862" s="15">
        <v>67.0</v>
      </c>
      <c r="B3862" s="16" t="s">
        <v>8955</v>
      </c>
      <c r="C3862" s="17" t="s">
        <v>5536</v>
      </c>
      <c r="D3862" s="18">
        <v>62.86</v>
      </c>
      <c r="E3862" s="18">
        <v>88.0</v>
      </c>
      <c r="F3862" s="18">
        <v>12.0</v>
      </c>
    </row>
    <row r="3863">
      <c r="A3863" s="15">
        <v>68.0</v>
      </c>
      <c r="B3863" s="16" t="s">
        <v>8833</v>
      </c>
      <c r="C3863" s="17" t="s">
        <v>5665</v>
      </c>
      <c r="D3863" s="18">
        <v>70.0</v>
      </c>
      <c r="E3863" s="18">
        <v>98.0</v>
      </c>
      <c r="F3863" s="18">
        <v>12.0</v>
      </c>
    </row>
    <row r="3864">
      <c r="A3864" s="6"/>
      <c r="B3864" s="7"/>
      <c r="C3864" s="7"/>
      <c r="D3864" s="7"/>
      <c r="E3864" s="7"/>
      <c r="F3864" s="8"/>
    </row>
    <row r="3865">
      <c r="A3865" s="9" t="s">
        <v>8956</v>
      </c>
      <c r="B3865" s="10"/>
      <c r="C3865" s="10"/>
      <c r="D3865" s="10"/>
      <c r="E3865" s="10"/>
      <c r="F3865" s="10"/>
    </row>
    <row r="3866">
      <c r="A3866" s="6"/>
      <c r="B3866" s="7"/>
      <c r="C3866" s="7"/>
      <c r="D3866" s="7"/>
      <c r="E3866" s="8"/>
      <c r="F3866" s="12" t="s">
        <v>8957</v>
      </c>
    </row>
    <row r="3867">
      <c r="A3867" s="6"/>
      <c r="B3867" s="7"/>
      <c r="C3867" s="7"/>
      <c r="D3867" s="7"/>
      <c r="E3867" s="7"/>
      <c r="F3867" s="8"/>
    </row>
    <row r="3868">
      <c r="A3868" s="6"/>
      <c r="B3868" s="7"/>
      <c r="C3868" s="7"/>
      <c r="D3868" s="7"/>
      <c r="E3868" s="7"/>
      <c r="F3868" s="8"/>
    </row>
    <row r="3869">
      <c r="A3869" s="6"/>
      <c r="B3869" s="7"/>
      <c r="C3869" s="7"/>
      <c r="D3869" s="7"/>
      <c r="E3869" s="7"/>
      <c r="F3869" s="8"/>
    </row>
    <row r="3870">
      <c r="A3870" s="6"/>
      <c r="B3870" s="7"/>
      <c r="C3870" s="7"/>
      <c r="D3870" s="7"/>
      <c r="E3870" s="7"/>
      <c r="F3870" s="8"/>
    </row>
    <row r="3871">
      <c r="A3871" s="9" t="s">
        <v>5582</v>
      </c>
      <c r="B3871" s="10"/>
      <c r="C3871" s="10"/>
      <c r="D3871" s="10"/>
      <c r="E3871" s="10"/>
      <c r="F3871" s="10"/>
    </row>
    <row r="3872">
      <c r="A3872" s="19" t="s">
        <v>5583</v>
      </c>
    </row>
    <row r="3873">
      <c r="A3873" s="6"/>
      <c r="B3873" s="7"/>
      <c r="C3873" s="7"/>
      <c r="D3873" s="8"/>
      <c r="E3873" s="12" t="s">
        <v>5584</v>
      </c>
      <c r="F3873" s="12" t="s">
        <v>8958</v>
      </c>
    </row>
    <row r="3874">
      <c r="A3874" s="20" t="s">
        <v>5522</v>
      </c>
      <c r="B3874" s="16" t="s">
        <v>5523</v>
      </c>
      <c r="C3874" s="16" t="s">
        <v>5524</v>
      </c>
      <c r="D3874" s="16" t="s">
        <v>5525</v>
      </c>
      <c r="E3874" s="16" t="s">
        <v>5526</v>
      </c>
      <c r="F3874" s="16" t="s">
        <v>5586</v>
      </c>
    </row>
    <row r="3875">
      <c r="A3875" s="15">
        <v>1.0</v>
      </c>
      <c r="B3875" s="16" t="s">
        <v>8959</v>
      </c>
      <c r="C3875" s="17" t="s">
        <v>8960</v>
      </c>
      <c r="D3875" s="18">
        <v>237.29</v>
      </c>
      <c r="E3875" s="18">
        <v>350.0</v>
      </c>
      <c r="F3875" s="18">
        <v>18.0</v>
      </c>
    </row>
    <row r="3876">
      <c r="A3876" s="15">
        <v>2.0</v>
      </c>
      <c r="B3876" s="16" t="s">
        <v>8959</v>
      </c>
      <c r="C3876" s="17" t="s">
        <v>8961</v>
      </c>
      <c r="D3876" s="18">
        <v>237.29</v>
      </c>
      <c r="E3876" s="18">
        <v>350.0</v>
      </c>
      <c r="F3876" s="18">
        <v>18.0</v>
      </c>
    </row>
    <row r="3877">
      <c r="A3877" s="15">
        <v>3.0</v>
      </c>
      <c r="B3877" s="16" t="s">
        <v>8959</v>
      </c>
      <c r="C3877" s="17" t="s">
        <v>8962</v>
      </c>
      <c r="D3877" s="18">
        <v>244.06</v>
      </c>
      <c r="E3877" s="18">
        <v>360.0</v>
      </c>
      <c r="F3877" s="18">
        <v>18.0</v>
      </c>
    </row>
    <row r="3878">
      <c r="A3878" s="15">
        <v>4.0</v>
      </c>
      <c r="B3878" s="16" t="s">
        <v>8963</v>
      </c>
      <c r="C3878" s="17" t="s">
        <v>8964</v>
      </c>
      <c r="D3878" s="18">
        <v>712.54</v>
      </c>
      <c r="E3878" s="18">
        <v>1051.0</v>
      </c>
      <c r="F3878" s="18">
        <v>18.0</v>
      </c>
    </row>
    <row r="3879">
      <c r="A3879" s="15">
        <v>5.0</v>
      </c>
      <c r="B3879" s="16" t="s">
        <v>8965</v>
      </c>
      <c r="C3879" s="17" t="s">
        <v>6167</v>
      </c>
      <c r="D3879" s="18">
        <v>114.29</v>
      </c>
      <c r="E3879" s="18">
        <v>160.0</v>
      </c>
      <c r="F3879" s="18">
        <v>12.0</v>
      </c>
    </row>
    <row r="3880">
      <c r="A3880" s="15">
        <v>6.0</v>
      </c>
      <c r="B3880" s="16" t="s">
        <v>8965</v>
      </c>
      <c r="C3880" s="17" t="s">
        <v>7081</v>
      </c>
      <c r="D3880" s="18">
        <v>214.29</v>
      </c>
      <c r="E3880" s="18">
        <v>300.0</v>
      </c>
      <c r="F3880" s="18">
        <v>12.0</v>
      </c>
    </row>
    <row r="3881">
      <c r="A3881" s="15">
        <v>7.0</v>
      </c>
      <c r="B3881" s="16" t="s">
        <v>8966</v>
      </c>
      <c r="C3881" s="17" t="s">
        <v>8967</v>
      </c>
      <c r="D3881" s="18">
        <v>181.7</v>
      </c>
      <c r="E3881" s="18">
        <v>268.0</v>
      </c>
      <c r="F3881" s="18">
        <v>18.0</v>
      </c>
    </row>
    <row r="3882">
      <c r="A3882" s="15">
        <v>8.0</v>
      </c>
      <c r="B3882" s="16" t="s">
        <v>8968</v>
      </c>
      <c r="C3882" s="17" t="s">
        <v>8967</v>
      </c>
      <c r="D3882" s="18">
        <v>202.71</v>
      </c>
      <c r="E3882" s="18">
        <v>299.0</v>
      </c>
      <c r="F3882" s="18">
        <v>18.0</v>
      </c>
    </row>
    <row r="3883">
      <c r="A3883" s="15">
        <v>9.0</v>
      </c>
      <c r="B3883" s="16" t="s">
        <v>8969</v>
      </c>
      <c r="C3883" s="17" t="s">
        <v>8970</v>
      </c>
      <c r="D3883" s="18">
        <v>203.39</v>
      </c>
      <c r="E3883" s="18">
        <v>300.0</v>
      </c>
      <c r="F3883" s="18">
        <v>18.0</v>
      </c>
    </row>
    <row r="3884">
      <c r="A3884" s="15">
        <v>10.0</v>
      </c>
      <c r="B3884" s="16" t="s">
        <v>8969</v>
      </c>
      <c r="C3884" s="17" t="s">
        <v>8971</v>
      </c>
      <c r="D3884" s="18">
        <v>200.0</v>
      </c>
      <c r="E3884" s="18">
        <v>295.0</v>
      </c>
      <c r="F3884" s="18">
        <v>18.0</v>
      </c>
    </row>
    <row r="3885">
      <c r="A3885" s="15">
        <v>11.0</v>
      </c>
      <c r="B3885" s="16" t="s">
        <v>8798</v>
      </c>
      <c r="C3885" s="17" t="s">
        <v>8777</v>
      </c>
      <c r="D3885" s="18">
        <v>101.7</v>
      </c>
      <c r="E3885" s="18">
        <v>150.0</v>
      </c>
      <c r="F3885" s="18">
        <v>18.0</v>
      </c>
    </row>
    <row r="3886">
      <c r="A3886" s="15">
        <v>12.0</v>
      </c>
      <c r="B3886" s="16" t="s">
        <v>8972</v>
      </c>
      <c r="C3886" s="17" t="s">
        <v>5731</v>
      </c>
      <c r="D3886" s="18">
        <v>84.29</v>
      </c>
      <c r="E3886" s="18">
        <v>118.0</v>
      </c>
      <c r="F3886" s="18">
        <v>12.0</v>
      </c>
    </row>
    <row r="3887">
      <c r="A3887" s="15">
        <v>13.0</v>
      </c>
      <c r="B3887" s="16" t="s">
        <v>8798</v>
      </c>
      <c r="C3887" s="17" t="s">
        <v>8973</v>
      </c>
      <c r="D3887" s="18">
        <v>129.44</v>
      </c>
      <c r="E3887" s="18">
        <v>177.79</v>
      </c>
      <c r="F3887" s="18">
        <v>12.0</v>
      </c>
    </row>
    <row r="3888">
      <c r="A3888" s="15">
        <v>14.0</v>
      </c>
      <c r="B3888" s="16" t="s">
        <v>8798</v>
      </c>
      <c r="C3888" s="17" t="s">
        <v>5912</v>
      </c>
      <c r="D3888" s="18">
        <v>157.14</v>
      </c>
      <c r="E3888" s="18">
        <v>220.0</v>
      </c>
      <c r="F3888" s="18">
        <v>12.0</v>
      </c>
    </row>
    <row r="3889">
      <c r="A3889" s="15">
        <v>15.0</v>
      </c>
      <c r="B3889" s="16" t="s">
        <v>8798</v>
      </c>
      <c r="C3889" s="17" t="s">
        <v>5694</v>
      </c>
      <c r="D3889" s="18">
        <v>121.43</v>
      </c>
      <c r="E3889" s="18">
        <v>170.0</v>
      </c>
      <c r="F3889" s="18">
        <v>12.0</v>
      </c>
    </row>
    <row r="3890">
      <c r="A3890" s="15">
        <v>16.0</v>
      </c>
      <c r="B3890" s="16" t="s">
        <v>8974</v>
      </c>
      <c r="C3890" s="17" t="s">
        <v>5999</v>
      </c>
      <c r="D3890" s="18">
        <v>203.57</v>
      </c>
      <c r="E3890" s="18">
        <v>285.0</v>
      </c>
      <c r="F3890" s="18">
        <v>12.0</v>
      </c>
    </row>
    <row r="3891">
      <c r="A3891" s="15">
        <v>17.0</v>
      </c>
      <c r="B3891" s="16" t="s">
        <v>8975</v>
      </c>
      <c r="C3891" s="17" t="s">
        <v>5674</v>
      </c>
      <c r="D3891" s="18">
        <v>213.57</v>
      </c>
      <c r="E3891" s="18">
        <v>299.0</v>
      </c>
      <c r="F3891" s="18">
        <v>12.0</v>
      </c>
    </row>
    <row r="3892">
      <c r="A3892" s="15">
        <v>18.0</v>
      </c>
      <c r="B3892" s="16" t="s">
        <v>8976</v>
      </c>
      <c r="C3892" s="17" t="s">
        <v>5827</v>
      </c>
      <c r="D3892" s="18">
        <v>235.94</v>
      </c>
      <c r="E3892" s="18">
        <v>348.0</v>
      </c>
      <c r="F3892" s="18">
        <v>18.0</v>
      </c>
    </row>
    <row r="3893">
      <c r="A3893" s="6"/>
      <c r="B3893" s="7"/>
      <c r="C3893" s="7"/>
      <c r="D3893" s="7"/>
      <c r="E3893" s="7"/>
      <c r="F3893" s="8"/>
    </row>
    <row r="3894">
      <c r="A3894" s="9" t="s">
        <v>8977</v>
      </c>
      <c r="B3894" s="10"/>
      <c r="C3894" s="10"/>
      <c r="D3894" s="10"/>
      <c r="E3894" s="10"/>
      <c r="F3894" s="10"/>
    </row>
    <row r="3895">
      <c r="A3895" s="11">
        <v>1.0</v>
      </c>
      <c r="B3895" s="12" t="s">
        <v>8978</v>
      </c>
      <c r="C3895" s="13" t="s">
        <v>5731</v>
      </c>
      <c r="D3895" s="14">
        <v>178.57</v>
      </c>
      <c r="E3895" s="14">
        <v>250.0</v>
      </c>
      <c r="F3895" s="14">
        <v>12.0</v>
      </c>
    </row>
    <row r="3896">
      <c r="A3896" s="15">
        <v>2.0</v>
      </c>
      <c r="B3896" s="16" t="s">
        <v>8978</v>
      </c>
      <c r="C3896" s="17" t="s">
        <v>6456</v>
      </c>
      <c r="D3896" s="18">
        <v>139.29</v>
      </c>
      <c r="E3896" s="18">
        <v>195.0</v>
      </c>
      <c r="F3896" s="18">
        <v>12.0</v>
      </c>
    </row>
    <row r="3897">
      <c r="A3897" s="15">
        <v>3.0</v>
      </c>
      <c r="B3897" s="16" t="s">
        <v>8979</v>
      </c>
      <c r="C3897" s="17" t="s">
        <v>6456</v>
      </c>
      <c r="D3897" s="18">
        <v>159.29</v>
      </c>
      <c r="E3897" s="18">
        <v>223.0</v>
      </c>
      <c r="F3897" s="18">
        <v>12.0</v>
      </c>
    </row>
    <row r="3898">
      <c r="A3898" s="15">
        <v>4.0</v>
      </c>
      <c r="B3898" s="16" t="s">
        <v>8980</v>
      </c>
      <c r="C3898" s="17" t="s">
        <v>5731</v>
      </c>
      <c r="D3898" s="18">
        <v>186.43</v>
      </c>
      <c r="E3898" s="18">
        <v>261.0</v>
      </c>
      <c r="F3898" s="18">
        <v>12.0</v>
      </c>
    </row>
    <row r="3899">
      <c r="A3899" s="15">
        <v>5.0</v>
      </c>
      <c r="B3899" s="16" t="s">
        <v>8980</v>
      </c>
      <c r="C3899" s="17" t="s">
        <v>6456</v>
      </c>
      <c r="D3899" s="18">
        <v>177.14</v>
      </c>
      <c r="E3899" s="18">
        <v>248.0</v>
      </c>
      <c r="F3899" s="18">
        <v>12.0</v>
      </c>
    </row>
    <row r="3900">
      <c r="A3900" s="15">
        <v>6.0</v>
      </c>
      <c r="B3900" s="16" t="s">
        <v>8981</v>
      </c>
      <c r="C3900" s="17" t="s">
        <v>5742</v>
      </c>
      <c r="D3900" s="18">
        <v>8.32</v>
      </c>
      <c r="E3900" s="18">
        <v>11.65</v>
      </c>
      <c r="F3900" s="18">
        <v>12.0</v>
      </c>
    </row>
    <row r="3901">
      <c r="A3901" s="15">
        <v>7.0</v>
      </c>
      <c r="B3901" s="16" t="s">
        <v>8982</v>
      </c>
      <c r="C3901" s="17" t="s">
        <v>5742</v>
      </c>
      <c r="D3901" s="18">
        <v>10.54</v>
      </c>
      <c r="E3901" s="18">
        <v>14.75</v>
      </c>
      <c r="F3901" s="18">
        <v>12.0</v>
      </c>
    </row>
    <row r="3902">
      <c r="A3902" s="15">
        <v>8.0</v>
      </c>
      <c r="B3902" s="16" t="s">
        <v>8892</v>
      </c>
      <c r="C3902" s="17" t="s">
        <v>7287</v>
      </c>
      <c r="D3902" s="18">
        <v>135.59</v>
      </c>
      <c r="E3902" s="18">
        <v>200.0</v>
      </c>
      <c r="F3902" s="18">
        <v>18.0</v>
      </c>
    </row>
    <row r="3903">
      <c r="A3903" s="15">
        <v>9.0</v>
      </c>
      <c r="B3903" s="16" t="s">
        <v>8983</v>
      </c>
      <c r="C3903" s="17" t="s">
        <v>8984</v>
      </c>
      <c r="D3903" s="18">
        <v>107.8</v>
      </c>
      <c r="E3903" s="18">
        <v>159.0</v>
      </c>
      <c r="F3903" s="18">
        <v>18.0</v>
      </c>
    </row>
    <row r="3904">
      <c r="A3904" s="15">
        <v>10.0</v>
      </c>
      <c r="B3904" s="16" t="s">
        <v>8985</v>
      </c>
      <c r="C3904" s="17" t="s">
        <v>8393</v>
      </c>
      <c r="D3904" s="18">
        <v>190.42</v>
      </c>
      <c r="E3904" s="18">
        <v>262.5</v>
      </c>
      <c r="F3904" s="18">
        <v>12.0</v>
      </c>
    </row>
    <row r="3905">
      <c r="A3905" s="15">
        <v>11.0</v>
      </c>
      <c r="B3905" s="16" t="s">
        <v>8986</v>
      </c>
      <c r="C3905" s="17" t="s">
        <v>8393</v>
      </c>
      <c r="D3905" s="18">
        <v>346.87</v>
      </c>
      <c r="E3905" s="18">
        <v>479.0</v>
      </c>
      <c r="F3905" s="18">
        <v>12.0</v>
      </c>
    </row>
    <row r="3906">
      <c r="A3906" s="15">
        <v>12.0</v>
      </c>
      <c r="B3906" s="16" t="s">
        <v>8987</v>
      </c>
      <c r="C3906" s="17" t="s">
        <v>7223</v>
      </c>
      <c r="D3906" s="18">
        <v>96.43</v>
      </c>
      <c r="E3906" s="18">
        <v>135.0</v>
      </c>
      <c r="F3906" s="18">
        <v>12.0</v>
      </c>
    </row>
    <row r="3907">
      <c r="A3907" s="15">
        <v>13.0</v>
      </c>
      <c r="B3907" s="16" t="s">
        <v>8988</v>
      </c>
      <c r="C3907" s="17" t="s">
        <v>5828</v>
      </c>
      <c r="D3907" s="18">
        <v>177.86</v>
      </c>
      <c r="E3907" s="18">
        <v>249.0</v>
      </c>
      <c r="F3907" s="18">
        <v>12.0</v>
      </c>
    </row>
    <row r="3908">
      <c r="A3908" s="15">
        <v>14.0</v>
      </c>
      <c r="B3908" s="16" t="s">
        <v>8989</v>
      </c>
      <c r="C3908" s="17" t="s">
        <v>5828</v>
      </c>
      <c r="D3908" s="18">
        <v>121.43</v>
      </c>
      <c r="E3908" s="18">
        <v>170.0</v>
      </c>
      <c r="F3908" s="18">
        <v>12.0</v>
      </c>
    </row>
    <row r="3909">
      <c r="A3909" s="15">
        <v>15.0</v>
      </c>
      <c r="B3909" s="16" t="s">
        <v>8990</v>
      </c>
      <c r="C3909" s="17" t="s">
        <v>5828</v>
      </c>
      <c r="D3909" s="18">
        <v>177.86</v>
      </c>
      <c r="E3909" s="18">
        <v>249.0</v>
      </c>
      <c r="F3909" s="18">
        <v>12.0</v>
      </c>
    </row>
    <row r="3910">
      <c r="A3910" s="15">
        <v>16.0</v>
      </c>
      <c r="B3910" s="16" t="s">
        <v>8991</v>
      </c>
      <c r="C3910" s="17" t="s">
        <v>5922</v>
      </c>
      <c r="D3910" s="18">
        <v>98.31</v>
      </c>
      <c r="E3910" s="18">
        <v>135.03</v>
      </c>
      <c r="F3910" s="18">
        <v>12.0</v>
      </c>
    </row>
    <row r="3911">
      <c r="A3911" s="15">
        <v>17.0</v>
      </c>
      <c r="B3911" s="16" t="s">
        <v>8991</v>
      </c>
      <c r="C3911" s="17" t="s">
        <v>8795</v>
      </c>
      <c r="D3911" s="18">
        <v>203.95</v>
      </c>
      <c r="E3911" s="18">
        <v>283.0</v>
      </c>
      <c r="F3911" s="18">
        <v>12.0</v>
      </c>
    </row>
    <row r="3912">
      <c r="A3912" s="15">
        <v>18.0</v>
      </c>
      <c r="B3912" s="16" t="s">
        <v>8991</v>
      </c>
      <c r="C3912" s="17" t="s">
        <v>8992</v>
      </c>
      <c r="D3912" s="18">
        <v>35.74</v>
      </c>
      <c r="E3912" s="18">
        <v>50.03</v>
      </c>
      <c r="F3912" s="18">
        <v>12.0</v>
      </c>
    </row>
    <row r="3913">
      <c r="A3913" s="15">
        <v>19.0</v>
      </c>
      <c r="B3913" s="16" t="s">
        <v>8993</v>
      </c>
      <c r="C3913" s="16" t="s">
        <v>2290</v>
      </c>
      <c r="D3913" s="18">
        <v>213.56</v>
      </c>
      <c r="E3913" s="18">
        <v>315.0</v>
      </c>
      <c r="F3913" s="18">
        <v>18.0</v>
      </c>
    </row>
    <row r="3914">
      <c r="A3914" s="15">
        <v>20.0</v>
      </c>
      <c r="B3914" s="16" t="s">
        <v>8994</v>
      </c>
      <c r="C3914" s="17" t="s">
        <v>8995</v>
      </c>
      <c r="D3914" s="18">
        <v>297.63</v>
      </c>
      <c r="E3914" s="18">
        <v>439.0</v>
      </c>
      <c r="F3914" s="18">
        <v>18.0</v>
      </c>
    </row>
    <row r="3915">
      <c r="A3915" s="15">
        <v>21.0</v>
      </c>
      <c r="B3915" s="16" t="s">
        <v>8994</v>
      </c>
      <c r="C3915" s="17" t="s">
        <v>7270</v>
      </c>
      <c r="D3915" s="18">
        <v>220.34</v>
      </c>
      <c r="E3915" s="18">
        <v>325.0</v>
      </c>
      <c r="F3915" s="18">
        <v>18.0</v>
      </c>
    </row>
    <row r="3916">
      <c r="A3916" s="15">
        <v>22.0</v>
      </c>
      <c r="B3916" s="16" t="s">
        <v>8994</v>
      </c>
      <c r="C3916" s="17" t="s">
        <v>8996</v>
      </c>
      <c r="D3916" s="18">
        <v>372.88</v>
      </c>
      <c r="E3916" s="18">
        <v>550.0</v>
      </c>
      <c r="F3916" s="18">
        <v>18.0</v>
      </c>
    </row>
    <row r="3917">
      <c r="A3917" s="15">
        <v>23.0</v>
      </c>
      <c r="B3917" s="16" t="s">
        <v>8997</v>
      </c>
      <c r="C3917" s="17" t="s">
        <v>5536</v>
      </c>
      <c r="D3917" s="18">
        <v>60.71</v>
      </c>
      <c r="E3917" s="18">
        <v>85.0</v>
      </c>
      <c r="F3917" s="18">
        <v>12.0</v>
      </c>
    </row>
    <row r="3918">
      <c r="A3918" s="15">
        <v>24.0</v>
      </c>
      <c r="B3918" s="16" t="s">
        <v>8998</v>
      </c>
      <c r="C3918" s="17" t="s">
        <v>5636</v>
      </c>
      <c r="D3918" s="18">
        <v>49.29</v>
      </c>
      <c r="E3918" s="18">
        <v>69.0</v>
      </c>
      <c r="F3918" s="18">
        <v>12.0</v>
      </c>
    </row>
    <row r="3919">
      <c r="A3919" s="15">
        <v>25.0</v>
      </c>
      <c r="B3919" s="16" t="s">
        <v>8999</v>
      </c>
      <c r="C3919" s="17" t="s">
        <v>5742</v>
      </c>
      <c r="D3919" s="18">
        <v>215.5</v>
      </c>
      <c r="E3919" s="18">
        <v>299.0</v>
      </c>
      <c r="F3919" s="18">
        <v>12.0</v>
      </c>
    </row>
    <row r="3920">
      <c r="A3920" s="15">
        <v>26.0</v>
      </c>
      <c r="B3920" s="16" t="s">
        <v>8999</v>
      </c>
      <c r="C3920" s="17" t="s">
        <v>7554</v>
      </c>
      <c r="D3920" s="18">
        <v>127.86</v>
      </c>
      <c r="E3920" s="18">
        <v>179.0</v>
      </c>
      <c r="F3920" s="18">
        <v>12.0</v>
      </c>
    </row>
    <row r="3921">
      <c r="A3921" s="15">
        <v>27.0</v>
      </c>
      <c r="B3921" s="16" t="s">
        <v>9000</v>
      </c>
      <c r="C3921" s="17" t="s">
        <v>6476</v>
      </c>
      <c r="D3921" s="18">
        <v>40.11</v>
      </c>
      <c r="E3921" s="18">
        <v>56.16</v>
      </c>
      <c r="F3921" s="18">
        <v>12.0</v>
      </c>
    </row>
    <row r="3922">
      <c r="A3922" s="15">
        <v>28.0</v>
      </c>
      <c r="B3922" s="16" t="s">
        <v>9001</v>
      </c>
      <c r="C3922" s="17" t="s">
        <v>5536</v>
      </c>
      <c r="D3922" s="18">
        <v>216.24</v>
      </c>
      <c r="E3922" s="18">
        <v>297.0</v>
      </c>
      <c r="F3922" s="18">
        <v>12.0</v>
      </c>
    </row>
    <row r="3923">
      <c r="A3923" s="15">
        <v>29.0</v>
      </c>
      <c r="B3923" s="16" t="s">
        <v>9002</v>
      </c>
      <c r="C3923" s="17" t="s">
        <v>5536</v>
      </c>
      <c r="D3923" s="18">
        <v>167.86</v>
      </c>
      <c r="E3923" s="18">
        <v>235.0</v>
      </c>
      <c r="F3923" s="18">
        <v>12.0</v>
      </c>
    </row>
    <row r="3924">
      <c r="A3924" s="15">
        <v>30.0</v>
      </c>
      <c r="B3924" s="16" t="s">
        <v>9003</v>
      </c>
      <c r="C3924" s="17" t="s">
        <v>5827</v>
      </c>
      <c r="D3924" s="18">
        <v>68.39</v>
      </c>
      <c r="E3924" s="18">
        <v>94.89</v>
      </c>
      <c r="F3924" s="18">
        <v>12.0</v>
      </c>
    </row>
    <row r="3925">
      <c r="A3925" s="15">
        <v>31.0</v>
      </c>
      <c r="B3925" s="16" t="s">
        <v>9004</v>
      </c>
      <c r="C3925" s="17" t="s">
        <v>5827</v>
      </c>
      <c r="D3925" s="18">
        <v>85.0</v>
      </c>
      <c r="E3925" s="18">
        <v>119.0</v>
      </c>
      <c r="F3925" s="18">
        <v>12.0</v>
      </c>
    </row>
    <row r="3926">
      <c r="A3926" s="15">
        <v>32.0</v>
      </c>
      <c r="B3926" s="16" t="s">
        <v>9005</v>
      </c>
      <c r="C3926" s="17" t="s">
        <v>5828</v>
      </c>
      <c r="D3926" s="18">
        <v>179.64</v>
      </c>
      <c r="E3926" s="18">
        <v>251.5</v>
      </c>
      <c r="F3926" s="18">
        <v>12.0</v>
      </c>
    </row>
    <row r="3927">
      <c r="A3927" s="15">
        <v>33.0</v>
      </c>
      <c r="B3927" s="16" t="s">
        <v>9005</v>
      </c>
      <c r="C3927" s="17" t="s">
        <v>6002</v>
      </c>
      <c r="D3927" s="18">
        <v>168.66</v>
      </c>
      <c r="E3927" s="18">
        <v>234.0</v>
      </c>
      <c r="F3927" s="18">
        <v>12.0</v>
      </c>
    </row>
    <row r="3928">
      <c r="A3928" s="15">
        <v>34.0</v>
      </c>
      <c r="B3928" s="16" t="s">
        <v>9006</v>
      </c>
      <c r="C3928" s="16" t="s">
        <v>2274</v>
      </c>
      <c r="D3928" s="18">
        <v>140.71</v>
      </c>
      <c r="E3928" s="18">
        <v>197.0</v>
      </c>
      <c r="F3928" s="18">
        <v>12.0</v>
      </c>
    </row>
    <row r="3929">
      <c r="A3929" s="15">
        <v>35.0</v>
      </c>
      <c r="B3929" s="16" t="s">
        <v>9007</v>
      </c>
      <c r="C3929" s="16" t="s">
        <v>2274</v>
      </c>
      <c r="D3929" s="18">
        <v>100.0</v>
      </c>
      <c r="E3929" s="18">
        <v>140.0</v>
      </c>
      <c r="F3929" s="18">
        <v>12.0</v>
      </c>
    </row>
    <row r="3930">
      <c r="A3930" s="15">
        <v>36.0</v>
      </c>
      <c r="B3930" s="16" t="s">
        <v>9008</v>
      </c>
      <c r="C3930" s="16" t="s">
        <v>9009</v>
      </c>
      <c r="D3930" s="18">
        <v>74.17</v>
      </c>
      <c r="E3930" s="18">
        <v>116.0</v>
      </c>
      <c r="F3930" s="18">
        <v>28.0</v>
      </c>
    </row>
    <row r="3931">
      <c r="A3931" s="15">
        <v>37.0</v>
      </c>
      <c r="B3931" s="16" t="s">
        <v>9010</v>
      </c>
      <c r="C3931" s="17" t="s">
        <v>9011</v>
      </c>
      <c r="D3931" s="18">
        <v>82.14</v>
      </c>
      <c r="E3931" s="18">
        <v>115.0</v>
      </c>
      <c r="F3931" s="18">
        <v>12.0</v>
      </c>
    </row>
    <row r="3932">
      <c r="A3932" s="15">
        <v>38.0</v>
      </c>
      <c r="B3932" s="16" t="s">
        <v>9012</v>
      </c>
      <c r="C3932" s="17" t="s">
        <v>9013</v>
      </c>
      <c r="D3932" s="18">
        <v>265.71</v>
      </c>
      <c r="E3932" s="18">
        <v>372.0</v>
      </c>
      <c r="F3932" s="18">
        <v>12.0</v>
      </c>
    </row>
    <row r="3933">
      <c r="A3933" s="15">
        <v>39.0</v>
      </c>
      <c r="B3933" s="16" t="s">
        <v>9012</v>
      </c>
      <c r="C3933" s="17" t="s">
        <v>9014</v>
      </c>
      <c r="D3933" s="18">
        <v>225.0</v>
      </c>
      <c r="E3933" s="18">
        <v>315.0</v>
      </c>
      <c r="F3933" s="18">
        <v>12.0</v>
      </c>
    </row>
    <row r="3934">
      <c r="A3934" s="15">
        <v>40.0</v>
      </c>
      <c r="B3934" s="16" t="s">
        <v>9012</v>
      </c>
      <c r="C3934" s="17" t="s">
        <v>5999</v>
      </c>
      <c r="D3934" s="18">
        <v>257.14</v>
      </c>
      <c r="E3934" s="18">
        <v>360.0</v>
      </c>
      <c r="F3934" s="18">
        <v>12.0</v>
      </c>
    </row>
    <row r="3935">
      <c r="A3935" s="15">
        <v>41.0</v>
      </c>
      <c r="B3935" s="16" t="s">
        <v>9015</v>
      </c>
      <c r="C3935" s="17" t="s">
        <v>9014</v>
      </c>
      <c r="D3935" s="18">
        <v>423.73</v>
      </c>
      <c r="E3935" s="18">
        <v>625.0</v>
      </c>
      <c r="F3935" s="18">
        <v>18.0</v>
      </c>
    </row>
    <row r="3936">
      <c r="A3936" s="6"/>
      <c r="B3936" s="7"/>
      <c r="C3936" s="7"/>
      <c r="D3936" s="7"/>
      <c r="E3936" s="8"/>
      <c r="F3936" s="16" t="s">
        <v>9016</v>
      </c>
    </row>
    <row r="3937">
      <c r="A3937" s="6"/>
      <c r="B3937" s="7"/>
      <c r="C3937" s="7"/>
      <c r="D3937" s="7"/>
      <c r="E3937" s="7"/>
      <c r="F3937" s="8"/>
    </row>
    <row r="3938">
      <c r="A3938" s="6"/>
      <c r="B3938" s="7"/>
      <c r="C3938" s="7"/>
      <c r="D3938" s="7"/>
      <c r="E3938" s="7"/>
      <c r="F3938" s="8"/>
    </row>
    <row r="3939">
      <c r="A3939" s="6"/>
      <c r="B3939" s="7"/>
      <c r="C3939" s="7"/>
      <c r="D3939" s="7"/>
      <c r="E3939" s="7"/>
      <c r="F3939" s="8"/>
    </row>
    <row r="3940">
      <c r="A3940" s="6"/>
      <c r="B3940" s="7"/>
      <c r="C3940" s="7"/>
      <c r="D3940" s="7"/>
      <c r="E3940" s="7"/>
      <c r="F3940" s="8"/>
    </row>
    <row r="3941">
      <c r="A3941" s="9" t="s">
        <v>5582</v>
      </c>
      <c r="B3941" s="10"/>
      <c r="C3941" s="10"/>
      <c r="D3941" s="10"/>
      <c r="E3941" s="10"/>
      <c r="F3941" s="10"/>
    </row>
    <row r="3942">
      <c r="A3942" s="19" t="s">
        <v>5583</v>
      </c>
    </row>
    <row r="3943">
      <c r="A3943" s="6"/>
      <c r="B3943" s="7"/>
      <c r="C3943" s="7"/>
      <c r="D3943" s="8"/>
      <c r="E3943" s="12" t="s">
        <v>5584</v>
      </c>
      <c r="F3943" s="12" t="s">
        <v>9017</v>
      </c>
    </row>
    <row r="3944">
      <c r="A3944" s="20" t="s">
        <v>5522</v>
      </c>
      <c r="B3944" s="16" t="s">
        <v>5523</v>
      </c>
      <c r="C3944" s="16" t="s">
        <v>5524</v>
      </c>
      <c r="D3944" s="16" t="s">
        <v>5525</v>
      </c>
      <c r="E3944" s="16" t="s">
        <v>5526</v>
      </c>
      <c r="F3944" s="16" t="s">
        <v>5586</v>
      </c>
    </row>
    <row r="3945">
      <c r="A3945" s="15">
        <v>42.0</v>
      </c>
      <c r="B3945" s="16" t="s">
        <v>9018</v>
      </c>
      <c r="C3945" s="17" t="s">
        <v>5867</v>
      </c>
      <c r="D3945" s="18">
        <v>148.57</v>
      </c>
      <c r="E3945" s="18">
        <v>208.0</v>
      </c>
      <c r="F3945" s="18">
        <v>12.0</v>
      </c>
    </row>
    <row r="3946">
      <c r="A3946" s="15">
        <v>43.0</v>
      </c>
      <c r="B3946" s="16" t="s">
        <v>9018</v>
      </c>
      <c r="C3946" s="17" t="s">
        <v>5674</v>
      </c>
      <c r="D3946" s="18">
        <v>117.86</v>
      </c>
      <c r="E3946" s="18">
        <v>165.0</v>
      </c>
      <c r="F3946" s="18">
        <v>12.0</v>
      </c>
    </row>
    <row r="3947">
      <c r="A3947" s="15">
        <v>44.0</v>
      </c>
      <c r="B3947" s="16" t="s">
        <v>9018</v>
      </c>
      <c r="C3947" s="17" t="s">
        <v>7287</v>
      </c>
      <c r="D3947" s="18">
        <v>138.93</v>
      </c>
      <c r="E3947" s="18">
        <v>194.5</v>
      </c>
      <c r="F3947" s="18">
        <v>12.0</v>
      </c>
    </row>
    <row r="3948">
      <c r="A3948" s="15">
        <v>45.0</v>
      </c>
      <c r="B3948" s="16" t="s">
        <v>9019</v>
      </c>
      <c r="C3948" s="17" t="s">
        <v>9020</v>
      </c>
      <c r="D3948" s="18">
        <v>53.9</v>
      </c>
      <c r="E3948" s="18">
        <v>74.0</v>
      </c>
      <c r="F3948" s="18">
        <v>12.0</v>
      </c>
    </row>
    <row r="3949">
      <c r="A3949" s="6"/>
      <c r="B3949" s="7"/>
      <c r="C3949" s="7"/>
      <c r="D3949" s="7"/>
      <c r="E3949" s="7"/>
      <c r="F3949" s="8"/>
    </row>
    <row r="3950">
      <c r="A3950" s="9" t="s">
        <v>9021</v>
      </c>
      <c r="B3950" s="10"/>
      <c r="C3950" s="10"/>
      <c r="D3950" s="10"/>
      <c r="E3950" s="10"/>
      <c r="F3950" s="10"/>
    </row>
    <row r="3951">
      <c r="A3951" s="11">
        <v>1.0</v>
      </c>
      <c r="B3951" s="12" t="s">
        <v>9022</v>
      </c>
      <c r="C3951" s="13" t="s">
        <v>5536</v>
      </c>
      <c r="D3951" s="14">
        <v>26.96</v>
      </c>
      <c r="E3951" s="14">
        <v>37.74</v>
      </c>
      <c r="F3951" s="14">
        <v>12.0</v>
      </c>
    </row>
    <row r="3952">
      <c r="A3952" s="15">
        <v>2.0</v>
      </c>
      <c r="B3952" s="16" t="s">
        <v>9023</v>
      </c>
      <c r="C3952" s="17" t="s">
        <v>5536</v>
      </c>
      <c r="D3952" s="18">
        <v>42.8</v>
      </c>
      <c r="E3952" s="18">
        <v>59.92</v>
      </c>
      <c r="F3952" s="18">
        <v>12.0</v>
      </c>
    </row>
    <row r="3953">
      <c r="A3953" s="15">
        <v>3.0</v>
      </c>
      <c r="B3953" s="16" t="s">
        <v>9024</v>
      </c>
      <c r="C3953" s="17" t="s">
        <v>5993</v>
      </c>
      <c r="D3953" s="18">
        <v>26.61</v>
      </c>
      <c r="E3953" s="18">
        <v>37.25</v>
      </c>
      <c r="F3953" s="18">
        <v>12.0</v>
      </c>
    </row>
    <row r="3954">
      <c r="A3954" s="15">
        <v>4.0</v>
      </c>
      <c r="B3954" s="16" t="s">
        <v>9024</v>
      </c>
      <c r="C3954" s="17" t="s">
        <v>8280</v>
      </c>
      <c r="D3954" s="18">
        <v>54.64</v>
      </c>
      <c r="E3954" s="18">
        <v>76.5</v>
      </c>
      <c r="F3954" s="18">
        <v>12.0</v>
      </c>
    </row>
    <row r="3955">
      <c r="A3955" s="15">
        <v>5.0</v>
      </c>
      <c r="B3955" s="16" t="s">
        <v>9024</v>
      </c>
      <c r="C3955" s="17" t="s">
        <v>9025</v>
      </c>
      <c r="D3955" s="18">
        <v>163.93</v>
      </c>
      <c r="E3955" s="18">
        <v>229.5</v>
      </c>
      <c r="F3955" s="18">
        <v>12.0</v>
      </c>
    </row>
    <row r="3956">
      <c r="A3956" s="15">
        <v>6.0</v>
      </c>
      <c r="B3956" s="16" t="s">
        <v>9026</v>
      </c>
      <c r="C3956" s="17" t="s">
        <v>9027</v>
      </c>
      <c r="D3956" s="18">
        <v>64.64</v>
      </c>
      <c r="E3956" s="18">
        <v>90.5</v>
      </c>
      <c r="F3956" s="18">
        <v>12.0</v>
      </c>
    </row>
    <row r="3957">
      <c r="A3957" s="15">
        <v>7.0</v>
      </c>
      <c r="B3957" s="16" t="s">
        <v>9026</v>
      </c>
      <c r="C3957" s="17" t="s">
        <v>9028</v>
      </c>
      <c r="D3957" s="18">
        <v>128.57</v>
      </c>
      <c r="E3957" s="18">
        <v>180.0</v>
      </c>
      <c r="F3957" s="18">
        <v>12.0</v>
      </c>
    </row>
    <row r="3958">
      <c r="A3958" s="15">
        <v>8.0</v>
      </c>
      <c r="B3958" s="16" t="s">
        <v>9024</v>
      </c>
      <c r="C3958" s="17" t="s">
        <v>9029</v>
      </c>
      <c r="D3958" s="18">
        <v>75.71</v>
      </c>
      <c r="E3958" s="18">
        <v>106.0</v>
      </c>
      <c r="F3958" s="18">
        <v>12.0</v>
      </c>
    </row>
    <row r="3959">
      <c r="A3959" s="15">
        <v>9.0</v>
      </c>
      <c r="B3959" s="16" t="s">
        <v>9024</v>
      </c>
      <c r="C3959" s="17" t="s">
        <v>5881</v>
      </c>
      <c r="D3959" s="18">
        <v>102.14</v>
      </c>
      <c r="E3959" s="18">
        <v>143.0</v>
      </c>
      <c r="F3959" s="18">
        <v>12.0</v>
      </c>
    </row>
    <row r="3960">
      <c r="A3960" s="15">
        <v>10.0</v>
      </c>
      <c r="B3960" s="16" t="s">
        <v>9024</v>
      </c>
      <c r="C3960" s="17" t="s">
        <v>9030</v>
      </c>
      <c r="D3960" s="18">
        <v>306.43</v>
      </c>
      <c r="E3960" s="18">
        <v>429.0</v>
      </c>
      <c r="F3960" s="18">
        <v>12.0</v>
      </c>
    </row>
    <row r="3961">
      <c r="A3961" s="15">
        <v>11.0</v>
      </c>
      <c r="B3961" s="16" t="s">
        <v>9031</v>
      </c>
      <c r="C3961" s="17" t="s">
        <v>9027</v>
      </c>
      <c r="D3961" s="18">
        <v>74.29</v>
      </c>
      <c r="E3961" s="18">
        <v>104.0</v>
      </c>
      <c r="F3961" s="18">
        <v>12.0</v>
      </c>
    </row>
    <row r="3962">
      <c r="A3962" s="15">
        <v>12.0</v>
      </c>
      <c r="B3962" s="16" t="s">
        <v>9031</v>
      </c>
      <c r="C3962" s="17" t="s">
        <v>9028</v>
      </c>
      <c r="D3962" s="18">
        <v>160.71</v>
      </c>
      <c r="E3962" s="18">
        <v>225.0</v>
      </c>
      <c r="F3962" s="18">
        <v>12.0</v>
      </c>
    </row>
    <row r="3963">
      <c r="A3963" s="15">
        <v>13.0</v>
      </c>
      <c r="B3963" s="16" t="s">
        <v>9024</v>
      </c>
      <c r="C3963" s="17" t="s">
        <v>9032</v>
      </c>
      <c r="D3963" s="18">
        <v>137.14</v>
      </c>
      <c r="E3963" s="18">
        <v>192.0</v>
      </c>
      <c r="F3963" s="18">
        <v>12.0</v>
      </c>
    </row>
    <row r="3964">
      <c r="A3964" s="15">
        <v>14.0</v>
      </c>
      <c r="B3964" s="16" t="s">
        <v>9033</v>
      </c>
      <c r="C3964" s="17" t="s">
        <v>5788</v>
      </c>
      <c r="D3964" s="18">
        <v>69.29</v>
      </c>
      <c r="E3964" s="18">
        <v>97.0</v>
      </c>
      <c r="F3964" s="18">
        <v>12.0</v>
      </c>
    </row>
    <row r="3965">
      <c r="A3965" s="15">
        <v>15.0</v>
      </c>
      <c r="B3965" s="16" t="s">
        <v>9024</v>
      </c>
      <c r="C3965" s="17" t="s">
        <v>9034</v>
      </c>
      <c r="D3965" s="18">
        <v>207.86</v>
      </c>
      <c r="E3965" s="18">
        <v>291.0</v>
      </c>
      <c r="F3965" s="18">
        <v>12.0</v>
      </c>
    </row>
    <row r="3966">
      <c r="A3966" s="15">
        <v>16.0</v>
      </c>
      <c r="B3966" s="16" t="s">
        <v>9035</v>
      </c>
      <c r="C3966" s="17" t="s">
        <v>5788</v>
      </c>
      <c r="D3966" s="18">
        <v>70.0</v>
      </c>
      <c r="E3966" s="18">
        <v>98.0</v>
      </c>
      <c r="F3966" s="18">
        <v>12.0</v>
      </c>
    </row>
    <row r="3967">
      <c r="A3967" s="15">
        <v>17.0</v>
      </c>
      <c r="B3967" s="16" t="s">
        <v>9024</v>
      </c>
      <c r="C3967" s="17" t="s">
        <v>9036</v>
      </c>
      <c r="D3967" s="18">
        <v>210.0</v>
      </c>
      <c r="E3967" s="18">
        <v>294.0</v>
      </c>
      <c r="F3967" s="18">
        <v>12.0</v>
      </c>
    </row>
    <row r="3968">
      <c r="A3968" s="15">
        <v>18.0</v>
      </c>
      <c r="B3968" s="16" t="s">
        <v>9037</v>
      </c>
      <c r="C3968" s="17" t="s">
        <v>7494</v>
      </c>
      <c r="D3968" s="18">
        <v>407.5</v>
      </c>
      <c r="E3968" s="18">
        <v>570.0</v>
      </c>
      <c r="F3968" s="18">
        <v>12.0</v>
      </c>
    </row>
    <row r="3969">
      <c r="A3969" s="15">
        <v>19.0</v>
      </c>
      <c r="B3969" s="16" t="s">
        <v>9038</v>
      </c>
      <c r="C3969" s="17" t="s">
        <v>5636</v>
      </c>
      <c r="D3969" s="18">
        <v>9.36</v>
      </c>
      <c r="E3969" s="18">
        <v>12.0</v>
      </c>
      <c r="F3969" s="18">
        <v>12.0</v>
      </c>
    </row>
    <row r="3970">
      <c r="A3970" s="15">
        <v>20.0</v>
      </c>
      <c r="B3970" s="16" t="s">
        <v>3216</v>
      </c>
      <c r="C3970" s="16" t="s">
        <v>7538</v>
      </c>
      <c r="D3970" s="18">
        <v>18.22</v>
      </c>
      <c r="E3970" s="18">
        <v>25.5</v>
      </c>
      <c r="F3970" s="18">
        <v>12.0</v>
      </c>
    </row>
    <row r="3971">
      <c r="A3971" s="15">
        <v>21.0</v>
      </c>
      <c r="B3971" s="16" t="s">
        <v>9039</v>
      </c>
      <c r="C3971" s="17" t="s">
        <v>5677</v>
      </c>
      <c r="D3971" s="18">
        <v>92.86</v>
      </c>
      <c r="E3971" s="18">
        <v>130.0</v>
      </c>
      <c r="F3971" s="18">
        <v>12.0</v>
      </c>
    </row>
    <row r="3972">
      <c r="A3972" s="15">
        <v>22.0</v>
      </c>
      <c r="B3972" s="16" t="s">
        <v>9040</v>
      </c>
      <c r="C3972" s="17" t="s">
        <v>9041</v>
      </c>
      <c r="D3972" s="18">
        <v>123.8</v>
      </c>
      <c r="E3972" s="18">
        <v>182.6</v>
      </c>
      <c r="F3972" s="18">
        <v>18.0</v>
      </c>
    </row>
    <row r="3973">
      <c r="A3973" s="15">
        <v>23.0</v>
      </c>
      <c r="B3973" s="16" t="s">
        <v>9042</v>
      </c>
      <c r="C3973" s="17" t="s">
        <v>6197</v>
      </c>
      <c r="D3973" s="18">
        <v>28.11</v>
      </c>
      <c r="E3973" s="18">
        <v>39.0</v>
      </c>
      <c r="F3973" s="18">
        <v>12.0</v>
      </c>
    </row>
    <row r="3974">
      <c r="A3974" s="15">
        <v>24.0</v>
      </c>
      <c r="B3974" s="16" t="s">
        <v>9042</v>
      </c>
      <c r="C3974" s="17" t="s">
        <v>9043</v>
      </c>
      <c r="D3974" s="18">
        <v>39.72</v>
      </c>
      <c r="E3974" s="18">
        <v>55.61</v>
      </c>
      <c r="F3974" s="18">
        <v>12.0</v>
      </c>
    </row>
    <row r="3975">
      <c r="A3975" s="15">
        <v>25.0</v>
      </c>
      <c r="B3975" s="16" t="s">
        <v>9044</v>
      </c>
      <c r="C3975" s="17" t="s">
        <v>9045</v>
      </c>
      <c r="D3975" s="18">
        <v>30.56</v>
      </c>
      <c r="E3975" s="18">
        <v>42.78</v>
      </c>
      <c r="F3975" s="18">
        <v>12.0</v>
      </c>
    </row>
    <row r="3976">
      <c r="A3976" s="15">
        <v>26.0</v>
      </c>
      <c r="B3976" s="16" t="s">
        <v>9046</v>
      </c>
      <c r="C3976" s="17" t="s">
        <v>5562</v>
      </c>
      <c r="D3976" s="18">
        <v>124.64</v>
      </c>
      <c r="E3976" s="18">
        <v>174.5</v>
      </c>
      <c r="F3976" s="18">
        <v>12.0</v>
      </c>
    </row>
    <row r="3977">
      <c r="A3977" s="15">
        <v>27.0</v>
      </c>
      <c r="B3977" s="16" t="s">
        <v>3222</v>
      </c>
      <c r="C3977" s="16" t="s">
        <v>5558</v>
      </c>
      <c r="D3977" s="18">
        <v>139.29</v>
      </c>
      <c r="E3977" s="18">
        <v>195.0</v>
      </c>
      <c r="F3977" s="18">
        <v>12.0</v>
      </c>
    </row>
    <row r="3978">
      <c r="A3978" s="15">
        <v>28.0</v>
      </c>
      <c r="B3978" s="16" t="s">
        <v>9047</v>
      </c>
      <c r="C3978" s="17" t="s">
        <v>5654</v>
      </c>
      <c r="D3978" s="18">
        <v>68.57</v>
      </c>
      <c r="E3978" s="18">
        <v>96.0</v>
      </c>
      <c r="F3978" s="18">
        <v>12.0</v>
      </c>
    </row>
    <row r="3979">
      <c r="A3979" s="15">
        <v>29.0</v>
      </c>
      <c r="B3979" s="16" t="s">
        <v>9047</v>
      </c>
      <c r="C3979" s="17" t="s">
        <v>9048</v>
      </c>
      <c r="D3979" s="18">
        <v>225.0</v>
      </c>
      <c r="E3979" s="18">
        <v>315.0</v>
      </c>
      <c r="F3979" s="18">
        <v>12.0</v>
      </c>
    </row>
    <row r="3980">
      <c r="A3980" s="15">
        <v>30.0</v>
      </c>
      <c r="B3980" s="16" t="s">
        <v>9049</v>
      </c>
      <c r="C3980" s="17" t="s">
        <v>5550</v>
      </c>
      <c r="D3980" s="18">
        <v>94.29</v>
      </c>
      <c r="E3980" s="18">
        <v>132.0</v>
      </c>
      <c r="F3980" s="18">
        <v>12.0</v>
      </c>
    </row>
    <row r="3981">
      <c r="A3981" s="15">
        <v>31.0</v>
      </c>
      <c r="B3981" s="16" t="s">
        <v>9049</v>
      </c>
      <c r="C3981" s="17" t="s">
        <v>5665</v>
      </c>
      <c r="D3981" s="18">
        <v>84.33</v>
      </c>
      <c r="E3981" s="18">
        <v>117.0</v>
      </c>
      <c r="F3981" s="18">
        <v>12.0</v>
      </c>
    </row>
    <row r="3982">
      <c r="A3982" s="15">
        <v>32.0</v>
      </c>
      <c r="B3982" s="16" t="s">
        <v>9049</v>
      </c>
      <c r="C3982" s="17" t="s">
        <v>5553</v>
      </c>
      <c r="D3982" s="18">
        <v>125.32</v>
      </c>
      <c r="E3982" s="18">
        <v>175.45</v>
      </c>
      <c r="F3982" s="18">
        <v>12.0</v>
      </c>
    </row>
    <row r="3983">
      <c r="A3983" s="15">
        <v>33.0</v>
      </c>
      <c r="B3983" s="16" t="s">
        <v>9050</v>
      </c>
      <c r="C3983" s="17" t="s">
        <v>5546</v>
      </c>
      <c r="D3983" s="18">
        <v>130.0</v>
      </c>
      <c r="E3983" s="18">
        <v>182.0</v>
      </c>
      <c r="F3983" s="18">
        <v>12.0</v>
      </c>
    </row>
    <row r="3984">
      <c r="A3984" s="15">
        <v>34.0</v>
      </c>
      <c r="B3984" s="16" t="s">
        <v>9051</v>
      </c>
      <c r="C3984" s="17" t="s">
        <v>5546</v>
      </c>
      <c r="D3984" s="18">
        <v>178.57</v>
      </c>
      <c r="E3984" s="18">
        <v>250.0</v>
      </c>
      <c r="F3984" s="18">
        <v>12.0</v>
      </c>
    </row>
    <row r="3985">
      <c r="A3985" s="15">
        <v>35.0</v>
      </c>
      <c r="B3985" s="16" t="s">
        <v>9052</v>
      </c>
      <c r="C3985" s="17" t="s">
        <v>5982</v>
      </c>
      <c r="D3985" s="18">
        <v>72.5</v>
      </c>
      <c r="E3985" s="18">
        <v>101.5</v>
      </c>
      <c r="F3985" s="18">
        <v>12.0</v>
      </c>
    </row>
    <row r="3986">
      <c r="A3986" s="15">
        <v>36.0</v>
      </c>
      <c r="B3986" s="16" t="s">
        <v>9052</v>
      </c>
      <c r="C3986" s="17" t="s">
        <v>5983</v>
      </c>
      <c r="D3986" s="18">
        <v>115.36</v>
      </c>
      <c r="E3986" s="18">
        <v>161.5</v>
      </c>
      <c r="F3986" s="18">
        <v>12.0</v>
      </c>
    </row>
    <row r="3987">
      <c r="A3987" s="15">
        <v>37.0</v>
      </c>
      <c r="B3987" s="16" t="s">
        <v>9053</v>
      </c>
      <c r="C3987" s="17" t="s">
        <v>9029</v>
      </c>
      <c r="D3987" s="18">
        <v>128.57</v>
      </c>
      <c r="E3987" s="18">
        <v>180.0</v>
      </c>
      <c r="F3987" s="18">
        <v>12.0</v>
      </c>
    </row>
    <row r="3988">
      <c r="A3988" s="15">
        <v>38.0</v>
      </c>
      <c r="B3988" s="16" t="s">
        <v>9053</v>
      </c>
      <c r="C3988" s="17" t="s">
        <v>9032</v>
      </c>
      <c r="D3988" s="18">
        <v>173.57</v>
      </c>
      <c r="E3988" s="18">
        <v>243.0</v>
      </c>
      <c r="F3988" s="18">
        <v>12.0</v>
      </c>
    </row>
    <row r="3989">
      <c r="A3989" s="15">
        <v>39.0</v>
      </c>
      <c r="B3989" s="16" t="s">
        <v>8871</v>
      </c>
      <c r="C3989" s="17" t="s">
        <v>9029</v>
      </c>
      <c r="D3989" s="18">
        <v>57.86</v>
      </c>
      <c r="E3989" s="18">
        <v>81.0</v>
      </c>
      <c r="F3989" s="18">
        <v>12.0</v>
      </c>
    </row>
    <row r="3990">
      <c r="A3990" s="15">
        <v>40.0</v>
      </c>
      <c r="B3990" s="16" t="s">
        <v>8871</v>
      </c>
      <c r="C3990" s="17" t="s">
        <v>6118</v>
      </c>
      <c r="D3990" s="18">
        <v>48.57</v>
      </c>
      <c r="E3990" s="18">
        <v>68.0</v>
      </c>
      <c r="F3990" s="18">
        <v>12.0</v>
      </c>
    </row>
    <row r="3991">
      <c r="A3991" s="15">
        <v>41.0</v>
      </c>
      <c r="B3991" s="16" t="s">
        <v>8871</v>
      </c>
      <c r="C3991" s="17" t="s">
        <v>9032</v>
      </c>
      <c r="D3991" s="18">
        <v>66.89</v>
      </c>
      <c r="E3991" s="18">
        <v>93.64</v>
      </c>
      <c r="F3991" s="18">
        <v>12.0</v>
      </c>
    </row>
    <row r="3992">
      <c r="A3992" s="15">
        <v>42.0</v>
      </c>
      <c r="B3992" s="16" t="s">
        <v>9054</v>
      </c>
      <c r="C3992" s="17" t="s">
        <v>9029</v>
      </c>
      <c r="D3992" s="18">
        <v>136.9</v>
      </c>
      <c r="E3992" s="18">
        <v>188.0</v>
      </c>
      <c r="F3992" s="18">
        <v>12.0</v>
      </c>
    </row>
    <row r="3993">
      <c r="A3993" s="15">
        <v>43.0</v>
      </c>
      <c r="B3993" s="16" t="s">
        <v>9054</v>
      </c>
      <c r="C3993" s="17" t="s">
        <v>9032</v>
      </c>
      <c r="D3993" s="18">
        <v>173.57</v>
      </c>
      <c r="E3993" s="18">
        <v>243.0</v>
      </c>
      <c r="F3993" s="18">
        <v>12.0</v>
      </c>
    </row>
    <row r="3994">
      <c r="A3994" s="15">
        <v>44.0</v>
      </c>
      <c r="B3994" s="16" t="s">
        <v>9055</v>
      </c>
      <c r="C3994" s="17" t="s">
        <v>5531</v>
      </c>
      <c r="D3994" s="18">
        <v>62.86</v>
      </c>
      <c r="E3994" s="18">
        <v>88.0</v>
      </c>
      <c r="F3994" s="18">
        <v>12.0</v>
      </c>
    </row>
    <row r="3995">
      <c r="A3995" s="15">
        <v>45.0</v>
      </c>
      <c r="B3995" s="16" t="s">
        <v>9055</v>
      </c>
      <c r="C3995" s="17" t="s">
        <v>9056</v>
      </c>
      <c r="D3995" s="18">
        <v>77.14</v>
      </c>
      <c r="E3995" s="18">
        <v>108.0</v>
      </c>
      <c r="F3995" s="18">
        <v>12.0</v>
      </c>
    </row>
    <row r="3996">
      <c r="A3996" s="15">
        <v>46.0</v>
      </c>
      <c r="B3996" s="16" t="s">
        <v>9055</v>
      </c>
      <c r="C3996" s="17" t="s">
        <v>9057</v>
      </c>
      <c r="D3996" s="18">
        <v>70.0</v>
      </c>
      <c r="E3996" s="18">
        <v>98.0</v>
      </c>
      <c r="F3996" s="18">
        <v>12.0</v>
      </c>
    </row>
    <row r="3997">
      <c r="A3997" s="6"/>
      <c r="B3997" s="7"/>
      <c r="C3997" s="7"/>
      <c r="D3997" s="7"/>
      <c r="E3997" s="7"/>
      <c r="F3997" s="8"/>
    </row>
    <row r="3998">
      <c r="A3998" s="9" t="s">
        <v>9058</v>
      </c>
      <c r="B3998" s="10"/>
      <c r="C3998" s="10"/>
      <c r="D3998" s="10"/>
      <c r="E3998" s="10"/>
      <c r="F3998" s="10"/>
    </row>
    <row r="3999">
      <c r="A3999" s="11">
        <v>1.0</v>
      </c>
      <c r="B3999" s="12" t="s">
        <v>9059</v>
      </c>
      <c r="C3999" s="13" t="s">
        <v>9060</v>
      </c>
      <c r="D3999" s="14">
        <v>33.96</v>
      </c>
      <c r="E3999" s="14">
        <v>50.5</v>
      </c>
      <c r="F3999" s="14">
        <v>12.0</v>
      </c>
    </row>
    <row r="4000">
      <c r="A4000" s="15">
        <v>2.0</v>
      </c>
      <c r="B4000" s="16" t="s">
        <v>9061</v>
      </c>
      <c r="C4000" s="17" t="s">
        <v>5636</v>
      </c>
      <c r="D4000" s="18">
        <v>109.54</v>
      </c>
      <c r="E4000" s="18">
        <v>152.0</v>
      </c>
      <c r="F4000" s="18">
        <v>12.0</v>
      </c>
    </row>
    <row r="4001">
      <c r="A4001" s="6"/>
      <c r="B4001" s="7"/>
      <c r="C4001" s="7"/>
      <c r="D4001" s="7"/>
      <c r="E4001" s="7"/>
      <c r="F4001" s="8"/>
    </row>
    <row r="4002">
      <c r="A4002" s="9" t="s">
        <v>9062</v>
      </c>
      <c r="B4002" s="10"/>
      <c r="C4002" s="10"/>
      <c r="D4002" s="10"/>
      <c r="E4002" s="10"/>
      <c r="F4002" s="10"/>
    </row>
    <row r="4003">
      <c r="A4003" s="11">
        <v>1.0</v>
      </c>
      <c r="B4003" s="12" t="s">
        <v>9063</v>
      </c>
      <c r="C4003" s="13" t="s">
        <v>9020</v>
      </c>
      <c r="D4003" s="14">
        <v>100.0</v>
      </c>
      <c r="E4003" s="14">
        <v>140.0</v>
      </c>
      <c r="F4003" s="14">
        <v>12.0</v>
      </c>
    </row>
    <row r="4004">
      <c r="A4004" s="15">
        <v>2.0</v>
      </c>
      <c r="B4004" s="16" t="s">
        <v>9064</v>
      </c>
      <c r="C4004" s="17" t="s">
        <v>7508</v>
      </c>
      <c r="D4004" s="18">
        <v>232.14</v>
      </c>
      <c r="E4004" s="18">
        <v>325.0</v>
      </c>
      <c r="F4004" s="18">
        <v>12.0</v>
      </c>
    </row>
    <row r="4005">
      <c r="A4005" s="15">
        <v>3.0</v>
      </c>
      <c r="B4005" s="16" t="s">
        <v>9065</v>
      </c>
      <c r="C4005" s="17" t="s">
        <v>5747</v>
      </c>
      <c r="D4005" s="18">
        <v>24.96</v>
      </c>
      <c r="E4005" s="18">
        <v>34.94</v>
      </c>
      <c r="F4005" s="18">
        <v>12.0</v>
      </c>
    </row>
    <row r="4006">
      <c r="A4006" s="6"/>
      <c r="B4006" s="7"/>
      <c r="C4006" s="7"/>
      <c r="D4006" s="7"/>
      <c r="E4006" s="8"/>
      <c r="F4006" s="16" t="s">
        <v>9066</v>
      </c>
    </row>
    <row r="4007">
      <c r="A4007" s="6"/>
      <c r="B4007" s="7"/>
      <c r="C4007" s="7"/>
      <c r="D4007" s="7"/>
      <c r="E4007" s="7"/>
      <c r="F4007" s="8"/>
    </row>
    <row r="4008">
      <c r="A4008" s="6"/>
      <c r="B4008" s="7"/>
      <c r="C4008" s="7"/>
      <c r="D4008" s="7"/>
      <c r="E4008" s="7"/>
      <c r="F4008" s="8"/>
    </row>
    <row r="4009">
      <c r="A4009" s="6"/>
      <c r="B4009" s="7"/>
      <c r="C4009" s="7"/>
      <c r="D4009" s="7"/>
      <c r="E4009" s="7"/>
      <c r="F4009" s="8"/>
    </row>
    <row r="4010">
      <c r="A4010" s="6"/>
      <c r="B4010" s="7"/>
      <c r="C4010" s="7"/>
      <c r="D4010" s="7"/>
      <c r="E4010" s="7"/>
      <c r="F4010" s="8"/>
    </row>
    <row r="4011">
      <c r="A4011" s="9" t="s">
        <v>5582</v>
      </c>
      <c r="B4011" s="10"/>
      <c r="C4011" s="10"/>
      <c r="D4011" s="10"/>
      <c r="E4011" s="10"/>
      <c r="F4011" s="10"/>
    </row>
    <row r="4012">
      <c r="A4012" s="19" t="s">
        <v>5583</v>
      </c>
    </row>
    <row r="4013">
      <c r="A4013" s="6"/>
      <c r="B4013" s="7"/>
      <c r="C4013" s="7"/>
      <c r="D4013" s="8"/>
      <c r="E4013" s="12" t="s">
        <v>5584</v>
      </c>
      <c r="F4013" s="12" t="s">
        <v>9067</v>
      </c>
    </row>
    <row r="4014">
      <c r="A4014" s="20" t="s">
        <v>5522</v>
      </c>
      <c r="B4014" s="16" t="s">
        <v>5523</v>
      </c>
      <c r="C4014" s="16" t="s">
        <v>5524</v>
      </c>
      <c r="D4014" s="16" t="s">
        <v>5525</v>
      </c>
      <c r="E4014" s="16" t="s">
        <v>5526</v>
      </c>
      <c r="F4014" s="16" t="s">
        <v>5586</v>
      </c>
    </row>
    <row r="4015">
      <c r="A4015" s="15">
        <v>4.0</v>
      </c>
      <c r="B4015" s="16" t="s">
        <v>9068</v>
      </c>
      <c r="C4015" s="17" t="s">
        <v>6401</v>
      </c>
      <c r="D4015" s="18">
        <v>28.32</v>
      </c>
      <c r="E4015" s="18">
        <v>39.65</v>
      </c>
      <c r="F4015" s="18">
        <v>12.0</v>
      </c>
    </row>
    <row r="4016">
      <c r="A4016" s="15">
        <v>5.0</v>
      </c>
      <c r="B4016" s="16" t="s">
        <v>9069</v>
      </c>
      <c r="C4016" s="17" t="s">
        <v>5603</v>
      </c>
      <c r="D4016" s="18">
        <v>10.68</v>
      </c>
      <c r="E4016" s="18">
        <v>13.07</v>
      </c>
      <c r="F4016" s="18">
        <v>12.0</v>
      </c>
    </row>
    <row r="4017">
      <c r="A4017" s="15">
        <v>6.0</v>
      </c>
      <c r="B4017" s="16" t="s">
        <v>9070</v>
      </c>
      <c r="C4017" s="17" t="s">
        <v>5603</v>
      </c>
      <c r="D4017" s="18">
        <v>21.96</v>
      </c>
      <c r="E4017" s="18">
        <v>30.74</v>
      </c>
      <c r="F4017" s="18">
        <v>12.0</v>
      </c>
    </row>
    <row r="4018">
      <c r="A4018" s="15">
        <v>7.0</v>
      </c>
      <c r="B4018" s="16" t="s">
        <v>9071</v>
      </c>
      <c r="C4018" s="16" t="s">
        <v>6399</v>
      </c>
      <c r="D4018" s="18">
        <v>24.15</v>
      </c>
      <c r="E4018" s="18">
        <v>33.5</v>
      </c>
      <c r="F4018" s="18">
        <v>12.0</v>
      </c>
    </row>
    <row r="4019">
      <c r="A4019" s="15">
        <v>8.0</v>
      </c>
      <c r="B4019" s="16" t="s">
        <v>9072</v>
      </c>
      <c r="C4019" s="16" t="s">
        <v>5700</v>
      </c>
      <c r="D4019" s="18">
        <v>35.0</v>
      </c>
      <c r="E4019" s="18">
        <v>49.0</v>
      </c>
      <c r="F4019" s="18">
        <v>12.0</v>
      </c>
    </row>
    <row r="4020">
      <c r="A4020" s="15">
        <v>9.0</v>
      </c>
      <c r="B4020" s="16" t="s">
        <v>9073</v>
      </c>
      <c r="C4020" s="17" t="s">
        <v>9074</v>
      </c>
      <c r="D4020" s="18">
        <v>67.86</v>
      </c>
      <c r="E4020" s="18">
        <v>95.0</v>
      </c>
      <c r="F4020" s="18">
        <v>12.0</v>
      </c>
    </row>
    <row r="4021">
      <c r="A4021" s="15">
        <v>10.0</v>
      </c>
      <c r="B4021" s="16" t="s">
        <v>9075</v>
      </c>
      <c r="C4021" s="17" t="s">
        <v>5636</v>
      </c>
      <c r="D4021" s="18">
        <v>64.29</v>
      </c>
      <c r="E4021" s="18">
        <v>90.0</v>
      </c>
      <c r="F4021" s="18">
        <v>12.0</v>
      </c>
    </row>
    <row r="4022">
      <c r="A4022" s="15">
        <v>11.0</v>
      </c>
      <c r="B4022" s="16" t="s">
        <v>9076</v>
      </c>
      <c r="C4022" s="17" t="s">
        <v>5636</v>
      </c>
      <c r="D4022" s="18">
        <v>75.0</v>
      </c>
      <c r="E4022" s="18">
        <v>105.0</v>
      </c>
      <c r="F4022" s="18">
        <v>12.0</v>
      </c>
    </row>
    <row r="4023">
      <c r="A4023" s="15">
        <v>12.0</v>
      </c>
      <c r="B4023" s="16" t="s">
        <v>9077</v>
      </c>
      <c r="C4023" s="17" t="s">
        <v>5636</v>
      </c>
      <c r="D4023" s="18">
        <v>74.29</v>
      </c>
      <c r="E4023" s="18">
        <v>104.0</v>
      </c>
      <c r="F4023" s="18">
        <v>12.0</v>
      </c>
    </row>
    <row r="4024">
      <c r="A4024" s="15">
        <v>13.0</v>
      </c>
      <c r="B4024" s="16" t="s">
        <v>3255</v>
      </c>
      <c r="C4024" s="16" t="s">
        <v>5558</v>
      </c>
      <c r="D4024" s="18">
        <v>108.57</v>
      </c>
      <c r="E4024" s="18">
        <v>152.0</v>
      </c>
      <c r="F4024" s="18">
        <v>12.0</v>
      </c>
    </row>
    <row r="4025">
      <c r="A4025" s="15">
        <v>14.0</v>
      </c>
      <c r="B4025" s="16" t="s">
        <v>9078</v>
      </c>
      <c r="C4025" s="17" t="s">
        <v>5536</v>
      </c>
      <c r="D4025" s="18">
        <v>28.11</v>
      </c>
      <c r="E4025" s="18">
        <v>39.0</v>
      </c>
      <c r="F4025" s="18">
        <v>12.0</v>
      </c>
    </row>
    <row r="4026">
      <c r="A4026" s="15">
        <v>15.0</v>
      </c>
      <c r="B4026" s="16" t="s">
        <v>3257</v>
      </c>
      <c r="C4026" s="16" t="s">
        <v>5558</v>
      </c>
      <c r="D4026" s="18">
        <v>50.0</v>
      </c>
      <c r="E4026" s="18">
        <v>70.0</v>
      </c>
      <c r="F4026" s="18">
        <v>12.0</v>
      </c>
    </row>
    <row r="4027">
      <c r="A4027" s="15">
        <v>16.0</v>
      </c>
      <c r="B4027" s="16" t="s">
        <v>9079</v>
      </c>
      <c r="C4027" s="17" t="s">
        <v>5636</v>
      </c>
      <c r="D4027" s="18">
        <v>223.26</v>
      </c>
      <c r="E4027" s="18">
        <v>309.75</v>
      </c>
      <c r="F4027" s="18">
        <v>12.0</v>
      </c>
    </row>
    <row r="4028">
      <c r="A4028" s="15">
        <v>17.0</v>
      </c>
      <c r="B4028" s="16" t="s">
        <v>9080</v>
      </c>
      <c r="C4028" s="17" t="s">
        <v>5588</v>
      </c>
      <c r="D4028" s="18">
        <v>72.08</v>
      </c>
      <c r="E4028" s="18">
        <v>100.91</v>
      </c>
      <c r="F4028" s="18">
        <v>12.0</v>
      </c>
    </row>
    <row r="4029">
      <c r="A4029" s="15">
        <v>18.0</v>
      </c>
      <c r="B4029" s="16" t="s">
        <v>9080</v>
      </c>
      <c r="C4029" s="17" t="s">
        <v>9081</v>
      </c>
      <c r="D4029" s="18">
        <v>36.05</v>
      </c>
      <c r="E4029" s="18">
        <v>49.5</v>
      </c>
      <c r="F4029" s="18">
        <v>12.0</v>
      </c>
    </row>
    <row r="4030">
      <c r="A4030" s="15">
        <v>19.0</v>
      </c>
      <c r="B4030" s="16" t="s">
        <v>9082</v>
      </c>
      <c r="C4030" s="16" t="s">
        <v>9083</v>
      </c>
      <c r="D4030" s="18">
        <v>79.28</v>
      </c>
      <c r="E4030" s="18">
        <v>110.0</v>
      </c>
      <c r="F4030" s="18">
        <v>12.0</v>
      </c>
    </row>
    <row r="4031">
      <c r="A4031" s="15">
        <v>20.0</v>
      </c>
      <c r="B4031" s="16" t="s">
        <v>9000</v>
      </c>
      <c r="C4031" s="17" t="s">
        <v>7828</v>
      </c>
      <c r="D4031" s="18">
        <v>40.77</v>
      </c>
      <c r="E4031" s="18">
        <v>57.07</v>
      </c>
      <c r="F4031" s="18">
        <v>12.0</v>
      </c>
    </row>
    <row r="4032">
      <c r="A4032" s="15">
        <v>21.0</v>
      </c>
      <c r="B4032" s="16" t="s">
        <v>9084</v>
      </c>
      <c r="C4032" s="17" t="s">
        <v>7710</v>
      </c>
      <c r="D4032" s="18">
        <v>49.64</v>
      </c>
      <c r="E4032" s="18">
        <v>69.5</v>
      </c>
      <c r="F4032" s="18">
        <v>12.0</v>
      </c>
    </row>
    <row r="4033">
      <c r="A4033" s="15">
        <v>22.0</v>
      </c>
      <c r="B4033" s="16" t="s">
        <v>8794</v>
      </c>
      <c r="C4033" s="17" t="s">
        <v>5657</v>
      </c>
      <c r="D4033" s="18">
        <v>350.0</v>
      </c>
      <c r="E4033" s="18">
        <v>490.0</v>
      </c>
      <c r="F4033" s="18">
        <v>12.0</v>
      </c>
    </row>
    <row r="4034">
      <c r="A4034" s="15">
        <v>23.0</v>
      </c>
      <c r="B4034" s="16" t="s">
        <v>3265</v>
      </c>
      <c r="C4034" s="16" t="s">
        <v>5558</v>
      </c>
      <c r="D4034" s="18">
        <v>120.0</v>
      </c>
      <c r="E4034" s="18">
        <v>168.0</v>
      </c>
      <c r="F4034" s="18">
        <v>12.0</v>
      </c>
    </row>
    <row r="4035">
      <c r="A4035" s="15">
        <v>24.0</v>
      </c>
      <c r="B4035" s="16" t="s">
        <v>9085</v>
      </c>
      <c r="C4035" s="17" t="s">
        <v>5536</v>
      </c>
      <c r="D4035" s="18">
        <v>108.57</v>
      </c>
      <c r="E4035" s="18">
        <v>152.0</v>
      </c>
      <c r="F4035" s="18">
        <v>12.0</v>
      </c>
    </row>
    <row r="4036">
      <c r="A4036" s="15">
        <v>25.0</v>
      </c>
      <c r="B4036" s="16" t="s">
        <v>9086</v>
      </c>
      <c r="C4036" s="17" t="s">
        <v>5536</v>
      </c>
      <c r="D4036" s="18">
        <v>74.29</v>
      </c>
      <c r="E4036" s="18">
        <v>104.0</v>
      </c>
      <c r="F4036" s="18">
        <v>12.0</v>
      </c>
    </row>
    <row r="4037">
      <c r="A4037" s="15">
        <v>26.0</v>
      </c>
      <c r="B4037" s="16" t="s">
        <v>9087</v>
      </c>
      <c r="C4037" s="16" t="s">
        <v>6411</v>
      </c>
      <c r="D4037" s="18">
        <v>109.29</v>
      </c>
      <c r="E4037" s="18">
        <v>153.0</v>
      </c>
      <c r="F4037" s="18">
        <v>12.0</v>
      </c>
    </row>
    <row r="4038">
      <c r="A4038" s="15">
        <v>27.0</v>
      </c>
      <c r="B4038" s="16" t="s">
        <v>9087</v>
      </c>
      <c r="C4038" s="16" t="s">
        <v>6176</v>
      </c>
      <c r="D4038" s="18">
        <v>208.57</v>
      </c>
      <c r="E4038" s="18">
        <v>292.0</v>
      </c>
      <c r="F4038" s="18">
        <v>12.0</v>
      </c>
    </row>
    <row r="4039">
      <c r="A4039" s="6"/>
      <c r="B4039" s="7"/>
      <c r="C4039" s="7"/>
      <c r="D4039" s="7"/>
      <c r="E4039" s="7"/>
      <c r="F4039" s="8"/>
    </row>
    <row r="4040">
      <c r="A4040" s="9" t="s">
        <v>9088</v>
      </c>
      <c r="B4040" s="10"/>
      <c r="C4040" s="10"/>
      <c r="D4040" s="10"/>
      <c r="E4040" s="10"/>
      <c r="F4040" s="10"/>
    </row>
    <row r="4041">
      <c r="A4041" s="11">
        <v>1.0</v>
      </c>
      <c r="B4041" s="12" t="s">
        <v>9064</v>
      </c>
      <c r="C4041" s="13" t="s">
        <v>5603</v>
      </c>
      <c r="D4041" s="14">
        <v>342.86</v>
      </c>
      <c r="E4041" s="14">
        <v>480.0</v>
      </c>
      <c r="F4041" s="14">
        <v>12.0</v>
      </c>
    </row>
    <row r="4042">
      <c r="A4042" s="15">
        <v>2.0</v>
      </c>
      <c r="B4042" s="16" t="s">
        <v>9089</v>
      </c>
      <c r="C4042" s="17" t="s">
        <v>5788</v>
      </c>
      <c r="D4042" s="18">
        <v>89.29</v>
      </c>
      <c r="E4042" s="18">
        <v>125.0</v>
      </c>
      <c r="F4042" s="18">
        <v>12.0</v>
      </c>
    </row>
    <row r="4043">
      <c r="A4043" s="15">
        <v>3.0</v>
      </c>
      <c r="B4043" s="16" t="s">
        <v>9090</v>
      </c>
      <c r="C4043" s="17" t="s">
        <v>5636</v>
      </c>
      <c r="D4043" s="18">
        <v>55.0</v>
      </c>
      <c r="E4043" s="18">
        <v>77.0</v>
      </c>
      <c r="F4043" s="18">
        <v>12.0</v>
      </c>
    </row>
    <row r="4044">
      <c r="A4044" s="15">
        <v>4.0</v>
      </c>
      <c r="B4044" s="16" t="s">
        <v>9089</v>
      </c>
      <c r="C4044" s="17" t="s">
        <v>5657</v>
      </c>
      <c r="D4044" s="18">
        <v>45.0</v>
      </c>
      <c r="E4044" s="18">
        <v>63.0</v>
      </c>
      <c r="F4044" s="18">
        <v>12.0</v>
      </c>
    </row>
    <row r="4045">
      <c r="A4045" s="15">
        <v>5.0</v>
      </c>
      <c r="B4045" s="16" t="s">
        <v>9089</v>
      </c>
      <c r="C4045" s="17" t="s">
        <v>9091</v>
      </c>
      <c r="D4045" s="18">
        <v>60.71</v>
      </c>
      <c r="E4045" s="18">
        <v>85.0</v>
      </c>
      <c r="F4045" s="18">
        <v>12.0</v>
      </c>
    </row>
    <row r="4046">
      <c r="A4046" s="15">
        <v>6.0</v>
      </c>
      <c r="B4046" s="16" t="s">
        <v>9092</v>
      </c>
      <c r="C4046" s="17" t="s">
        <v>5636</v>
      </c>
      <c r="D4046" s="18">
        <v>51.43</v>
      </c>
      <c r="E4046" s="18">
        <v>72.0</v>
      </c>
      <c r="F4046" s="18">
        <v>12.0</v>
      </c>
    </row>
    <row r="4047">
      <c r="A4047" s="15">
        <v>7.0</v>
      </c>
      <c r="B4047" s="16" t="s">
        <v>9093</v>
      </c>
      <c r="C4047" s="17" t="s">
        <v>5536</v>
      </c>
      <c r="D4047" s="18">
        <v>59.29</v>
      </c>
      <c r="E4047" s="18">
        <v>83.0</v>
      </c>
      <c r="F4047" s="18">
        <v>12.0</v>
      </c>
    </row>
    <row r="4048">
      <c r="A4048" s="15">
        <v>8.0</v>
      </c>
      <c r="B4048" s="16" t="s">
        <v>9094</v>
      </c>
      <c r="C4048" s="17" t="s">
        <v>5562</v>
      </c>
      <c r="D4048" s="18">
        <v>97.14</v>
      </c>
      <c r="E4048" s="18">
        <v>136.0</v>
      </c>
      <c r="F4048" s="18">
        <v>12.0</v>
      </c>
    </row>
    <row r="4049">
      <c r="A4049" s="15">
        <v>9.0</v>
      </c>
      <c r="B4049" s="16" t="s">
        <v>9095</v>
      </c>
      <c r="C4049" s="17" t="s">
        <v>5562</v>
      </c>
      <c r="D4049" s="18">
        <v>160.71</v>
      </c>
      <c r="E4049" s="18">
        <v>225.0</v>
      </c>
      <c r="F4049" s="18">
        <v>12.0</v>
      </c>
    </row>
    <row r="4050">
      <c r="A4050" s="15">
        <v>10.0</v>
      </c>
      <c r="B4050" s="16" t="s">
        <v>9096</v>
      </c>
      <c r="C4050" s="17" t="s">
        <v>6127</v>
      </c>
      <c r="D4050" s="18">
        <v>210.71</v>
      </c>
      <c r="E4050" s="18">
        <v>295.0</v>
      </c>
      <c r="F4050" s="18">
        <v>12.0</v>
      </c>
    </row>
    <row r="4051">
      <c r="A4051" s="15">
        <v>11.0</v>
      </c>
      <c r="B4051" s="16" t="s">
        <v>9097</v>
      </c>
      <c r="C4051" s="17" t="s">
        <v>5636</v>
      </c>
      <c r="D4051" s="18">
        <v>109.29</v>
      </c>
      <c r="E4051" s="18">
        <v>153.0</v>
      </c>
      <c r="F4051" s="18">
        <v>12.0</v>
      </c>
    </row>
    <row r="4052">
      <c r="A4052" s="15">
        <v>12.0</v>
      </c>
      <c r="B4052" s="16" t="s">
        <v>9098</v>
      </c>
      <c r="C4052" s="17" t="s">
        <v>6878</v>
      </c>
      <c r="D4052" s="18">
        <v>99.23</v>
      </c>
      <c r="E4052" s="18">
        <v>138.92</v>
      </c>
      <c r="F4052" s="18">
        <v>12.0</v>
      </c>
    </row>
    <row r="4053">
      <c r="A4053" s="15">
        <v>13.0</v>
      </c>
      <c r="B4053" s="16" t="s">
        <v>9099</v>
      </c>
      <c r="C4053" s="17" t="s">
        <v>5536</v>
      </c>
      <c r="D4053" s="18">
        <v>94.06</v>
      </c>
      <c r="E4053" s="18">
        <v>130.5</v>
      </c>
      <c r="F4053" s="18">
        <v>12.0</v>
      </c>
    </row>
    <row r="4054">
      <c r="A4054" s="15">
        <v>14.0</v>
      </c>
      <c r="B4054" s="16" t="s">
        <v>9100</v>
      </c>
      <c r="C4054" s="17" t="s">
        <v>5536</v>
      </c>
      <c r="D4054" s="18">
        <v>203.57</v>
      </c>
      <c r="E4054" s="18">
        <v>285.0</v>
      </c>
      <c r="F4054" s="18">
        <v>12.0</v>
      </c>
    </row>
    <row r="4055">
      <c r="A4055" s="15">
        <v>15.0</v>
      </c>
      <c r="B4055" s="16" t="s">
        <v>9101</v>
      </c>
      <c r="C4055" s="17" t="s">
        <v>5536</v>
      </c>
      <c r="D4055" s="18">
        <v>237.85</v>
      </c>
      <c r="E4055" s="18">
        <v>330.0</v>
      </c>
      <c r="F4055" s="18">
        <v>12.0</v>
      </c>
    </row>
    <row r="4056">
      <c r="A4056" s="15">
        <v>16.0</v>
      </c>
      <c r="B4056" s="16" t="s">
        <v>3285</v>
      </c>
      <c r="C4056" s="16" t="s">
        <v>5558</v>
      </c>
      <c r="D4056" s="18">
        <v>265.77</v>
      </c>
      <c r="E4056" s="18">
        <v>328.0</v>
      </c>
      <c r="F4056" s="18">
        <v>5.0</v>
      </c>
    </row>
    <row r="4057">
      <c r="A4057" s="15">
        <v>17.0</v>
      </c>
      <c r="B4057" s="16" t="s">
        <v>9102</v>
      </c>
      <c r="C4057" s="17" t="s">
        <v>5536</v>
      </c>
      <c r="D4057" s="18">
        <v>110.2</v>
      </c>
      <c r="E4057" s="18">
        <v>136.0</v>
      </c>
      <c r="F4057" s="18">
        <v>5.0</v>
      </c>
    </row>
    <row r="4058">
      <c r="A4058" s="15">
        <v>18.0</v>
      </c>
      <c r="B4058" s="16" t="s">
        <v>9103</v>
      </c>
      <c r="C4058" s="17" t="s">
        <v>5536</v>
      </c>
      <c r="D4058" s="18">
        <v>181.33</v>
      </c>
      <c r="E4058" s="18">
        <v>238.0</v>
      </c>
      <c r="F4058" s="18">
        <v>5.0</v>
      </c>
    </row>
    <row r="4059">
      <c r="A4059" s="6"/>
      <c r="B4059" s="7"/>
      <c r="C4059" s="7"/>
      <c r="D4059" s="7"/>
      <c r="E4059" s="7"/>
      <c r="F4059" s="8"/>
    </row>
    <row r="4060">
      <c r="A4060" s="9" t="s">
        <v>9104</v>
      </c>
      <c r="B4060" s="10"/>
      <c r="C4060" s="10"/>
      <c r="D4060" s="10"/>
      <c r="E4060" s="10"/>
      <c r="F4060" s="10"/>
    </row>
    <row r="4061">
      <c r="A4061" s="11">
        <v>1.0</v>
      </c>
      <c r="B4061" s="12" t="s">
        <v>9105</v>
      </c>
      <c r="C4061" s="13" t="s">
        <v>9106</v>
      </c>
      <c r="D4061" s="14">
        <v>20.18</v>
      </c>
      <c r="E4061" s="14">
        <v>28.25</v>
      </c>
      <c r="F4061" s="14">
        <v>12.0</v>
      </c>
    </row>
    <row r="4062">
      <c r="A4062" s="15">
        <v>2.0</v>
      </c>
      <c r="B4062" s="16" t="s">
        <v>9107</v>
      </c>
      <c r="C4062" s="17" t="s">
        <v>9108</v>
      </c>
      <c r="D4062" s="18">
        <v>36.12</v>
      </c>
      <c r="E4062" s="18">
        <v>50.57</v>
      </c>
      <c r="F4062" s="18">
        <v>12.0</v>
      </c>
    </row>
    <row r="4063">
      <c r="A4063" s="15">
        <v>3.0</v>
      </c>
      <c r="B4063" s="16" t="s">
        <v>9109</v>
      </c>
      <c r="C4063" s="17" t="s">
        <v>5762</v>
      </c>
      <c r="D4063" s="18">
        <v>47.57</v>
      </c>
      <c r="E4063" s="18">
        <v>66.6</v>
      </c>
      <c r="F4063" s="18">
        <v>12.0</v>
      </c>
    </row>
    <row r="4064">
      <c r="A4064" s="15">
        <v>4.0</v>
      </c>
      <c r="B4064" s="16" t="s">
        <v>9110</v>
      </c>
      <c r="C4064" s="17" t="s">
        <v>7036</v>
      </c>
      <c r="D4064" s="18">
        <v>79.97</v>
      </c>
      <c r="E4064" s="18">
        <v>111.95</v>
      </c>
      <c r="F4064" s="18">
        <v>12.0</v>
      </c>
    </row>
    <row r="4065">
      <c r="A4065" s="15">
        <v>5.0</v>
      </c>
      <c r="B4065" s="16" t="s">
        <v>9111</v>
      </c>
      <c r="C4065" s="17" t="s">
        <v>6810</v>
      </c>
      <c r="D4065" s="18">
        <v>12.97</v>
      </c>
      <c r="E4065" s="18">
        <v>17.83</v>
      </c>
      <c r="F4065" s="18">
        <v>12.0</v>
      </c>
    </row>
    <row r="4066">
      <c r="A4066" s="15">
        <v>6.0</v>
      </c>
      <c r="B4066" s="16" t="s">
        <v>9112</v>
      </c>
      <c r="C4066" s="17" t="s">
        <v>9113</v>
      </c>
      <c r="D4066" s="18">
        <v>72.24</v>
      </c>
      <c r="E4066" s="18">
        <v>101.14</v>
      </c>
      <c r="F4066" s="18">
        <v>12.0</v>
      </c>
    </row>
    <row r="4067">
      <c r="A4067" s="15">
        <v>7.0</v>
      </c>
      <c r="B4067" s="16" t="s">
        <v>9114</v>
      </c>
      <c r="C4067" s="17" t="s">
        <v>5636</v>
      </c>
      <c r="D4067" s="18">
        <v>107.14</v>
      </c>
      <c r="E4067" s="18">
        <v>150.0</v>
      </c>
      <c r="F4067" s="18">
        <v>12.0</v>
      </c>
    </row>
    <row r="4068">
      <c r="A4068" s="15">
        <v>8.0</v>
      </c>
      <c r="B4068" s="16" t="s">
        <v>3296</v>
      </c>
      <c r="C4068" s="16" t="s">
        <v>5558</v>
      </c>
      <c r="D4068" s="18">
        <v>85.71</v>
      </c>
      <c r="E4068" s="18">
        <v>120.0</v>
      </c>
      <c r="F4068" s="18">
        <v>12.0</v>
      </c>
    </row>
    <row r="4069">
      <c r="A4069" s="15">
        <v>9.0</v>
      </c>
      <c r="B4069" s="16" t="s">
        <v>9115</v>
      </c>
      <c r="C4069" s="17" t="s">
        <v>5636</v>
      </c>
      <c r="D4069" s="18">
        <v>69.18</v>
      </c>
      <c r="E4069" s="18">
        <v>96.0</v>
      </c>
      <c r="F4069" s="18">
        <v>12.0</v>
      </c>
    </row>
    <row r="4070">
      <c r="A4070" s="15">
        <v>10.0</v>
      </c>
      <c r="B4070" s="16" t="s">
        <v>9116</v>
      </c>
      <c r="C4070" s="17" t="s">
        <v>8072</v>
      </c>
      <c r="D4070" s="18">
        <v>15.84</v>
      </c>
      <c r="E4070" s="18">
        <v>22.18</v>
      </c>
      <c r="F4070" s="18">
        <v>12.0</v>
      </c>
    </row>
    <row r="4071">
      <c r="A4071" s="15">
        <v>11.0</v>
      </c>
      <c r="B4071" s="16" t="s">
        <v>9117</v>
      </c>
      <c r="C4071" s="17" t="s">
        <v>9118</v>
      </c>
      <c r="D4071" s="18">
        <v>28.32</v>
      </c>
      <c r="E4071" s="18">
        <v>39.65</v>
      </c>
      <c r="F4071" s="18">
        <v>12.0</v>
      </c>
    </row>
    <row r="4072">
      <c r="A4072" s="15">
        <v>12.0</v>
      </c>
      <c r="B4072" s="16" t="s">
        <v>9119</v>
      </c>
      <c r="C4072" s="17" t="s">
        <v>5546</v>
      </c>
      <c r="D4072" s="18">
        <v>21.6</v>
      </c>
      <c r="E4072" s="18">
        <v>30.24</v>
      </c>
      <c r="F4072" s="18">
        <v>12.0</v>
      </c>
    </row>
    <row r="4073">
      <c r="A4073" s="15">
        <v>13.0</v>
      </c>
      <c r="B4073" s="16" t="s">
        <v>9120</v>
      </c>
      <c r="C4073" s="17" t="s">
        <v>6803</v>
      </c>
      <c r="D4073" s="18">
        <v>23.93</v>
      </c>
      <c r="E4073" s="18">
        <v>33.5</v>
      </c>
      <c r="F4073" s="18">
        <v>12.0</v>
      </c>
    </row>
    <row r="4074">
      <c r="A4074" s="15">
        <v>14.0</v>
      </c>
      <c r="B4074" s="16" t="s">
        <v>9121</v>
      </c>
      <c r="C4074" s="17" t="s">
        <v>7672</v>
      </c>
      <c r="D4074" s="18">
        <v>35.0</v>
      </c>
      <c r="E4074" s="18">
        <v>45.0</v>
      </c>
      <c r="F4074" s="18">
        <v>12.0</v>
      </c>
    </row>
    <row r="4075">
      <c r="A4075" s="15">
        <v>15.0</v>
      </c>
      <c r="B4075" s="16" t="s">
        <v>9122</v>
      </c>
      <c r="C4075" s="17" t="s">
        <v>5747</v>
      </c>
      <c r="D4075" s="18">
        <v>34.29</v>
      </c>
      <c r="E4075" s="18">
        <v>48.0</v>
      </c>
      <c r="F4075" s="18">
        <v>12.0</v>
      </c>
    </row>
    <row r="4076">
      <c r="A4076" s="6"/>
      <c r="B4076" s="7"/>
      <c r="C4076" s="7"/>
      <c r="D4076" s="7"/>
      <c r="E4076" s="8"/>
      <c r="F4076" s="16" t="s">
        <v>9123</v>
      </c>
    </row>
    <row r="4077">
      <c r="A4077" s="6"/>
      <c r="B4077" s="7"/>
      <c r="C4077" s="7"/>
      <c r="D4077" s="7"/>
      <c r="E4077" s="7"/>
      <c r="F4077" s="8"/>
    </row>
    <row r="4078">
      <c r="A4078" s="6"/>
      <c r="B4078" s="7"/>
      <c r="C4078" s="7"/>
      <c r="D4078" s="7"/>
      <c r="E4078" s="7"/>
      <c r="F4078" s="8"/>
    </row>
    <row r="4079">
      <c r="A4079" s="6"/>
      <c r="B4079" s="7"/>
      <c r="C4079" s="7"/>
      <c r="D4079" s="7"/>
      <c r="E4079" s="7"/>
      <c r="F4079" s="8"/>
    </row>
    <row r="4080">
      <c r="A4080" s="6"/>
      <c r="B4080" s="7"/>
      <c r="C4080" s="7"/>
      <c r="D4080" s="7"/>
      <c r="E4080" s="7"/>
      <c r="F4080" s="8"/>
    </row>
    <row r="4081">
      <c r="A4081" s="9" t="s">
        <v>5582</v>
      </c>
      <c r="B4081" s="10"/>
      <c r="C4081" s="10"/>
      <c r="D4081" s="10"/>
      <c r="E4081" s="10"/>
      <c r="F4081" s="10"/>
    </row>
    <row r="4082">
      <c r="A4082" s="19" t="s">
        <v>5583</v>
      </c>
    </row>
    <row r="4083">
      <c r="A4083" s="6"/>
      <c r="B4083" s="7"/>
      <c r="C4083" s="7"/>
      <c r="D4083" s="8"/>
      <c r="E4083" s="12" t="s">
        <v>5584</v>
      </c>
      <c r="F4083" s="12" t="s">
        <v>9124</v>
      </c>
    </row>
    <row r="4084">
      <c r="A4084" s="20" t="s">
        <v>5522</v>
      </c>
      <c r="B4084" s="16" t="s">
        <v>5523</v>
      </c>
      <c r="C4084" s="16" t="s">
        <v>5524</v>
      </c>
      <c r="D4084" s="16" t="s">
        <v>5525</v>
      </c>
      <c r="E4084" s="16" t="s">
        <v>5526</v>
      </c>
      <c r="F4084" s="16" t="s">
        <v>5586</v>
      </c>
    </row>
    <row r="4085">
      <c r="A4085" s="15">
        <v>16.0</v>
      </c>
      <c r="B4085" s="16" t="s">
        <v>3304</v>
      </c>
      <c r="C4085" s="16" t="s">
        <v>5544</v>
      </c>
      <c r="D4085" s="18">
        <v>32.14</v>
      </c>
      <c r="E4085" s="18">
        <v>45.0</v>
      </c>
      <c r="F4085" s="18">
        <v>12.0</v>
      </c>
    </row>
    <row r="4086">
      <c r="A4086" s="15">
        <v>17.0</v>
      </c>
      <c r="B4086" s="16" t="s">
        <v>9125</v>
      </c>
      <c r="C4086" s="17" t="s">
        <v>6305</v>
      </c>
      <c r="D4086" s="18">
        <v>110.5</v>
      </c>
      <c r="E4086" s="18">
        <v>154.7</v>
      </c>
      <c r="F4086" s="18">
        <v>12.0</v>
      </c>
    </row>
    <row r="4087">
      <c r="A4087" s="15">
        <v>18.0</v>
      </c>
      <c r="B4087" s="16" t="s">
        <v>9125</v>
      </c>
      <c r="C4087" s="17" t="s">
        <v>5636</v>
      </c>
      <c r="D4087" s="18">
        <v>65.0</v>
      </c>
      <c r="E4087" s="18">
        <v>91.0</v>
      </c>
      <c r="F4087" s="18">
        <v>12.0</v>
      </c>
    </row>
    <row r="4088">
      <c r="A4088" s="15">
        <v>19.0</v>
      </c>
      <c r="B4088" s="16" t="s">
        <v>3307</v>
      </c>
      <c r="C4088" s="16" t="s">
        <v>5544</v>
      </c>
      <c r="D4088" s="18">
        <v>77.14</v>
      </c>
      <c r="E4088" s="18">
        <v>108.0</v>
      </c>
      <c r="F4088" s="18">
        <v>12.0</v>
      </c>
    </row>
    <row r="4089">
      <c r="A4089" s="15">
        <v>20.0</v>
      </c>
      <c r="B4089" s="16" t="s">
        <v>9126</v>
      </c>
      <c r="C4089" s="17" t="s">
        <v>5562</v>
      </c>
      <c r="D4089" s="18">
        <v>150.0</v>
      </c>
      <c r="E4089" s="18">
        <v>210.0</v>
      </c>
      <c r="F4089" s="18">
        <v>12.0</v>
      </c>
    </row>
    <row r="4090">
      <c r="A4090" s="15">
        <v>21.0</v>
      </c>
      <c r="B4090" s="16" t="s">
        <v>3309</v>
      </c>
      <c r="C4090" s="16" t="s">
        <v>5558</v>
      </c>
      <c r="D4090" s="18">
        <v>117.86</v>
      </c>
      <c r="E4090" s="18">
        <v>165.0</v>
      </c>
      <c r="F4090" s="18">
        <v>12.0</v>
      </c>
    </row>
    <row r="4091">
      <c r="A4091" s="15">
        <v>22.0</v>
      </c>
      <c r="B4091" s="16" t="s">
        <v>9127</v>
      </c>
      <c r="C4091" s="17" t="s">
        <v>5636</v>
      </c>
      <c r="D4091" s="18">
        <v>44.29</v>
      </c>
      <c r="E4091" s="18">
        <v>62.0</v>
      </c>
      <c r="F4091" s="18">
        <v>12.0</v>
      </c>
    </row>
    <row r="4092">
      <c r="A4092" s="15">
        <v>23.0</v>
      </c>
      <c r="B4092" s="16" t="s">
        <v>3311</v>
      </c>
      <c r="C4092" s="16" t="s">
        <v>5558</v>
      </c>
      <c r="D4092" s="18">
        <v>31.07</v>
      </c>
      <c r="E4092" s="18">
        <v>43.5</v>
      </c>
      <c r="F4092" s="18">
        <v>12.0</v>
      </c>
    </row>
    <row r="4093">
      <c r="A4093" s="15">
        <v>24.0</v>
      </c>
      <c r="B4093" s="16" t="s">
        <v>9128</v>
      </c>
      <c r="C4093" s="17" t="s">
        <v>9129</v>
      </c>
      <c r="D4093" s="18">
        <v>99.29</v>
      </c>
      <c r="E4093" s="18">
        <v>139.0</v>
      </c>
      <c r="F4093" s="18">
        <v>12.0</v>
      </c>
    </row>
    <row r="4094">
      <c r="A4094" s="15">
        <v>25.0</v>
      </c>
      <c r="B4094" s="16" t="s">
        <v>9128</v>
      </c>
      <c r="C4094" s="17" t="s">
        <v>5818</v>
      </c>
      <c r="D4094" s="18">
        <v>85.71</v>
      </c>
      <c r="E4094" s="18">
        <v>120.0</v>
      </c>
      <c r="F4094" s="18">
        <v>12.0</v>
      </c>
    </row>
    <row r="4095">
      <c r="A4095" s="15">
        <v>26.0</v>
      </c>
      <c r="B4095" s="16" t="s">
        <v>9128</v>
      </c>
      <c r="C4095" s="17" t="s">
        <v>5588</v>
      </c>
      <c r="D4095" s="18">
        <v>114.29</v>
      </c>
      <c r="E4095" s="18">
        <v>160.0</v>
      </c>
      <c r="F4095" s="18">
        <v>12.0</v>
      </c>
    </row>
    <row r="4096">
      <c r="A4096" s="15">
        <v>27.0</v>
      </c>
      <c r="B4096" s="16" t="s">
        <v>9130</v>
      </c>
      <c r="C4096" s="17" t="s">
        <v>6432</v>
      </c>
      <c r="D4096" s="18">
        <v>57.5</v>
      </c>
      <c r="E4096" s="18">
        <v>80.5</v>
      </c>
      <c r="F4096" s="18">
        <v>12.0</v>
      </c>
    </row>
    <row r="4097">
      <c r="A4097" s="15">
        <v>28.0</v>
      </c>
      <c r="B4097" s="16" t="s">
        <v>9130</v>
      </c>
      <c r="C4097" s="17" t="s">
        <v>9131</v>
      </c>
      <c r="D4097" s="18">
        <v>59.29</v>
      </c>
      <c r="E4097" s="18">
        <v>83.0</v>
      </c>
      <c r="F4097" s="18">
        <v>12.0</v>
      </c>
    </row>
    <row r="4098">
      <c r="A4098" s="15">
        <v>29.0</v>
      </c>
      <c r="B4098" s="16" t="s">
        <v>9132</v>
      </c>
      <c r="C4098" s="17" t="s">
        <v>9133</v>
      </c>
      <c r="D4098" s="18">
        <v>165.71</v>
      </c>
      <c r="E4098" s="18">
        <v>232.0</v>
      </c>
      <c r="F4098" s="18">
        <v>12.0</v>
      </c>
    </row>
    <row r="4099">
      <c r="A4099" s="15">
        <v>30.0</v>
      </c>
      <c r="B4099" s="16" t="s">
        <v>9132</v>
      </c>
      <c r="C4099" s="17" t="s">
        <v>6127</v>
      </c>
      <c r="D4099" s="18">
        <v>196.43</v>
      </c>
      <c r="E4099" s="18">
        <v>275.0</v>
      </c>
      <c r="F4099" s="18">
        <v>12.0</v>
      </c>
    </row>
    <row r="4100">
      <c r="A4100" s="15">
        <v>31.0</v>
      </c>
      <c r="B4100" s="16" t="s">
        <v>9128</v>
      </c>
      <c r="C4100" s="17" t="s">
        <v>9134</v>
      </c>
      <c r="D4100" s="18">
        <v>68.57</v>
      </c>
      <c r="E4100" s="18">
        <v>96.0</v>
      </c>
      <c r="F4100" s="18">
        <v>12.0</v>
      </c>
    </row>
    <row r="4101">
      <c r="A4101" s="15">
        <v>32.0</v>
      </c>
      <c r="B4101" s="16" t="s">
        <v>9135</v>
      </c>
      <c r="C4101" s="17" t="s">
        <v>6127</v>
      </c>
      <c r="D4101" s="18">
        <v>105.71</v>
      </c>
      <c r="E4101" s="18">
        <v>148.0</v>
      </c>
      <c r="F4101" s="18">
        <v>12.0</v>
      </c>
    </row>
    <row r="4102">
      <c r="A4102" s="15">
        <v>33.0</v>
      </c>
      <c r="B4102" s="16" t="s">
        <v>9136</v>
      </c>
      <c r="C4102" s="17" t="s">
        <v>7582</v>
      </c>
      <c r="D4102" s="18">
        <v>63.79</v>
      </c>
      <c r="E4102" s="18">
        <v>88.5</v>
      </c>
      <c r="F4102" s="18">
        <v>12.0</v>
      </c>
    </row>
    <row r="4103">
      <c r="A4103" s="15">
        <v>34.0</v>
      </c>
      <c r="B4103" s="16" t="s">
        <v>9136</v>
      </c>
      <c r="C4103" s="17" t="s">
        <v>5636</v>
      </c>
      <c r="D4103" s="18">
        <v>63.57</v>
      </c>
      <c r="E4103" s="18">
        <v>89.0</v>
      </c>
      <c r="F4103" s="18">
        <v>12.0</v>
      </c>
    </row>
    <row r="4104">
      <c r="A4104" s="15">
        <v>35.0</v>
      </c>
      <c r="B4104" s="16" t="s">
        <v>9137</v>
      </c>
      <c r="C4104" s="18">
        <v>0.0</v>
      </c>
      <c r="D4104" s="18">
        <v>63.57</v>
      </c>
      <c r="E4104" s="18">
        <v>89.0</v>
      </c>
      <c r="F4104" s="18">
        <v>12.0</v>
      </c>
    </row>
    <row r="4105">
      <c r="A4105" s="15">
        <v>36.0</v>
      </c>
      <c r="B4105" s="16" t="s">
        <v>9138</v>
      </c>
      <c r="C4105" s="17" t="s">
        <v>5802</v>
      </c>
      <c r="D4105" s="18">
        <v>70.0</v>
      </c>
      <c r="E4105" s="18">
        <v>98.0</v>
      </c>
      <c r="F4105" s="18">
        <v>12.0</v>
      </c>
    </row>
    <row r="4106">
      <c r="A4106" s="15">
        <v>37.0</v>
      </c>
      <c r="B4106" s="16" t="s">
        <v>9139</v>
      </c>
      <c r="C4106" s="17" t="s">
        <v>6741</v>
      </c>
      <c r="D4106" s="18">
        <v>64.29</v>
      </c>
      <c r="E4106" s="18">
        <v>90.0</v>
      </c>
      <c r="F4106" s="18">
        <v>12.0</v>
      </c>
    </row>
    <row r="4107">
      <c r="A4107" s="15">
        <v>38.0</v>
      </c>
      <c r="B4107" s="16" t="s">
        <v>9139</v>
      </c>
      <c r="C4107" s="17" t="s">
        <v>9140</v>
      </c>
      <c r="D4107" s="18">
        <v>40.0</v>
      </c>
      <c r="E4107" s="18">
        <v>56.0</v>
      </c>
      <c r="F4107" s="18">
        <v>12.0</v>
      </c>
    </row>
    <row r="4108">
      <c r="A4108" s="15">
        <v>39.0</v>
      </c>
      <c r="B4108" s="16" t="s">
        <v>9141</v>
      </c>
      <c r="C4108" s="17" t="s">
        <v>5768</v>
      </c>
      <c r="D4108" s="18">
        <v>49.68</v>
      </c>
      <c r="E4108" s="18">
        <v>69.5</v>
      </c>
      <c r="F4108" s="18">
        <v>12.0</v>
      </c>
    </row>
    <row r="4109">
      <c r="A4109" s="15">
        <v>40.0</v>
      </c>
      <c r="B4109" s="16" t="s">
        <v>9141</v>
      </c>
      <c r="C4109" s="17" t="s">
        <v>5804</v>
      </c>
      <c r="D4109" s="18">
        <v>42.86</v>
      </c>
      <c r="E4109" s="18">
        <v>60.0</v>
      </c>
      <c r="F4109" s="18">
        <v>12.0</v>
      </c>
    </row>
    <row r="4110">
      <c r="A4110" s="15">
        <v>41.0</v>
      </c>
      <c r="B4110" s="16" t="s">
        <v>3329</v>
      </c>
      <c r="C4110" s="16" t="s">
        <v>7497</v>
      </c>
      <c r="D4110" s="18">
        <v>51.43</v>
      </c>
      <c r="E4110" s="18">
        <v>72.0</v>
      </c>
      <c r="F4110" s="18">
        <v>12.0</v>
      </c>
    </row>
    <row r="4111">
      <c r="A4111" s="6"/>
      <c r="B4111" s="7"/>
      <c r="C4111" s="7"/>
      <c r="D4111" s="7"/>
      <c r="E4111" s="7"/>
      <c r="F4111" s="8"/>
    </row>
    <row r="4112">
      <c r="A4112" s="9" t="s">
        <v>9142</v>
      </c>
      <c r="B4112" s="10"/>
      <c r="C4112" s="10"/>
      <c r="D4112" s="10"/>
      <c r="E4112" s="10"/>
      <c r="F4112" s="10"/>
    </row>
    <row r="4113">
      <c r="A4113" s="11">
        <v>1.0</v>
      </c>
      <c r="B4113" s="12" t="s">
        <v>9143</v>
      </c>
      <c r="C4113" s="13" t="s">
        <v>6626</v>
      </c>
      <c r="D4113" s="14">
        <v>141.43</v>
      </c>
      <c r="E4113" s="14">
        <v>198.0</v>
      </c>
      <c r="F4113" s="14">
        <v>12.0</v>
      </c>
    </row>
    <row r="4114">
      <c r="A4114" s="15">
        <v>2.0</v>
      </c>
      <c r="B4114" s="16" t="s">
        <v>9144</v>
      </c>
      <c r="C4114" s="17" t="s">
        <v>6626</v>
      </c>
      <c r="D4114" s="18">
        <v>84.64</v>
      </c>
      <c r="E4114" s="18">
        <v>118.5</v>
      </c>
      <c r="F4114" s="18">
        <v>12.0</v>
      </c>
    </row>
    <row r="4115">
      <c r="A4115" s="15">
        <v>3.0</v>
      </c>
      <c r="B4115" s="16" t="s">
        <v>9145</v>
      </c>
      <c r="C4115" s="17" t="s">
        <v>9146</v>
      </c>
      <c r="D4115" s="18">
        <v>91.43</v>
      </c>
      <c r="E4115" s="18">
        <v>128.0</v>
      </c>
      <c r="F4115" s="18">
        <v>12.0</v>
      </c>
    </row>
    <row r="4116">
      <c r="A4116" s="15">
        <v>4.0</v>
      </c>
      <c r="B4116" s="16" t="s">
        <v>9147</v>
      </c>
      <c r="C4116" s="17" t="s">
        <v>6626</v>
      </c>
      <c r="D4116" s="18">
        <v>48.57</v>
      </c>
      <c r="E4116" s="18">
        <v>68.0</v>
      </c>
      <c r="F4116" s="18">
        <v>12.0</v>
      </c>
    </row>
    <row r="4117">
      <c r="A4117" s="15">
        <v>5.0</v>
      </c>
      <c r="B4117" s="16" t="s">
        <v>9148</v>
      </c>
      <c r="C4117" s="17" t="s">
        <v>6626</v>
      </c>
      <c r="D4117" s="18">
        <v>79.38</v>
      </c>
      <c r="E4117" s="18">
        <v>109.0</v>
      </c>
      <c r="F4117" s="18">
        <v>12.0</v>
      </c>
    </row>
    <row r="4118">
      <c r="A4118" s="15">
        <v>6.0</v>
      </c>
      <c r="B4118" s="16" t="s">
        <v>8991</v>
      </c>
      <c r="C4118" s="17" t="s">
        <v>7663</v>
      </c>
      <c r="D4118" s="18">
        <v>37.8</v>
      </c>
      <c r="E4118" s="18">
        <v>52.92</v>
      </c>
      <c r="F4118" s="18">
        <v>12.0</v>
      </c>
    </row>
    <row r="4119">
      <c r="A4119" s="15">
        <v>7.0</v>
      </c>
      <c r="B4119" s="16" t="s">
        <v>9149</v>
      </c>
      <c r="C4119" s="17" t="s">
        <v>5704</v>
      </c>
      <c r="D4119" s="18">
        <v>46.68</v>
      </c>
      <c r="E4119" s="18">
        <v>62.66</v>
      </c>
      <c r="F4119" s="18">
        <v>12.0</v>
      </c>
    </row>
    <row r="4120">
      <c r="A4120" s="15">
        <v>8.0</v>
      </c>
      <c r="B4120" s="16" t="s">
        <v>9150</v>
      </c>
      <c r="C4120" s="17" t="s">
        <v>6596</v>
      </c>
      <c r="D4120" s="18">
        <v>138.64</v>
      </c>
      <c r="E4120" s="18">
        <v>194.1</v>
      </c>
      <c r="F4120" s="18">
        <v>12.0</v>
      </c>
    </row>
    <row r="4121">
      <c r="A4121" s="15">
        <v>9.0</v>
      </c>
      <c r="B4121" s="16" t="s">
        <v>9151</v>
      </c>
      <c r="C4121" s="17" t="s">
        <v>6604</v>
      </c>
      <c r="D4121" s="18">
        <v>79.15</v>
      </c>
      <c r="E4121" s="18">
        <v>110.81</v>
      </c>
      <c r="F4121" s="18">
        <v>12.0</v>
      </c>
    </row>
    <row r="4122">
      <c r="A4122" s="15">
        <v>10.0</v>
      </c>
      <c r="B4122" s="16" t="s">
        <v>9152</v>
      </c>
      <c r="C4122" s="17" t="s">
        <v>9153</v>
      </c>
      <c r="D4122" s="18">
        <v>36.39</v>
      </c>
      <c r="E4122" s="18">
        <v>50.0</v>
      </c>
      <c r="F4122" s="18">
        <v>12.0</v>
      </c>
    </row>
    <row r="4123">
      <c r="A4123" s="15">
        <v>11.0</v>
      </c>
      <c r="B4123" s="16" t="s">
        <v>3341</v>
      </c>
      <c r="C4123" s="16" t="s">
        <v>5679</v>
      </c>
      <c r="D4123" s="18">
        <v>134.29</v>
      </c>
      <c r="E4123" s="18">
        <v>188.0</v>
      </c>
      <c r="F4123" s="18">
        <v>12.0</v>
      </c>
    </row>
    <row r="4124">
      <c r="A4124" s="15">
        <v>12.0</v>
      </c>
      <c r="B4124" s="16" t="s">
        <v>9154</v>
      </c>
      <c r="C4124" s="17" t="s">
        <v>6626</v>
      </c>
      <c r="D4124" s="18">
        <v>112.86</v>
      </c>
      <c r="E4124" s="18">
        <v>158.0</v>
      </c>
      <c r="F4124" s="18">
        <v>12.0</v>
      </c>
    </row>
    <row r="4125">
      <c r="A4125" s="15">
        <v>13.0</v>
      </c>
      <c r="B4125" s="16" t="s">
        <v>9155</v>
      </c>
      <c r="C4125" s="17" t="s">
        <v>6626</v>
      </c>
      <c r="D4125" s="18">
        <v>280.71</v>
      </c>
      <c r="E4125" s="18">
        <v>393.0</v>
      </c>
      <c r="F4125" s="18">
        <v>12.0</v>
      </c>
    </row>
    <row r="4126">
      <c r="A4126" s="15">
        <v>14.0</v>
      </c>
      <c r="B4126" s="16" t="s">
        <v>9156</v>
      </c>
      <c r="C4126" s="17" t="s">
        <v>6596</v>
      </c>
      <c r="D4126" s="18">
        <v>249.29</v>
      </c>
      <c r="E4126" s="18">
        <v>349.0</v>
      </c>
      <c r="F4126" s="18">
        <v>12.0</v>
      </c>
    </row>
    <row r="4127">
      <c r="A4127" s="15">
        <v>15.0</v>
      </c>
      <c r="B4127" s="16" t="s">
        <v>9157</v>
      </c>
      <c r="C4127" s="17" t="s">
        <v>6596</v>
      </c>
      <c r="D4127" s="18">
        <v>45.71</v>
      </c>
      <c r="E4127" s="18">
        <v>64.0</v>
      </c>
      <c r="F4127" s="18">
        <v>12.0</v>
      </c>
    </row>
    <row r="4128">
      <c r="A4128" s="15">
        <v>16.0</v>
      </c>
      <c r="B4128" s="16" t="s">
        <v>9158</v>
      </c>
      <c r="C4128" s="17" t="s">
        <v>5704</v>
      </c>
      <c r="D4128" s="18">
        <v>100.71</v>
      </c>
      <c r="E4128" s="18">
        <v>141.0</v>
      </c>
      <c r="F4128" s="18">
        <v>12.0</v>
      </c>
    </row>
    <row r="4129">
      <c r="A4129" s="15">
        <v>17.0</v>
      </c>
      <c r="B4129" s="16" t="s">
        <v>9158</v>
      </c>
      <c r="C4129" s="17" t="s">
        <v>7663</v>
      </c>
      <c r="D4129" s="18">
        <v>42.14</v>
      </c>
      <c r="E4129" s="18">
        <v>59.0</v>
      </c>
      <c r="F4129" s="18">
        <v>12.0</v>
      </c>
    </row>
    <row r="4130">
      <c r="A4130" s="15">
        <v>18.0</v>
      </c>
      <c r="B4130" s="16" t="s">
        <v>9159</v>
      </c>
      <c r="C4130" s="17" t="s">
        <v>5704</v>
      </c>
      <c r="D4130" s="18">
        <v>84.29</v>
      </c>
      <c r="E4130" s="18">
        <v>118.0</v>
      </c>
      <c r="F4130" s="18">
        <v>12.0</v>
      </c>
    </row>
    <row r="4131">
      <c r="A4131" s="15">
        <v>19.0</v>
      </c>
      <c r="B4131" s="16" t="s">
        <v>9160</v>
      </c>
      <c r="C4131" s="17" t="s">
        <v>5704</v>
      </c>
      <c r="D4131" s="18">
        <v>110.71</v>
      </c>
      <c r="E4131" s="18">
        <v>155.0</v>
      </c>
      <c r="F4131" s="18">
        <v>12.0</v>
      </c>
    </row>
    <row r="4132">
      <c r="A4132" s="15">
        <v>20.0</v>
      </c>
      <c r="B4132" s="16" t="s">
        <v>9161</v>
      </c>
      <c r="C4132" s="17" t="s">
        <v>9162</v>
      </c>
      <c r="D4132" s="18">
        <v>342.86</v>
      </c>
      <c r="E4132" s="18">
        <v>480.0</v>
      </c>
      <c r="F4132" s="18">
        <v>12.0</v>
      </c>
    </row>
    <row r="4133">
      <c r="A4133" s="15">
        <v>21.0</v>
      </c>
      <c r="B4133" s="16" t="s">
        <v>9163</v>
      </c>
      <c r="C4133" s="17" t="s">
        <v>9164</v>
      </c>
      <c r="D4133" s="18">
        <v>8.51</v>
      </c>
      <c r="E4133" s="18">
        <v>11.68</v>
      </c>
      <c r="F4133" s="18">
        <v>12.0</v>
      </c>
    </row>
    <row r="4134">
      <c r="A4134" s="15">
        <v>22.0</v>
      </c>
      <c r="B4134" s="16" t="s">
        <v>9165</v>
      </c>
      <c r="C4134" s="17" t="s">
        <v>6626</v>
      </c>
      <c r="D4134" s="18">
        <v>37.14</v>
      </c>
      <c r="E4134" s="18">
        <v>52.0</v>
      </c>
      <c r="F4134" s="16">
        <v>12.0</v>
      </c>
    </row>
    <row r="4135">
      <c r="A4135" s="15">
        <v>23.0</v>
      </c>
      <c r="B4135" s="16" t="s">
        <v>9166</v>
      </c>
      <c r="C4135" s="17" t="s">
        <v>5704</v>
      </c>
      <c r="D4135" s="18">
        <v>85.91</v>
      </c>
      <c r="E4135" s="18">
        <v>118.0</v>
      </c>
      <c r="F4135" s="18">
        <v>12.0</v>
      </c>
    </row>
    <row r="4136">
      <c r="A4136" s="15">
        <v>24.0</v>
      </c>
      <c r="B4136" s="16" t="s">
        <v>9167</v>
      </c>
      <c r="C4136" s="17" t="s">
        <v>9168</v>
      </c>
      <c r="D4136" s="18">
        <v>321.0</v>
      </c>
      <c r="E4136" s="18">
        <v>450.0</v>
      </c>
      <c r="F4136" s="18">
        <v>12.0</v>
      </c>
    </row>
    <row r="4137">
      <c r="A4137" s="15">
        <v>25.0</v>
      </c>
      <c r="B4137" s="16" t="s">
        <v>9169</v>
      </c>
      <c r="C4137" s="17" t="s">
        <v>9168</v>
      </c>
      <c r="D4137" s="18">
        <v>414.29</v>
      </c>
      <c r="E4137" s="18">
        <v>580.0</v>
      </c>
      <c r="F4137" s="18">
        <v>12.0</v>
      </c>
    </row>
    <row r="4138">
      <c r="A4138" s="6"/>
      <c r="B4138" s="7"/>
      <c r="C4138" s="7"/>
      <c r="D4138" s="7"/>
      <c r="E4138" s="7"/>
      <c r="F4138" s="8"/>
    </row>
    <row r="4139">
      <c r="A4139" s="9" t="s">
        <v>9170</v>
      </c>
      <c r="B4139" s="10"/>
      <c r="C4139" s="10"/>
      <c r="D4139" s="10"/>
      <c r="E4139" s="10"/>
      <c r="F4139" s="10"/>
    </row>
    <row r="4140">
      <c r="A4140" s="11">
        <v>1.0</v>
      </c>
      <c r="B4140" s="12" t="s">
        <v>9171</v>
      </c>
      <c r="C4140" s="13" t="s">
        <v>5704</v>
      </c>
      <c r="D4140" s="14">
        <v>222.86</v>
      </c>
      <c r="E4140" s="14">
        <v>312.0</v>
      </c>
      <c r="F4140" s="14">
        <v>12.0</v>
      </c>
    </row>
    <row r="4141">
      <c r="A4141" s="15">
        <v>2.0</v>
      </c>
      <c r="B4141" s="16" t="s">
        <v>9172</v>
      </c>
      <c r="C4141" s="17" t="s">
        <v>6614</v>
      </c>
      <c r="D4141" s="18">
        <v>298.57</v>
      </c>
      <c r="E4141" s="18">
        <v>418.0</v>
      </c>
      <c r="F4141" s="18">
        <v>12.0</v>
      </c>
    </row>
    <row r="4142">
      <c r="A4142" s="15">
        <v>3.0</v>
      </c>
      <c r="B4142" s="16" t="s">
        <v>9173</v>
      </c>
      <c r="C4142" s="17" t="s">
        <v>6626</v>
      </c>
      <c r="D4142" s="18">
        <v>90.36</v>
      </c>
      <c r="E4142" s="18">
        <v>126.5</v>
      </c>
      <c r="F4142" s="18">
        <v>12.0</v>
      </c>
    </row>
    <row r="4143">
      <c r="A4143" s="15">
        <v>4.0</v>
      </c>
      <c r="B4143" s="16" t="s">
        <v>9174</v>
      </c>
      <c r="C4143" s="17" t="s">
        <v>7658</v>
      </c>
      <c r="D4143" s="18">
        <v>107.14</v>
      </c>
      <c r="E4143" s="18">
        <v>150.0</v>
      </c>
      <c r="F4143" s="18">
        <v>12.0</v>
      </c>
    </row>
    <row r="4144">
      <c r="A4144" s="15">
        <v>5.0</v>
      </c>
      <c r="B4144" s="16" t="s">
        <v>9175</v>
      </c>
      <c r="C4144" s="17" t="s">
        <v>6596</v>
      </c>
      <c r="D4144" s="18">
        <v>100.0</v>
      </c>
      <c r="E4144" s="18">
        <v>140.0</v>
      </c>
      <c r="F4144" s="18">
        <v>12.0</v>
      </c>
    </row>
    <row r="4145">
      <c r="A4145" s="15">
        <v>6.0</v>
      </c>
      <c r="B4145" s="16" t="s">
        <v>9176</v>
      </c>
      <c r="C4145" s="17" t="s">
        <v>5704</v>
      </c>
      <c r="D4145" s="18">
        <v>77.86</v>
      </c>
      <c r="E4145" s="18">
        <v>109.0</v>
      </c>
      <c r="F4145" s="18">
        <v>12.0</v>
      </c>
    </row>
    <row r="4146">
      <c r="A4146" s="15">
        <v>7.0</v>
      </c>
      <c r="B4146" s="16" t="s">
        <v>9176</v>
      </c>
      <c r="C4146" s="17" t="s">
        <v>9146</v>
      </c>
      <c r="D4146" s="18">
        <v>84.29</v>
      </c>
      <c r="E4146" s="18">
        <v>118.0</v>
      </c>
      <c r="F4146" s="18">
        <v>12.0</v>
      </c>
    </row>
    <row r="4147">
      <c r="A4147" s="15">
        <v>8.0</v>
      </c>
      <c r="B4147" s="16" t="s">
        <v>9177</v>
      </c>
      <c r="C4147" s="17" t="s">
        <v>6596</v>
      </c>
      <c r="D4147" s="18">
        <v>71.79</v>
      </c>
      <c r="E4147" s="18">
        <v>100.5</v>
      </c>
      <c r="F4147" s="18">
        <v>12.0</v>
      </c>
    </row>
    <row r="4148">
      <c r="A4148" s="15">
        <v>9.0</v>
      </c>
      <c r="B4148" s="16" t="s">
        <v>9178</v>
      </c>
      <c r="C4148" s="17" t="s">
        <v>9168</v>
      </c>
      <c r="D4148" s="18">
        <v>210.46</v>
      </c>
      <c r="E4148" s="18">
        <v>292.0</v>
      </c>
      <c r="F4148" s="18">
        <v>12.0</v>
      </c>
    </row>
    <row r="4149">
      <c r="A4149" s="15">
        <v>10.0</v>
      </c>
      <c r="B4149" s="16" t="s">
        <v>9179</v>
      </c>
      <c r="C4149" s="17" t="s">
        <v>9180</v>
      </c>
      <c r="D4149" s="18">
        <v>58.97</v>
      </c>
      <c r="E4149" s="18">
        <v>81.0</v>
      </c>
      <c r="F4149" s="18">
        <v>12.0</v>
      </c>
    </row>
    <row r="4150">
      <c r="A4150" s="15">
        <v>11.0</v>
      </c>
      <c r="B4150" s="16" t="s">
        <v>9181</v>
      </c>
      <c r="C4150" s="17" t="s">
        <v>6626</v>
      </c>
      <c r="D4150" s="18">
        <v>68.48</v>
      </c>
      <c r="E4150" s="18">
        <v>95.0</v>
      </c>
      <c r="F4150" s="18">
        <v>12.0</v>
      </c>
    </row>
    <row r="4151">
      <c r="A4151" s="15">
        <v>12.0</v>
      </c>
      <c r="B4151" s="16" t="s">
        <v>9182</v>
      </c>
      <c r="C4151" s="17" t="s">
        <v>5704</v>
      </c>
      <c r="D4151" s="18">
        <v>33.81</v>
      </c>
      <c r="E4151" s="18">
        <v>46.45</v>
      </c>
      <c r="F4151" s="18">
        <v>12.0</v>
      </c>
    </row>
    <row r="4152">
      <c r="A4152" s="15">
        <v>13.0</v>
      </c>
      <c r="B4152" s="16" t="s">
        <v>9182</v>
      </c>
      <c r="C4152" s="17" t="s">
        <v>9146</v>
      </c>
      <c r="D4152" s="18">
        <v>39.64</v>
      </c>
      <c r="E4152" s="18">
        <v>55.5</v>
      </c>
      <c r="F4152" s="18">
        <v>12.0</v>
      </c>
    </row>
    <row r="4153">
      <c r="A4153" s="15">
        <v>14.0</v>
      </c>
      <c r="B4153" s="16" t="s">
        <v>9183</v>
      </c>
      <c r="C4153" s="17" t="s">
        <v>5704</v>
      </c>
      <c r="D4153" s="18">
        <v>100.0</v>
      </c>
      <c r="E4153" s="18">
        <v>140.0</v>
      </c>
      <c r="F4153" s="18">
        <v>12.0</v>
      </c>
    </row>
    <row r="4154">
      <c r="A4154" s="15">
        <v>15.0</v>
      </c>
      <c r="B4154" s="16" t="s">
        <v>9184</v>
      </c>
      <c r="C4154" s="17" t="s">
        <v>6626</v>
      </c>
      <c r="D4154" s="18">
        <v>49.0</v>
      </c>
      <c r="E4154" s="18">
        <v>68.0</v>
      </c>
      <c r="F4154" s="18">
        <v>12.0</v>
      </c>
    </row>
    <row r="4155">
      <c r="A4155" s="15">
        <v>16.0</v>
      </c>
      <c r="B4155" s="16" t="s">
        <v>9185</v>
      </c>
      <c r="C4155" s="17" t="s">
        <v>6596</v>
      </c>
      <c r="D4155" s="18">
        <v>274.29</v>
      </c>
      <c r="E4155" s="18">
        <v>360.0</v>
      </c>
      <c r="F4155" s="18">
        <v>5.0</v>
      </c>
    </row>
    <row r="4156">
      <c r="A4156" s="15">
        <v>17.0</v>
      </c>
      <c r="B4156" s="16" t="s">
        <v>3373</v>
      </c>
      <c r="C4156" s="16" t="s">
        <v>7497</v>
      </c>
      <c r="D4156" s="18">
        <v>262.5</v>
      </c>
      <c r="E4156" s="18">
        <v>367.5</v>
      </c>
      <c r="F4156" s="18">
        <v>12.0</v>
      </c>
    </row>
    <row r="4157">
      <c r="A4157" s="6"/>
      <c r="B4157" s="7"/>
      <c r="C4157" s="7"/>
      <c r="D4157" s="7"/>
      <c r="E4157" s="7"/>
      <c r="F4157" s="8"/>
    </row>
    <row r="4158">
      <c r="A4158" s="9" t="s">
        <v>9186</v>
      </c>
      <c r="B4158" s="10"/>
      <c r="C4158" s="10"/>
      <c r="D4158" s="10"/>
      <c r="E4158" s="10"/>
      <c r="F4158" s="10"/>
    </row>
    <row r="4159">
      <c r="A4159" s="11">
        <v>1.0</v>
      </c>
      <c r="B4159" s="12" t="s">
        <v>9187</v>
      </c>
      <c r="C4159" s="13" t="s">
        <v>5536</v>
      </c>
      <c r="D4159" s="14">
        <v>35.0</v>
      </c>
      <c r="E4159" s="14">
        <v>49.0</v>
      </c>
      <c r="F4159" s="14">
        <v>12.0</v>
      </c>
    </row>
    <row r="4160">
      <c r="A4160" s="15">
        <v>2.0</v>
      </c>
      <c r="B4160" s="16" t="s">
        <v>9188</v>
      </c>
      <c r="C4160" s="17" t="s">
        <v>5536</v>
      </c>
      <c r="D4160" s="18">
        <v>51.43</v>
      </c>
      <c r="E4160" s="18">
        <v>72.0</v>
      </c>
      <c r="F4160" s="18">
        <v>12.0</v>
      </c>
    </row>
    <row r="4161">
      <c r="A4161" s="15">
        <v>3.0</v>
      </c>
      <c r="B4161" s="16" t="s">
        <v>9189</v>
      </c>
      <c r="C4161" s="17" t="s">
        <v>5536</v>
      </c>
      <c r="D4161" s="18">
        <v>73.57</v>
      </c>
      <c r="E4161" s="18">
        <v>103.0</v>
      </c>
      <c r="F4161" s="18">
        <v>12.0</v>
      </c>
    </row>
    <row r="4162">
      <c r="A4162" s="15">
        <v>4.0</v>
      </c>
      <c r="B4162" s="16" t="s">
        <v>9190</v>
      </c>
      <c r="C4162" s="17" t="s">
        <v>5580</v>
      </c>
      <c r="D4162" s="18">
        <v>41.88</v>
      </c>
      <c r="E4162" s="18">
        <v>57.5</v>
      </c>
      <c r="F4162" s="18">
        <v>12.0</v>
      </c>
    </row>
    <row r="4163">
      <c r="A4163" s="15">
        <v>5.0</v>
      </c>
      <c r="B4163" s="16" t="s">
        <v>9190</v>
      </c>
      <c r="C4163" s="17" t="s">
        <v>5665</v>
      </c>
      <c r="D4163" s="18">
        <v>83.88</v>
      </c>
      <c r="E4163" s="18">
        <v>115.18</v>
      </c>
      <c r="F4163" s="18">
        <v>12.0</v>
      </c>
    </row>
    <row r="4164">
      <c r="A4164" s="15">
        <v>6.0</v>
      </c>
      <c r="B4164" s="16" t="s">
        <v>9190</v>
      </c>
      <c r="C4164" s="17" t="s">
        <v>6554</v>
      </c>
      <c r="D4164" s="18">
        <v>76.01</v>
      </c>
      <c r="E4164" s="18">
        <v>106.31</v>
      </c>
      <c r="F4164" s="18">
        <v>12.0</v>
      </c>
    </row>
    <row r="4165">
      <c r="A4165" s="15">
        <v>7.0</v>
      </c>
      <c r="B4165" s="16" t="s">
        <v>9191</v>
      </c>
      <c r="C4165" s="17" t="s">
        <v>5536</v>
      </c>
      <c r="D4165" s="18">
        <v>84.29</v>
      </c>
      <c r="E4165" s="18">
        <v>118.0</v>
      </c>
      <c r="F4165" s="18">
        <v>12.0</v>
      </c>
    </row>
    <row r="4166">
      <c r="A4166" s="15">
        <v>8.0</v>
      </c>
      <c r="B4166" s="16" t="s">
        <v>9192</v>
      </c>
      <c r="C4166" s="17" t="s">
        <v>5536</v>
      </c>
      <c r="D4166" s="18">
        <v>48.57</v>
      </c>
      <c r="E4166" s="18">
        <v>68.0</v>
      </c>
      <c r="F4166" s="18">
        <v>12.0</v>
      </c>
    </row>
    <row r="4167">
      <c r="A4167" s="15">
        <v>9.0</v>
      </c>
      <c r="B4167" s="16" t="s">
        <v>9193</v>
      </c>
      <c r="C4167" s="17" t="s">
        <v>5788</v>
      </c>
      <c r="D4167" s="18">
        <v>215.0</v>
      </c>
      <c r="E4167" s="18">
        <v>295.0</v>
      </c>
      <c r="F4167" s="18">
        <v>12.0</v>
      </c>
    </row>
    <row r="4168">
      <c r="A4168" s="15">
        <v>10.0</v>
      </c>
      <c r="B4168" s="16" t="s">
        <v>9193</v>
      </c>
      <c r="C4168" s="17" t="s">
        <v>5636</v>
      </c>
      <c r="D4168" s="18">
        <v>214.79</v>
      </c>
      <c r="E4168" s="18">
        <v>295.0</v>
      </c>
      <c r="F4168" s="18">
        <v>12.0</v>
      </c>
    </row>
    <row r="4169">
      <c r="A4169" s="15">
        <v>11.0</v>
      </c>
      <c r="B4169" s="16" t="s">
        <v>9194</v>
      </c>
      <c r="C4169" s="17" t="s">
        <v>5536</v>
      </c>
      <c r="D4169" s="18">
        <v>54.64</v>
      </c>
      <c r="E4169" s="18">
        <v>75.0</v>
      </c>
      <c r="F4169" s="18">
        <v>12.0</v>
      </c>
    </row>
    <row r="4170">
      <c r="A4170" s="15">
        <v>12.0</v>
      </c>
      <c r="B4170" s="16" t="s">
        <v>9195</v>
      </c>
      <c r="C4170" s="17" t="s">
        <v>5636</v>
      </c>
      <c r="D4170" s="18">
        <v>132.14</v>
      </c>
      <c r="E4170" s="18">
        <v>185.0</v>
      </c>
      <c r="F4170" s="18">
        <v>12.0</v>
      </c>
    </row>
    <row r="4171">
      <c r="A4171" s="15">
        <v>13.0</v>
      </c>
      <c r="B4171" s="16" t="s">
        <v>9196</v>
      </c>
      <c r="C4171" s="17" t="s">
        <v>5633</v>
      </c>
      <c r="D4171" s="18">
        <v>96.84</v>
      </c>
      <c r="E4171" s="18">
        <v>133.0</v>
      </c>
      <c r="F4171" s="18">
        <v>12.0</v>
      </c>
    </row>
    <row r="4172">
      <c r="A4172" s="15">
        <v>14.0</v>
      </c>
      <c r="B4172" s="16" t="s">
        <v>9197</v>
      </c>
      <c r="C4172" s="17" t="s">
        <v>5636</v>
      </c>
      <c r="D4172" s="18">
        <v>110.71</v>
      </c>
      <c r="E4172" s="18">
        <v>155.0</v>
      </c>
      <c r="F4172" s="18">
        <v>12.0</v>
      </c>
    </row>
    <row r="4173">
      <c r="A4173" s="15">
        <v>15.0</v>
      </c>
      <c r="B4173" s="16" t="s">
        <v>9198</v>
      </c>
      <c r="C4173" s="17" t="s">
        <v>5636</v>
      </c>
      <c r="D4173" s="18">
        <v>385.71</v>
      </c>
      <c r="E4173" s="18">
        <v>540.0</v>
      </c>
      <c r="F4173" s="18">
        <v>12.0</v>
      </c>
    </row>
    <row r="4174">
      <c r="A4174" s="15">
        <v>16.0</v>
      </c>
      <c r="B4174" s="16" t="s">
        <v>9199</v>
      </c>
      <c r="C4174" s="17" t="s">
        <v>5636</v>
      </c>
      <c r="D4174" s="18">
        <v>42.9</v>
      </c>
      <c r="E4174" s="18">
        <v>60.0</v>
      </c>
      <c r="F4174" s="18">
        <v>12.0</v>
      </c>
    </row>
    <row r="4175">
      <c r="A4175" s="15">
        <v>17.0</v>
      </c>
      <c r="B4175" s="16" t="s">
        <v>9200</v>
      </c>
      <c r="C4175" s="17" t="s">
        <v>5636</v>
      </c>
      <c r="D4175" s="18">
        <v>23.32</v>
      </c>
      <c r="E4175" s="18">
        <v>32.65</v>
      </c>
      <c r="F4175" s="18">
        <v>12.0</v>
      </c>
    </row>
    <row r="4176">
      <c r="A4176" s="15">
        <v>18.0</v>
      </c>
      <c r="B4176" s="16" t="s">
        <v>3392</v>
      </c>
      <c r="C4176" s="16" t="s">
        <v>5558</v>
      </c>
      <c r="D4176" s="18">
        <v>9.68</v>
      </c>
      <c r="E4176" s="18">
        <v>11.86</v>
      </c>
      <c r="F4176" s="18">
        <v>12.0</v>
      </c>
    </row>
    <row r="4177">
      <c r="A4177" s="15">
        <v>19.0</v>
      </c>
      <c r="B4177" s="16" t="s">
        <v>9201</v>
      </c>
      <c r="C4177" s="17" t="s">
        <v>5536</v>
      </c>
      <c r="D4177" s="18">
        <v>22.02</v>
      </c>
      <c r="E4177" s="18">
        <v>30.24</v>
      </c>
      <c r="F4177" s="18">
        <v>12.0</v>
      </c>
    </row>
    <row r="4178">
      <c r="A4178" s="15">
        <v>20.0</v>
      </c>
      <c r="B4178" s="16" t="s">
        <v>9202</v>
      </c>
      <c r="C4178" s="17" t="s">
        <v>5636</v>
      </c>
      <c r="D4178" s="18">
        <v>41.37</v>
      </c>
      <c r="E4178" s="18">
        <v>56.8</v>
      </c>
      <c r="F4178" s="18">
        <v>12.0</v>
      </c>
    </row>
    <row r="4179">
      <c r="A4179" s="15">
        <v>21.0</v>
      </c>
      <c r="B4179" s="16" t="s">
        <v>9203</v>
      </c>
      <c r="C4179" s="17" t="s">
        <v>5636</v>
      </c>
      <c r="D4179" s="18">
        <v>60.35</v>
      </c>
      <c r="E4179" s="18">
        <v>82.9</v>
      </c>
      <c r="F4179" s="18">
        <v>12.0</v>
      </c>
    </row>
    <row r="4180">
      <c r="A4180" s="15">
        <v>22.0</v>
      </c>
      <c r="B4180" s="16" t="s">
        <v>9204</v>
      </c>
      <c r="C4180" s="17" t="s">
        <v>5653</v>
      </c>
      <c r="D4180" s="18">
        <v>27.14</v>
      </c>
      <c r="E4180" s="18">
        <v>38.0</v>
      </c>
      <c r="F4180" s="18">
        <v>12.0</v>
      </c>
    </row>
    <row r="4181">
      <c r="A4181" s="15">
        <v>23.0</v>
      </c>
      <c r="B4181" s="16" t="s">
        <v>9204</v>
      </c>
      <c r="C4181" s="17" t="s">
        <v>5654</v>
      </c>
      <c r="D4181" s="18">
        <v>46.43</v>
      </c>
      <c r="E4181" s="18">
        <v>65.0</v>
      </c>
      <c r="F4181" s="18">
        <v>12.0</v>
      </c>
    </row>
    <row r="4182">
      <c r="A4182" s="15">
        <v>24.0</v>
      </c>
      <c r="B4182" s="16" t="s">
        <v>9205</v>
      </c>
      <c r="C4182" s="17" t="s">
        <v>5992</v>
      </c>
      <c r="D4182" s="18">
        <v>16.01</v>
      </c>
      <c r="E4182" s="18">
        <v>22.0</v>
      </c>
      <c r="F4182" s="18">
        <v>12.0</v>
      </c>
    </row>
    <row r="4183">
      <c r="A4183" s="15">
        <v>25.0</v>
      </c>
      <c r="B4183" s="16" t="s">
        <v>9205</v>
      </c>
      <c r="C4183" s="17" t="s">
        <v>5886</v>
      </c>
      <c r="D4183" s="18">
        <v>25.49</v>
      </c>
      <c r="E4183" s="18">
        <v>35.0</v>
      </c>
      <c r="F4183" s="18">
        <v>12.0</v>
      </c>
    </row>
    <row r="4184">
      <c r="A4184" s="15">
        <v>26.0</v>
      </c>
      <c r="B4184" s="16" t="s">
        <v>9206</v>
      </c>
      <c r="C4184" s="17" t="s">
        <v>6664</v>
      </c>
      <c r="D4184" s="18">
        <v>67.03</v>
      </c>
      <c r="E4184" s="18">
        <v>93.0</v>
      </c>
      <c r="F4184" s="18">
        <v>12.0</v>
      </c>
    </row>
    <row r="4185">
      <c r="A4185" s="15">
        <v>27.0</v>
      </c>
      <c r="B4185" s="16" t="s">
        <v>9206</v>
      </c>
      <c r="C4185" s="17" t="s">
        <v>5636</v>
      </c>
      <c r="D4185" s="18">
        <v>94.67</v>
      </c>
      <c r="E4185" s="18">
        <v>130.0</v>
      </c>
      <c r="F4185" s="18">
        <v>12.0</v>
      </c>
    </row>
    <row r="4186">
      <c r="A4186" s="15">
        <v>28.0</v>
      </c>
      <c r="B4186" s="16" t="s">
        <v>9207</v>
      </c>
      <c r="C4186" s="17" t="s">
        <v>5536</v>
      </c>
      <c r="D4186" s="18">
        <v>21.86</v>
      </c>
      <c r="E4186" s="18">
        <v>30.61</v>
      </c>
      <c r="F4186" s="18">
        <v>12.0</v>
      </c>
    </row>
    <row r="4187">
      <c r="A4187" s="15">
        <v>29.0</v>
      </c>
      <c r="B4187" s="16" t="s">
        <v>9208</v>
      </c>
      <c r="C4187" s="17" t="s">
        <v>5536</v>
      </c>
      <c r="D4187" s="18">
        <v>29.92</v>
      </c>
      <c r="E4187" s="18">
        <v>41.89</v>
      </c>
      <c r="F4187" s="18">
        <v>12.0</v>
      </c>
    </row>
    <row r="4188">
      <c r="A4188" s="15">
        <v>30.0</v>
      </c>
      <c r="B4188" s="16" t="s">
        <v>9209</v>
      </c>
      <c r="C4188" s="17" t="s">
        <v>9210</v>
      </c>
      <c r="D4188" s="18">
        <v>35.71</v>
      </c>
      <c r="E4188" s="18">
        <v>50.0</v>
      </c>
      <c r="F4188" s="18">
        <v>12.0</v>
      </c>
    </row>
    <row r="4189">
      <c r="A4189" s="15">
        <v>31.0</v>
      </c>
      <c r="B4189" s="16" t="s">
        <v>9209</v>
      </c>
      <c r="C4189" s="17" t="s">
        <v>5657</v>
      </c>
      <c r="D4189" s="18">
        <v>67.86</v>
      </c>
      <c r="E4189" s="18">
        <v>95.0</v>
      </c>
      <c r="F4189" s="18">
        <v>12.0</v>
      </c>
    </row>
    <row r="4190">
      <c r="A4190" s="15">
        <v>32.0</v>
      </c>
      <c r="B4190" s="16" t="s">
        <v>9211</v>
      </c>
      <c r="C4190" s="17" t="s">
        <v>5653</v>
      </c>
      <c r="D4190" s="18">
        <v>64.64</v>
      </c>
      <c r="E4190" s="18">
        <v>90.5</v>
      </c>
      <c r="F4190" s="18">
        <v>12.0</v>
      </c>
    </row>
    <row r="4191">
      <c r="A4191" s="15">
        <v>33.0</v>
      </c>
      <c r="B4191" s="16" t="s">
        <v>9211</v>
      </c>
      <c r="C4191" s="17" t="s">
        <v>5654</v>
      </c>
      <c r="D4191" s="18">
        <v>96.08</v>
      </c>
      <c r="E4191" s="18">
        <v>134.51</v>
      </c>
      <c r="F4191" s="18">
        <v>12.0</v>
      </c>
    </row>
    <row r="4192">
      <c r="A4192" s="15">
        <v>34.0</v>
      </c>
      <c r="B4192" s="16" t="s">
        <v>9212</v>
      </c>
      <c r="C4192" s="17" t="s">
        <v>5536</v>
      </c>
      <c r="D4192" s="18">
        <v>28.5</v>
      </c>
      <c r="E4192" s="18">
        <v>39.9</v>
      </c>
      <c r="F4192" s="18">
        <v>12.0</v>
      </c>
    </row>
    <row r="4193">
      <c r="A4193" s="15">
        <v>35.0</v>
      </c>
      <c r="B4193" s="16" t="s">
        <v>9213</v>
      </c>
      <c r="C4193" s="17" t="s">
        <v>6127</v>
      </c>
      <c r="D4193" s="18">
        <v>41.78</v>
      </c>
      <c r="E4193" s="18">
        <v>58.5</v>
      </c>
      <c r="F4193" s="18">
        <v>12.0</v>
      </c>
    </row>
    <row r="4194">
      <c r="A4194" s="15">
        <v>36.0</v>
      </c>
      <c r="B4194" s="16" t="s">
        <v>9213</v>
      </c>
      <c r="C4194" s="17" t="s">
        <v>5967</v>
      </c>
      <c r="D4194" s="18">
        <v>50.23</v>
      </c>
      <c r="E4194" s="18">
        <v>70.33</v>
      </c>
      <c r="F4194" s="18">
        <v>12.0</v>
      </c>
    </row>
    <row r="4195">
      <c r="A4195" s="15">
        <v>37.0</v>
      </c>
      <c r="B4195" s="16" t="s">
        <v>9213</v>
      </c>
      <c r="C4195" s="17" t="s">
        <v>5665</v>
      </c>
      <c r="D4195" s="18">
        <v>77.76</v>
      </c>
      <c r="E4195" s="18">
        <v>108.86</v>
      </c>
      <c r="F4195" s="18">
        <v>12.0</v>
      </c>
    </row>
    <row r="4196">
      <c r="A4196" s="15">
        <v>38.0</v>
      </c>
      <c r="B4196" s="16" t="s">
        <v>3412</v>
      </c>
      <c r="C4196" s="16" t="s">
        <v>5558</v>
      </c>
      <c r="D4196" s="18">
        <v>54.05</v>
      </c>
      <c r="E4196" s="18">
        <v>75.0</v>
      </c>
      <c r="F4196" s="18">
        <v>12.0</v>
      </c>
    </row>
    <row r="4197">
      <c r="A4197" s="15">
        <v>39.0</v>
      </c>
      <c r="B4197" s="16" t="s">
        <v>9214</v>
      </c>
      <c r="C4197" s="17" t="s">
        <v>5636</v>
      </c>
      <c r="D4197" s="18">
        <v>41.43</v>
      </c>
      <c r="E4197" s="18">
        <v>58.0</v>
      </c>
      <c r="F4197" s="18">
        <v>12.0</v>
      </c>
    </row>
    <row r="4198">
      <c r="A4198" s="15">
        <v>40.0</v>
      </c>
      <c r="B4198" s="16" t="s">
        <v>9215</v>
      </c>
      <c r="C4198" s="17" t="s">
        <v>5536</v>
      </c>
      <c r="D4198" s="18">
        <v>142.72</v>
      </c>
      <c r="E4198" s="18">
        <v>198.0</v>
      </c>
      <c r="F4198" s="18">
        <v>12.0</v>
      </c>
    </row>
    <row r="4199">
      <c r="A4199" s="15">
        <v>41.0</v>
      </c>
      <c r="B4199" s="16" t="s">
        <v>9216</v>
      </c>
      <c r="C4199" s="17" t="s">
        <v>5536</v>
      </c>
      <c r="D4199" s="18">
        <v>259.47</v>
      </c>
      <c r="E4199" s="18">
        <v>360.0</v>
      </c>
      <c r="F4199" s="18">
        <v>12.0</v>
      </c>
    </row>
    <row r="4200">
      <c r="A4200" s="6"/>
      <c r="B4200" s="7"/>
      <c r="C4200" s="7"/>
      <c r="D4200" s="7"/>
      <c r="E4200" s="7"/>
      <c r="F4200" s="8"/>
    </row>
    <row r="4201">
      <c r="A4201" s="6"/>
      <c r="B4201" s="7"/>
      <c r="C4201" s="7"/>
      <c r="D4201" s="7"/>
      <c r="E4201" s="8"/>
      <c r="F4201" s="16" t="s">
        <v>9217</v>
      </c>
    </row>
    <row r="4202">
      <c r="A4202" s="6"/>
      <c r="B4202" s="7"/>
      <c r="C4202" s="7"/>
      <c r="D4202" s="7"/>
      <c r="E4202" s="7"/>
      <c r="F4202" s="8"/>
    </row>
    <row r="4203">
      <c r="A4203" s="6"/>
      <c r="B4203" s="7"/>
      <c r="C4203" s="7"/>
      <c r="D4203" s="7"/>
      <c r="E4203" s="7"/>
      <c r="F4203" s="8"/>
    </row>
    <row r="4204">
      <c r="A4204" s="6"/>
      <c r="B4204" s="7"/>
      <c r="C4204" s="7"/>
      <c r="D4204" s="7"/>
      <c r="E4204" s="7"/>
      <c r="F4204" s="8"/>
    </row>
    <row r="4205">
      <c r="A4205" s="6"/>
      <c r="B4205" s="7"/>
      <c r="C4205" s="7"/>
      <c r="D4205" s="7"/>
      <c r="E4205" s="7"/>
      <c r="F4205" s="8"/>
    </row>
    <row r="4206">
      <c r="A4206" s="9" t="s">
        <v>5582</v>
      </c>
      <c r="B4206" s="10"/>
      <c r="C4206" s="10"/>
      <c r="D4206" s="10"/>
      <c r="E4206" s="10"/>
      <c r="F4206" s="10"/>
    </row>
    <row r="4207">
      <c r="A4207" s="19" t="s">
        <v>5583</v>
      </c>
    </row>
    <row r="4208">
      <c r="A4208" s="6"/>
      <c r="B4208" s="7"/>
      <c r="C4208" s="7"/>
      <c r="D4208" s="8"/>
      <c r="E4208" s="12" t="s">
        <v>5584</v>
      </c>
      <c r="F4208" s="12" t="s">
        <v>9218</v>
      </c>
    </row>
    <row r="4209">
      <c r="A4209" s="20" t="s">
        <v>5522</v>
      </c>
      <c r="B4209" s="16" t="s">
        <v>5523</v>
      </c>
      <c r="C4209" s="16" t="s">
        <v>5524</v>
      </c>
      <c r="D4209" s="16" t="s">
        <v>5525</v>
      </c>
      <c r="E4209" s="16" t="s">
        <v>5526</v>
      </c>
      <c r="F4209" s="16" t="s">
        <v>5586</v>
      </c>
    </row>
    <row r="4210">
      <c r="A4210" s="9" t="s">
        <v>9219</v>
      </c>
      <c r="B4210" s="10"/>
      <c r="C4210" s="10"/>
      <c r="D4210" s="10"/>
      <c r="E4210" s="10"/>
      <c r="F4210" s="10"/>
    </row>
    <row r="4211">
      <c r="A4211" s="11">
        <v>1.0</v>
      </c>
      <c r="B4211" s="12" t="s">
        <v>9220</v>
      </c>
      <c r="C4211" s="13" t="s">
        <v>5818</v>
      </c>
      <c r="D4211" s="14">
        <v>76.43</v>
      </c>
      <c r="E4211" s="14">
        <v>107.0</v>
      </c>
      <c r="F4211" s="14">
        <v>12.0</v>
      </c>
    </row>
    <row r="4212">
      <c r="A4212" s="15">
        <v>2.0</v>
      </c>
      <c r="B4212" s="16" t="s">
        <v>9220</v>
      </c>
      <c r="C4212" s="17" t="s">
        <v>6127</v>
      </c>
      <c r="D4212" s="18">
        <v>149.09</v>
      </c>
      <c r="E4212" s="18">
        <v>204.76</v>
      </c>
      <c r="F4212" s="18">
        <v>12.0</v>
      </c>
    </row>
    <row r="4213">
      <c r="A4213" s="15">
        <v>3.0</v>
      </c>
      <c r="B4213" s="16" t="s">
        <v>9221</v>
      </c>
      <c r="C4213" s="17" t="s">
        <v>5536</v>
      </c>
      <c r="D4213" s="18">
        <v>43.52</v>
      </c>
      <c r="E4213" s="18">
        <v>60.93</v>
      </c>
      <c r="F4213" s="18">
        <v>12.0</v>
      </c>
    </row>
    <row r="4214">
      <c r="A4214" s="15">
        <v>4.0</v>
      </c>
      <c r="B4214" s="16" t="s">
        <v>9222</v>
      </c>
      <c r="C4214" s="17" t="s">
        <v>5636</v>
      </c>
      <c r="D4214" s="18">
        <v>60.35</v>
      </c>
      <c r="E4214" s="18">
        <v>82.9</v>
      </c>
      <c r="F4214" s="18">
        <v>12.0</v>
      </c>
    </row>
    <row r="4215">
      <c r="A4215" s="15">
        <v>5.0</v>
      </c>
      <c r="B4215" s="16" t="s">
        <v>9223</v>
      </c>
      <c r="C4215" s="17" t="s">
        <v>7424</v>
      </c>
      <c r="D4215" s="18">
        <v>87.4</v>
      </c>
      <c r="E4215" s="18">
        <v>120.0</v>
      </c>
      <c r="F4215" s="18">
        <v>12.0</v>
      </c>
    </row>
    <row r="4216">
      <c r="A4216" s="15">
        <v>6.0</v>
      </c>
      <c r="B4216" s="16" t="s">
        <v>9224</v>
      </c>
      <c r="C4216" s="17" t="s">
        <v>5536</v>
      </c>
      <c r="D4216" s="18">
        <v>120.17</v>
      </c>
      <c r="E4216" s="18">
        <v>165.0</v>
      </c>
      <c r="F4216" s="18">
        <v>12.0</v>
      </c>
    </row>
    <row r="4217">
      <c r="A4217" s="15">
        <v>7.0</v>
      </c>
      <c r="B4217" s="16" t="s">
        <v>9209</v>
      </c>
      <c r="C4217" s="17" t="s">
        <v>5788</v>
      </c>
      <c r="D4217" s="18">
        <v>62.86</v>
      </c>
      <c r="E4217" s="18">
        <v>88.0</v>
      </c>
      <c r="F4217" s="18">
        <v>12.0</v>
      </c>
    </row>
    <row r="4218">
      <c r="A4218" s="15">
        <v>8.0</v>
      </c>
      <c r="B4218" s="16" t="s">
        <v>9225</v>
      </c>
      <c r="C4218" s="17" t="s">
        <v>5536</v>
      </c>
      <c r="D4218" s="18">
        <v>52.8</v>
      </c>
      <c r="E4218" s="18">
        <v>72.5</v>
      </c>
      <c r="F4218" s="18">
        <v>12.0</v>
      </c>
    </row>
    <row r="4219">
      <c r="A4219" s="15">
        <v>9.0</v>
      </c>
      <c r="B4219" s="16" t="s">
        <v>9226</v>
      </c>
      <c r="C4219" s="17" t="s">
        <v>5536</v>
      </c>
      <c r="D4219" s="18">
        <v>45.89</v>
      </c>
      <c r="E4219" s="18">
        <v>63.0</v>
      </c>
      <c r="F4219" s="18">
        <v>12.0</v>
      </c>
    </row>
    <row r="4220">
      <c r="A4220" s="6"/>
      <c r="B4220" s="7"/>
      <c r="C4220" s="7"/>
      <c r="D4220" s="7"/>
      <c r="E4220" s="7"/>
      <c r="F4220" s="8"/>
    </row>
    <row r="4221">
      <c r="A4221" s="9" t="s">
        <v>9227</v>
      </c>
      <c r="B4221" s="10"/>
      <c r="C4221" s="10"/>
      <c r="D4221" s="10"/>
      <c r="E4221" s="10"/>
      <c r="F4221" s="10"/>
    </row>
    <row r="4222">
      <c r="A4222" s="11">
        <v>1.0</v>
      </c>
      <c r="B4222" s="12" t="s">
        <v>9228</v>
      </c>
      <c r="C4222" s="13" t="s">
        <v>9229</v>
      </c>
      <c r="D4222" s="14">
        <v>97.08</v>
      </c>
      <c r="E4222" s="14">
        <v>138.0</v>
      </c>
      <c r="F4222" s="14">
        <v>18.0</v>
      </c>
    </row>
    <row r="4223">
      <c r="A4223" s="15">
        <v>2.0</v>
      </c>
      <c r="B4223" s="16" t="s">
        <v>3427</v>
      </c>
      <c r="C4223" s="16" t="s">
        <v>9230</v>
      </c>
      <c r="D4223" s="18">
        <v>163.91</v>
      </c>
      <c r="E4223" s="18">
        <v>188.0</v>
      </c>
      <c r="F4223" s="18">
        <v>18.0</v>
      </c>
    </row>
    <row r="4224">
      <c r="A4224" s="6"/>
      <c r="B4224" s="7"/>
      <c r="C4224" s="7"/>
      <c r="D4224" s="7"/>
      <c r="E4224" s="7"/>
      <c r="F4224" s="8"/>
    </row>
    <row r="4225">
      <c r="A4225" s="9" t="s">
        <v>9231</v>
      </c>
      <c r="B4225" s="10"/>
      <c r="C4225" s="10"/>
      <c r="D4225" s="10"/>
      <c r="E4225" s="10"/>
      <c r="F4225" s="10"/>
    </row>
    <row r="4226">
      <c r="A4226" s="11">
        <v>1.0</v>
      </c>
      <c r="B4226" s="12" t="s">
        <v>9232</v>
      </c>
      <c r="C4226" s="13" t="s">
        <v>5636</v>
      </c>
      <c r="D4226" s="14">
        <v>44.74</v>
      </c>
      <c r="E4226" s="14">
        <v>61.43</v>
      </c>
      <c r="F4226" s="14">
        <v>12.0</v>
      </c>
    </row>
    <row r="4227">
      <c r="A4227" s="15">
        <v>2.0</v>
      </c>
      <c r="B4227" s="16" t="s">
        <v>9233</v>
      </c>
      <c r="C4227" s="17" t="s">
        <v>5804</v>
      </c>
      <c r="D4227" s="18">
        <v>63.04</v>
      </c>
      <c r="E4227" s="18">
        <v>87.5</v>
      </c>
      <c r="F4227" s="18">
        <v>12.0</v>
      </c>
    </row>
    <row r="4228">
      <c r="A4228" s="15">
        <v>3.0</v>
      </c>
      <c r="B4228" s="16" t="s">
        <v>3431</v>
      </c>
      <c r="C4228" s="16" t="s">
        <v>5558</v>
      </c>
      <c r="D4228" s="18">
        <v>85.19</v>
      </c>
      <c r="E4228" s="18">
        <v>117.0</v>
      </c>
      <c r="F4228" s="18">
        <v>12.0</v>
      </c>
    </row>
    <row r="4229">
      <c r="A4229" s="15">
        <v>4.0</v>
      </c>
      <c r="B4229" s="16" t="s">
        <v>9234</v>
      </c>
      <c r="C4229" s="17" t="s">
        <v>5536</v>
      </c>
      <c r="D4229" s="18">
        <v>58.97</v>
      </c>
      <c r="E4229" s="18">
        <v>81.0</v>
      </c>
      <c r="F4229" s="18">
        <v>12.0</v>
      </c>
    </row>
    <row r="4230">
      <c r="A4230" s="15">
        <v>5.0</v>
      </c>
      <c r="B4230" s="16" t="s">
        <v>9235</v>
      </c>
      <c r="C4230" s="17" t="s">
        <v>5636</v>
      </c>
      <c r="D4230" s="18">
        <v>87.74</v>
      </c>
      <c r="E4230" s="18">
        <v>120.5</v>
      </c>
      <c r="F4230" s="18">
        <v>12.0</v>
      </c>
    </row>
    <row r="4231">
      <c r="A4231" s="15">
        <v>6.0</v>
      </c>
      <c r="B4231" s="16" t="s">
        <v>9236</v>
      </c>
      <c r="C4231" s="17" t="s">
        <v>5818</v>
      </c>
      <c r="D4231" s="18">
        <v>49.54</v>
      </c>
      <c r="E4231" s="18">
        <v>68.0</v>
      </c>
      <c r="F4231" s="18">
        <v>12.0</v>
      </c>
    </row>
    <row r="4232">
      <c r="A4232" s="15">
        <v>7.0</v>
      </c>
      <c r="B4232" s="16" t="s">
        <v>9236</v>
      </c>
      <c r="C4232" s="17" t="s">
        <v>6127</v>
      </c>
      <c r="D4232" s="18">
        <v>92.35</v>
      </c>
      <c r="E4232" s="18">
        <v>126.84</v>
      </c>
      <c r="F4232" s="18">
        <v>12.0</v>
      </c>
    </row>
    <row r="4233">
      <c r="A4233" s="15">
        <v>8.0</v>
      </c>
      <c r="B4233" s="16" t="s">
        <v>9236</v>
      </c>
      <c r="C4233" s="17" t="s">
        <v>8542</v>
      </c>
      <c r="D4233" s="18">
        <v>42.91</v>
      </c>
      <c r="E4233" s="18">
        <v>58.93</v>
      </c>
      <c r="F4233" s="18">
        <v>12.0</v>
      </c>
    </row>
    <row r="4234">
      <c r="A4234" s="15">
        <v>9.0</v>
      </c>
      <c r="B4234" s="16" t="s">
        <v>9237</v>
      </c>
      <c r="C4234" s="17" t="s">
        <v>5768</v>
      </c>
      <c r="D4234" s="18">
        <v>50.08</v>
      </c>
      <c r="E4234" s="18">
        <v>69.5</v>
      </c>
      <c r="F4234" s="18">
        <v>12.0</v>
      </c>
    </row>
    <row r="4235">
      <c r="A4235" s="6"/>
      <c r="B4235" s="7"/>
      <c r="C4235" s="7"/>
      <c r="D4235" s="7"/>
      <c r="E4235" s="7"/>
      <c r="F4235" s="8"/>
    </row>
    <row r="4236">
      <c r="A4236" s="9" t="s">
        <v>9238</v>
      </c>
      <c r="B4236" s="10"/>
      <c r="C4236" s="10"/>
      <c r="D4236" s="10"/>
      <c r="E4236" s="10"/>
      <c r="F4236" s="10"/>
    </row>
    <row r="4237">
      <c r="A4237" s="11">
        <v>1.0</v>
      </c>
      <c r="B4237" s="12" t="s">
        <v>9239</v>
      </c>
      <c r="C4237" s="13" t="s">
        <v>5536</v>
      </c>
      <c r="D4237" s="14">
        <v>51.57</v>
      </c>
      <c r="E4237" s="14">
        <v>72.2</v>
      </c>
      <c r="F4237" s="14">
        <v>12.0</v>
      </c>
    </row>
    <row r="4238">
      <c r="A4238" s="15">
        <v>2.0</v>
      </c>
      <c r="B4238" s="16" t="s">
        <v>9240</v>
      </c>
      <c r="C4238" s="17" t="s">
        <v>5536</v>
      </c>
      <c r="D4238" s="18">
        <v>93.7</v>
      </c>
      <c r="E4238" s="18">
        <v>130.0</v>
      </c>
      <c r="F4238" s="18">
        <v>12.0</v>
      </c>
    </row>
    <row r="4239">
      <c r="A4239" s="15">
        <v>3.0</v>
      </c>
      <c r="B4239" s="16" t="s">
        <v>9241</v>
      </c>
      <c r="C4239" s="17" t="s">
        <v>5536</v>
      </c>
      <c r="D4239" s="18">
        <v>635.72</v>
      </c>
      <c r="E4239" s="18">
        <v>890.0</v>
      </c>
      <c r="F4239" s="18">
        <v>12.0</v>
      </c>
    </row>
    <row r="4240">
      <c r="A4240" s="15">
        <v>4.0</v>
      </c>
      <c r="B4240" s="16" t="s">
        <v>9242</v>
      </c>
      <c r="C4240" s="17" t="s">
        <v>5636</v>
      </c>
      <c r="D4240" s="18">
        <v>28.84</v>
      </c>
      <c r="E4240" s="18">
        <v>40.38</v>
      </c>
      <c r="F4240" s="18">
        <v>12.0</v>
      </c>
    </row>
    <row r="4241">
      <c r="A4241" s="15">
        <v>5.0</v>
      </c>
      <c r="B4241" s="16" t="s">
        <v>9243</v>
      </c>
      <c r="C4241" s="17" t="s">
        <v>5636</v>
      </c>
      <c r="D4241" s="18">
        <v>34.06</v>
      </c>
      <c r="E4241" s="18">
        <v>47.25</v>
      </c>
      <c r="F4241" s="18">
        <v>12.0</v>
      </c>
    </row>
    <row r="4242">
      <c r="A4242" s="15">
        <v>6.0</v>
      </c>
      <c r="B4242" s="16" t="s">
        <v>9244</v>
      </c>
      <c r="C4242" s="17" t="s">
        <v>5536</v>
      </c>
      <c r="D4242" s="18">
        <v>36.05</v>
      </c>
      <c r="E4242" s="18">
        <v>50.0</v>
      </c>
      <c r="F4242" s="18">
        <v>12.0</v>
      </c>
    </row>
    <row r="4243">
      <c r="A4243" s="15">
        <v>7.0</v>
      </c>
      <c r="B4243" s="16" t="s">
        <v>9245</v>
      </c>
      <c r="C4243" s="17" t="s">
        <v>5536</v>
      </c>
      <c r="D4243" s="18">
        <v>50.46</v>
      </c>
      <c r="E4243" s="18">
        <v>70.0</v>
      </c>
      <c r="F4243" s="18">
        <v>12.0</v>
      </c>
    </row>
    <row r="4244">
      <c r="A4244" s="15">
        <v>8.0</v>
      </c>
      <c r="B4244" s="16" t="s">
        <v>9246</v>
      </c>
      <c r="C4244" s="17" t="s">
        <v>5536</v>
      </c>
      <c r="D4244" s="18">
        <v>53.57</v>
      </c>
      <c r="E4244" s="18">
        <v>75.0</v>
      </c>
      <c r="F4244" s="18">
        <v>12.0</v>
      </c>
    </row>
    <row r="4245">
      <c r="A4245" s="15">
        <v>9.0</v>
      </c>
      <c r="B4245" s="16" t="s">
        <v>9247</v>
      </c>
      <c r="C4245" s="17" t="s">
        <v>5536</v>
      </c>
      <c r="D4245" s="18">
        <v>70.5</v>
      </c>
      <c r="E4245" s="18">
        <v>94.0</v>
      </c>
      <c r="F4245" s="18">
        <v>12.0</v>
      </c>
    </row>
    <row r="4246">
      <c r="A4246" s="15">
        <v>10.0</v>
      </c>
      <c r="B4246" s="16" t="s">
        <v>9248</v>
      </c>
      <c r="C4246" s="17" t="s">
        <v>5636</v>
      </c>
      <c r="D4246" s="18">
        <v>50.46</v>
      </c>
      <c r="E4246" s="18">
        <v>70.0</v>
      </c>
      <c r="F4246" s="18">
        <v>12.0</v>
      </c>
    </row>
    <row r="4247">
      <c r="A4247" s="15">
        <v>11.0</v>
      </c>
      <c r="B4247" s="16" t="s">
        <v>9249</v>
      </c>
      <c r="C4247" s="17" t="s">
        <v>5536</v>
      </c>
      <c r="D4247" s="18">
        <v>50.46</v>
      </c>
      <c r="E4247" s="18">
        <v>70.0</v>
      </c>
      <c r="F4247" s="18">
        <v>12.0</v>
      </c>
    </row>
    <row r="4248">
      <c r="A4248" s="15">
        <v>12.0</v>
      </c>
      <c r="B4248" s="16" t="s">
        <v>9250</v>
      </c>
      <c r="C4248" s="17" t="s">
        <v>5636</v>
      </c>
      <c r="D4248" s="18">
        <v>85.71</v>
      </c>
      <c r="E4248" s="18">
        <v>120.0</v>
      </c>
      <c r="F4248" s="18">
        <v>12.0</v>
      </c>
    </row>
    <row r="4249">
      <c r="A4249" s="15">
        <v>13.0</v>
      </c>
      <c r="B4249" s="16" t="s">
        <v>9250</v>
      </c>
      <c r="C4249" s="17" t="s">
        <v>5603</v>
      </c>
      <c r="D4249" s="18">
        <v>140.66</v>
      </c>
      <c r="E4249" s="18">
        <v>196.92</v>
      </c>
      <c r="F4249" s="18">
        <v>12.0</v>
      </c>
    </row>
    <row r="4250">
      <c r="A4250" s="15">
        <v>14.0</v>
      </c>
      <c r="B4250" s="16" t="s">
        <v>9251</v>
      </c>
      <c r="C4250" s="17" t="s">
        <v>5653</v>
      </c>
      <c r="D4250" s="18">
        <v>1678.58</v>
      </c>
      <c r="E4250" s="18">
        <v>2350.0</v>
      </c>
      <c r="F4250" s="18">
        <v>12.0</v>
      </c>
    </row>
    <row r="4251">
      <c r="A4251" s="15">
        <v>15.0</v>
      </c>
      <c r="B4251" s="16" t="s">
        <v>9252</v>
      </c>
      <c r="C4251" s="17" t="s">
        <v>5536</v>
      </c>
      <c r="D4251" s="18">
        <v>1035.72</v>
      </c>
      <c r="E4251" s="18">
        <v>1450.0</v>
      </c>
      <c r="F4251" s="18">
        <v>12.0</v>
      </c>
    </row>
    <row r="4252">
      <c r="A4252" s="15">
        <v>16.0</v>
      </c>
      <c r="B4252" s="16" t="s">
        <v>9251</v>
      </c>
      <c r="C4252" s="17" t="s">
        <v>9253</v>
      </c>
      <c r="D4252" s="18">
        <v>1035.72</v>
      </c>
      <c r="E4252" s="18">
        <v>1450.0</v>
      </c>
      <c r="F4252" s="18">
        <v>12.0</v>
      </c>
    </row>
    <row r="4253">
      <c r="A4253" s="15">
        <v>17.0</v>
      </c>
      <c r="B4253" s="16" t="s">
        <v>9254</v>
      </c>
      <c r="C4253" s="17" t="s">
        <v>5536</v>
      </c>
      <c r="D4253" s="18">
        <v>103.0</v>
      </c>
      <c r="E4253" s="18">
        <v>144.2</v>
      </c>
      <c r="F4253" s="18">
        <v>12.0</v>
      </c>
    </row>
    <row r="4254">
      <c r="A4254" s="15">
        <v>18.0</v>
      </c>
      <c r="B4254" s="16" t="s">
        <v>9255</v>
      </c>
      <c r="C4254" s="17" t="s">
        <v>5536</v>
      </c>
      <c r="D4254" s="18">
        <v>63.71</v>
      </c>
      <c r="E4254" s="18">
        <v>89.2</v>
      </c>
      <c r="F4254" s="18">
        <v>12.0</v>
      </c>
    </row>
    <row r="4255">
      <c r="A4255" s="15">
        <v>19.0</v>
      </c>
      <c r="B4255" s="16" t="s">
        <v>3456</v>
      </c>
      <c r="C4255" s="16" t="s">
        <v>5558</v>
      </c>
      <c r="D4255" s="18">
        <v>99.29</v>
      </c>
      <c r="E4255" s="18">
        <v>139.0</v>
      </c>
      <c r="F4255" s="18">
        <v>12.0</v>
      </c>
    </row>
    <row r="4256">
      <c r="A4256" s="15">
        <v>20.0</v>
      </c>
      <c r="B4256" s="16" t="s">
        <v>3457</v>
      </c>
      <c r="C4256" s="16" t="s">
        <v>5558</v>
      </c>
      <c r="D4256" s="18">
        <v>97.68</v>
      </c>
      <c r="E4256" s="18">
        <v>136.75</v>
      </c>
      <c r="F4256" s="18">
        <v>12.0</v>
      </c>
    </row>
    <row r="4257">
      <c r="A4257" s="15">
        <v>21.0</v>
      </c>
      <c r="B4257" s="16" t="s">
        <v>9256</v>
      </c>
      <c r="C4257" s="17" t="s">
        <v>5636</v>
      </c>
      <c r="D4257" s="18">
        <v>89.87</v>
      </c>
      <c r="E4257" s="18">
        <v>125.81</v>
      </c>
      <c r="F4257" s="18">
        <v>12.0</v>
      </c>
    </row>
    <row r="4258">
      <c r="A4258" s="15">
        <v>22.0</v>
      </c>
      <c r="B4258" s="16" t="s">
        <v>9257</v>
      </c>
      <c r="C4258" s="17" t="s">
        <v>5636</v>
      </c>
      <c r="D4258" s="18">
        <v>156.29</v>
      </c>
      <c r="E4258" s="18">
        <v>218.8</v>
      </c>
      <c r="F4258" s="18">
        <v>12.0</v>
      </c>
    </row>
    <row r="4259">
      <c r="A4259" s="15">
        <v>23.0</v>
      </c>
      <c r="B4259" s="16" t="s">
        <v>9258</v>
      </c>
      <c r="C4259" s="17" t="s">
        <v>5636</v>
      </c>
      <c r="D4259" s="18">
        <v>271.43</v>
      </c>
      <c r="E4259" s="18">
        <v>380.0</v>
      </c>
      <c r="F4259" s="18">
        <v>12.0</v>
      </c>
    </row>
    <row r="4260">
      <c r="A4260" s="15">
        <v>24.0</v>
      </c>
      <c r="B4260" s="16" t="s">
        <v>9259</v>
      </c>
      <c r="C4260" s="17" t="s">
        <v>5636</v>
      </c>
      <c r="D4260" s="18">
        <v>44.64</v>
      </c>
      <c r="E4260" s="18">
        <v>62.5</v>
      </c>
      <c r="F4260" s="18">
        <v>12.0</v>
      </c>
    </row>
    <row r="4261">
      <c r="A4261" s="15">
        <v>25.0</v>
      </c>
      <c r="B4261" s="16" t="s">
        <v>9260</v>
      </c>
      <c r="C4261" s="17" t="s">
        <v>5636</v>
      </c>
      <c r="D4261" s="18">
        <v>38.32</v>
      </c>
      <c r="E4261" s="18">
        <v>51.09</v>
      </c>
      <c r="F4261" s="18">
        <v>12.0</v>
      </c>
    </row>
    <row r="4262">
      <c r="A4262" s="15">
        <v>26.0</v>
      </c>
      <c r="B4262" s="16" t="s">
        <v>9261</v>
      </c>
      <c r="C4262" s="17" t="s">
        <v>5636</v>
      </c>
      <c r="D4262" s="18">
        <v>99.45</v>
      </c>
      <c r="E4262" s="18">
        <v>138.0</v>
      </c>
      <c r="F4262" s="18">
        <v>12.0</v>
      </c>
    </row>
    <row r="4263">
      <c r="A4263" s="15">
        <v>27.0</v>
      </c>
      <c r="B4263" s="16" t="s">
        <v>9262</v>
      </c>
      <c r="C4263" s="17" t="s">
        <v>5536</v>
      </c>
      <c r="D4263" s="18">
        <v>122.52</v>
      </c>
      <c r="E4263" s="18">
        <v>170.0</v>
      </c>
      <c r="F4263" s="18">
        <v>12.0</v>
      </c>
    </row>
    <row r="4264">
      <c r="A4264" s="15">
        <v>28.0</v>
      </c>
      <c r="B4264" s="16" t="s">
        <v>9263</v>
      </c>
      <c r="C4264" s="17" t="s">
        <v>7169</v>
      </c>
      <c r="D4264" s="18">
        <v>160.72</v>
      </c>
      <c r="E4264" s="18">
        <v>225.0</v>
      </c>
      <c r="F4264" s="18">
        <v>12.0</v>
      </c>
    </row>
    <row r="4265">
      <c r="A4265" s="15">
        <v>29.0</v>
      </c>
      <c r="B4265" s="16" t="s">
        <v>9263</v>
      </c>
      <c r="C4265" s="17" t="s">
        <v>5562</v>
      </c>
      <c r="D4265" s="18">
        <v>92.71</v>
      </c>
      <c r="E4265" s="18">
        <v>129.8</v>
      </c>
      <c r="F4265" s="18">
        <v>12.0</v>
      </c>
    </row>
    <row r="4266">
      <c r="A4266" s="15">
        <v>30.0</v>
      </c>
      <c r="B4266" s="16" t="s">
        <v>9264</v>
      </c>
      <c r="C4266" s="17" t="s">
        <v>5654</v>
      </c>
      <c r="D4266" s="18">
        <v>27.39</v>
      </c>
      <c r="E4266" s="18">
        <v>38.0</v>
      </c>
      <c r="F4266" s="18">
        <v>12.0</v>
      </c>
    </row>
    <row r="4267">
      <c r="A4267" s="15">
        <v>31.0</v>
      </c>
      <c r="B4267" s="16" t="s">
        <v>9264</v>
      </c>
      <c r="C4267" s="17" t="s">
        <v>5830</v>
      </c>
      <c r="D4267" s="18">
        <v>45.89</v>
      </c>
      <c r="E4267" s="18">
        <v>64.25</v>
      </c>
      <c r="F4267" s="18">
        <v>12.0</v>
      </c>
    </row>
    <row r="4268">
      <c r="A4268" s="15">
        <v>32.0</v>
      </c>
      <c r="B4268" s="16" t="s">
        <v>9264</v>
      </c>
      <c r="C4268" s="17" t="s">
        <v>5831</v>
      </c>
      <c r="D4268" s="18">
        <v>68.48</v>
      </c>
      <c r="E4268" s="18">
        <v>95.0</v>
      </c>
      <c r="F4268" s="18">
        <v>12.0</v>
      </c>
    </row>
    <row r="4269">
      <c r="A4269" s="15">
        <v>33.0</v>
      </c>
      <c r="B4269" s="16" t="s">
        <v>9264</v>
      </c>
      <c r="C4269" s="17" t="s">
        <v>9265</v>
      </c>
      <c r="D4269" s="18">
        <v>53.21</v>
      </c>
      <c r="E4269" s="18">
        <v>74.5</v>
      </c>
      <c r="F4269" s="18">
        <v>12.0</v>
      </c>
    </row>
    <row r="4270">
      <c r="A4270" s="15">
        <v>34.0</v>
      </c>
      <c r="B4270" s="16" t="s">
        <v>9264</v>
      </c>
      <c r="C4270" s="17" t="s">
        <v>9266</v>
      </c>
      <c r="D4270" s="18">
        <v>49.47</v>
      </c>
      <c r="E4270" s="18">
        <v>65.96</v>
      </c>
      <c r="F4270" s="18">
        <v>12.0</v>
      </c>
    </row>
    <row r="4271">
      <c r="A4271" s="6"/>
      <c r="B4271" s="7"/>
      <c r="C4271" s="7"/>
      <c r="D4271" s="7"/>
      <c r="E4271" s="8"/>
      <c r="F4271" s="16" t="s">
        <v>9267</v>
      </c>
    </row>
    <row r="4272">
      <c r="A4272" s="6"/>
      <c r="B4272" s="7"/>
      <c r="C4272" s="7"/>
      <c r="D4272" s="7"/>
      <c r="E4272" s="7"/>
      <c r="F4272" s="8"/>
    </row>
    <row r="4273">
      <c r="A4273" s="6"/>
      <c r="B4273" s="7"/>
      <c r="C4273" s="7"/>
      <c r="D4273" s="7"/>
      <c r="E4273" s="7"/>
      <c r="F4273" s="8"/>
    </row>
    <row r="4274">
      <c r="A4274" s="6"/>
      <c r="B4274" s="7"/>
      <c r="C4274" s="7"/>
      <c r="D4274" s="7"/>
      <c r="E4274" s="7"/>
      <c r="F4274" s="8"/>
    </row>
    <row r="4275">
      <c r="A4275" s="6"/>
      <c r="B4275" s="7"/>
      <c r="C4275" s="7"/>
      <c r="D4275" s="7"/>
      <c r="E4275" s="7"/>
      <c r="F4275" s="8"/>
    </row>
    <row r="4276">
      <c r="A4276" s="9" t="s">
        <v>5582</v>
      </c>
      <c r="B4276" s="10"/>
      <c r="C4276" s="10"/>
      <c r="D4276" s="10"/>
      <c r="E4276" s="10"/>
      <c r="F4276" s="10"/>
    </row>
    <row r="4277">
      <c r="A4277" s="19" t="s">
        <v>5583</v>
      </c>
    </row>
    <row r="4278">
      <c r="A4278" s="6"/>
      <c r="B4278" s="7"/>
      <c r="C4278" s="7"/>
      <c r="D4278" s="8"/>
      <c r="E4278" s="12" t="s">
        <v>5584</v>
      </c>
      <c r="F4278" s="12" t="s">
        <v>9268</v>
      </c>
    </row>
    <row r="4279">
      <c r="A4279" s="20" t="s">
        <v>5522</v>
      </c>
      <c r="B4279" s="16" t="s">
        <v>5523</v>
      </c>
      <c r="C4279" s="16" t="s">
        <v>5524</v>
      </c>
      <c r="D4279" s="16" t="s">
        <v>5525</v>
      </c>
      <c r="E4279" s="16" t="s">
        <v>5526</v>
      </c>
      <c r="F4279" s="16" t="s">
        <v>5586</v>
      </c>
    </row>
    <row r="4280">
      <c r="A4280" s="15">
        <v>35.0</v>
      </c>
      <c r="B4280" s="16" t="s">
        <v>9264</v>
      </c>
      <c r="C4280" s="17" t="s">
        <v>9269</v>
      </c>
      <c r="D4280" s="18">
        <v>97.3</v>
      </c>
      <c r="E4280" s="18">
        <v>135.0</v>
      </c>
      <c r="F4280" s="18">
        <v>12.0</v>
      </c>
    </row>
    <row r="4281">
      <c r="A4281" s="15">
        <v>36.0</v>
      </c>
      <c r="B4281" s="16" t="s">
        <v>9270</v>
      </c>
      <c r="C4281" s="17" t="s">
        <v>5636</v>
      </c>
      <c r="D4281" s="18">
        <v>59.09</v>
      </c>
      <c r="E4281" s="18">
        <v>82.0</v>
      </c>
      <c r="F4281" s="18">
        <v>12.0</v>
      </c>
    </row>
    <row r="4282">
      <c r="A4282" s="15">
        <v>37.0</v>
      </c>
      <c r="B4282" s="16" t="s">
        <v>9271</v>
      </c>
      <c r="C4282" s="17" t="s">
        <v>5765</v>
      </c>
      <c r="D4282" s="18">
        <v>336.02</v>
      </c>
      <c r="E4282" s="18">
        <v>470.42</v>
      </c>
      <c r="F4282" s="18">
        <v>12.0</v>
      </c>
    </row>
    <row r="4283">
      <c r="A4283" s="15">
        <v>38.0</v>
      </c>
      <c r="B4283" s="16" t="s">
        <v>9272</v>
      </c>
      <c r="C4283" s="17" t="s">
        <v>5765</v>
      </c>
      <c r="D4283" s="18">
        <v>589.29</v>
      </c>
      <c r="E4283" s="18">
        <v>825.0</v>
      </c>
      <c r="F4283" s="18">
        <v>12.0</v>
      </c>
    </row>
    <row r="4284">
      <c r="A4284" s="15">
        <v>39.0</v>
      </c>
      <c r="B4284" s="16" t="s">
        <v>9273</v>
      </c>
      <c r="C4284" s="17" t="s">
        <v>5636</v>
      </c>
      <c r="D4284" s="18">
        <v>42.86</v>
      </c>
      <c r="E4284" s="18">
        <v>60.0</v>
      </c>
      <c r="F4284" s="18">
        <v>12.0</v>
      </c>
    </row>
    <row r="4285">
      <c r="A4285" s="15">
        <v>40.0</v>
      </c>
      <c r="B4285" s="16" t="s">
        <v>9274</v>
      </c>
      <c r="C4285" s="17" t="s">
        <v>5550</v>
      </c>
      <c r="D4285" s="18">
        <v>53.57</v>
      </c>
      <c r="E4285" s="18">
        <v>75.0</v>
      </c>
      <c r="F4285" s="18">
        <v>12.0</v>
      </c>
    </row>
    <row r="4286">
      <c r="A4286" s="15">
        <v>41.0</v>
      </c>
      <c r="B4286" s="16" t="s">
        <v>9275</v>
      </c>
      <c r="C4286" s="17" t="s">
        <v>5536</v>
      </c>
      <c r="D4286" s="18">
        <v>53.57</v>
      </c>
      <c r="E4286" s="18">
        <v>75.0</v>
      </c>
      <c r="F4286" s="18">
        <v>12.0</v>
      </c>
    </row>
    <row r="4287">
      <c r="A4287" s="6"/>
      <c r="B4287" s="7"/>
      <c r="C4287" s="7"/>
      <c r="D4287" s="7"/>
      <c r="E4287" s="7"/>
      <c r="F4287" s="8"/>
    </row>
    <row r="4288">
      <c r="A4288" s="9" t="s">
        <v>9276</v>
      </c>
      <c r="B4288" s="10"/>
      <c r="C4288" s="10"/>
      <c r="D4288" s="10"/>
      <c r="E4288" s="10"/>
      <c r="F4288" s="10"/>
    </row>
    <row r="4289">
      <c r="A4289" s="11">
        <v>1.0</v>
      </c>
      <c r="B4289" s="12" t="s">
        <v>9277</v>
      </c>
      <c r="C4289" s="13" t="s">
        <v>5614</v>
      </c>
      <c r="D4289" s="14">
        <v>187.54</v>
      </c>
      <c r="E4289" s="14">
        <v>262.56</v>
      </c>
      <c r="F4289" s="14">
        <v>12.0</v>
      </c>
    </row>
    <row r="4290">
      <c r="A4290" s="15">
        <v>2.0</v>
      </c>
      <c r="B4290" s="16" t="s">
        <v>9278</v>
      </c>
      <c r="C4290" s="17" t="s">
        <v>5614</v>
      </c>
      <c r="D4290" s="18">
        <v>185.72</v>
      </c>
      <c r="E4290" s="18">
        <v>260.0</v>
      </c>
      <c r="F4290" s="18">
        <v>12.0</v>
      </c>
    </row>
    <row r="4291">
      <c r="A4291" s="15">
        <v>3.0</v>
      </c>
      <c r="B4291" s="16" t="s">
        <v>9279</v>
      </c>
      <c r="C4291" s="17" t="s">
        <v>5614</v>
      </c>
      <c r="D4291" s="18">
        <v>142.86</v>
      </c>
      <c r="E4291" s="18">
        <v>200.0</v>
      </c>
      <c r="F4291" s="18">
        <v>12.0</v>
      </c>
    </row>
    <row r="4292">
      <c r="A4292" s="15">
        <v>4.0</v>
      </c>
      <c r="B4292" s="16" t="s">
        <v>9280</v>
      </c>
      <c r="C4292" s="17" t="s">
        <v>5536</v>
      </c>
      <c r="D4292" s="18">
        <v>140.66</v>
      </c>
      <c r="E4292" s="18">
        <v>196.92</v>
      </c>
      <c r="F4292" s="18">
        <v>12.0</v>
      </c>
    </row>
    <row r="4293">
      <c r="A4293" s="15">
        <v>5.0</v>
      </c>
      <c r="B4293" s="16" t="s">
        <v>9281</v>
      </c>
      <c r="C4293" s="17" t="s">
        <v>5536</v>
      </c>
      <c r="D4293" s="18">
        <v>232.14</v>
      </c>
      <c r="E4293" s="18">
        <v>325.0</v>
      </c>
      <c r="F4293" s="18">
        <v>12.0</v>
      </c>
    </row>
    <row r="4294">
      <c r="A4294" s="15">
        <v>6.0</v>
      </c>
      <c r="B4294" s="16" t="s">
        <v>9282</v>
      </c>
      <c r="C4294" s="17" t="s">
        <v>9283</v>
      </c>
      <c r="D4294" s="18">
        <v>150.0</v>
      </c>
      <c r="E4294" s="18">
        <v>210.0</v>
      </c>
      <c r="F4294" s="18">
        <v>12.0</v>
      </c>
    </row>
    <row r="4295">
      <c r="A4295" s="15">
        <v>7.0</v>
      </c>
      <c r="B4295" s="16" t="s">
        <v>9284</v>
      </c>
      <c r="C4295" s="17" t="s">
        <v>9283</v>
      </c>
      <c r="D4295" s="18">
        <v>171.43</v>
      </c>
      <c r="E4295" s="18">
        <v>240.0</v>
      </c>
      <c r="F4295" s="18">
        <v>12.0</v>
      </c>
    </row>
    <row r="4296">
      <c r="A4296" s="15">
        <v>8.0</v>
      </c>
      <c r="B4296" s="16" t="s">
        <v>9285</v>
      </c>
      <c r="C4296" s="17" t="s">
        <v>5536</v>
      </c>
      <c r="D4296" s="18">
        <v>1250.01</v>
      </c>
      <c r="E4296" s="18">
        <v>1750.0</v>
      </c>
      <c r="F4296" s="18">
        <v>12.0</v>
      </c>
    </row>
    <row r="4297">
      <c r="A4297" s="15">
        <v>9.0</v>
      </c>
      <c r="B4297" s="16" t="s">
        <v>9286</v>
      </c>
      <c r="C4297" s="17" t="s">
        <v>5536</v>
      </c>
      <c r="D4297" s="18">
        <v>30.0</v>
      </c>
      <c r="E4297" s="18">
        <v>40.0</v>
      </c>
      <c r="F4297" s="18">
        <v>12.0</v>
      </c>
    </row>
    <row r="4298">
      <c r="A4298" s="15">
        <v>10.0</v>
      </c>
      <c r="B4298" s="16" t="s">
        <v>9287</v>
      </c>
      <c r="C4298" s="17" t="s">
        <v>5536</v>
      </c>
      <c r="D4298" s="18">
        <v>43.5</v>
      </c>
      <c r="E4298" s="18">
        <v>58.0</v>
      </c>
      <c r="F4298" s="18">
        <v>12.0</v>
      </c>
    </row>
    <row r="4299">
      <c r="A4299" s="15">
        <v>11.0</v>
      </c>
      <c r="B4299" s="16" t="s">
        <v>9288</v>
      </c>
      <c r="C4299" s="17" t="s">
        <v>5531</v>
      </c>
      <c r="D4299" s="18">
        <v>46.84</v>
      </c>
      <c r="E4299" s="18">
        <v>65.0</v>
      </c>
      <c r="F4299" s="18">
        <v>12.0</v>
      </c>
    </row>
    <row r="4300">
      <c r="A4300" s="15">
        <v>12.0</v>
      </c>
      <c r="B4300" s="16" t="s">
        <v>9289</v>
      </c>
      <c r="C4300" s="17" t="s">
        <v>9290</v>
      </c>
      <c r="D4300" s="18">
        <v>164.29</v>
      </c>
      <c r="E4300" s="18">
        <v>230.0</v>
      </c>
      <c r="F4300" s="18">
        <v>12.0</v>
      </c>
    </row>
    <row r="4301">
      <c r="A4301" s="15">
        <v>13.0</v>
      </c>
      <c r="B4301" s="16" t="s">
        <v>9289</v>
      </c>
      <c r="C4301" s="17" t="s">
        <v>9291</v>
      </c>
      <c r="D4301" s="18">
        <v>450.0</v>
      </c>
      <c r="E4301" s="18">
        <v>630.0</v>
      </c>
      <c r="F4301" s="18">
        <v>12.0</v>
      </c>
    </row>
    <row r="4302">
      <c r="A4302" s="15">
        <v>14.0</v>
      </c>
      <c r="B4302" s="16" t="s">
        <v>9289</v>
      </c>
      <c r="C4302" s="17" t="s">
        <v>5636</v>
      </c>
      <c r="D4302" s="18">
        <v>132.14</v>
      </c>
      <c r="E4302" s="18">
        <v>185.0</v>
      </c>
      <c r="F4302" s="18">
        <v>12.0</v>
      </c>
    </row>
    <row r="4303">
      <c r="A4303" s="15">
        <v>15.0</v>
      </c>
      <c r="B4303" s="16" t="s">
        <v>9292</v>
      </c>
      <c r="C4303" s="17" t="s">
        <v>5536</v>
      </c>
      <c r="D4303" s="18">
        <v>140.66</v>
      </c>
      <c r="E4303" s="18">
        <v>196.92</v>
      </c>
      <c r="F4303" s="18">
        <v>12.0</v>
      </c>
    </row>
    <row r="4304">
      <c r="A4304" s="15">
        <v>16.0</v>
      </c>
      <c r="B4304" s="16" t="s">
        <v>9293</v>
      </c>
      <c r="C4304" s="17" t="s">
        <v>5536</v>
      </c>
      <c r="D4304" s="18">
        <v>192.86</v>
      </c>
      <c r="E4304" s="18">
        <v>270.0</v>
      </c>
      <c r="F4304" s="18">
        <v>12.0</v>
      </c>
    </row>
    <row r="4305">
      <c r="A4305" s="15">
        <v>17.0</v>
      </c>
      <c r="B4305" s="16" t="s">
        <v>9294</v>
      </c>
      <c r="C4305" s="17" t="s">
        <v>5636</v>
      </c>
      <c r="D4305" s="18">
        <v>171.92</v>
      </c>
      <c r="E4305" s="18">
        <v>240.68</v>
      </c>
      <c r="F4305" s="18">
        <v>12.0</v>
      </c>
    </row>
    <row r="4306">
      <c r="A4306" s="15">
        <v>18.0</v>
      </c>
      <c r="B4306" s="16" t="s">
        <v>9295</v>
      </c>
      <c r="C4306" s="17" t="s">
        <v>5536</v>
      </c>
      <c r="D4306" s="18">
        <v>257.14</v>
      </c>
      <c r="E4306" s="18">
        <v>360.0</v>
      </c>
      <c r="F4306" s="18">
        <v>12.0</v>
      </c>
    </row>
    <row r="4307">
      <c r="A4307" s="15">
        <v>19.0</v>
      </c>
      <c r="B4307" s="16" t="s">
        <v>9296</v>
      </c>
      <c r="C4307" s="17" t="s">
        <v>5636</v>
      </c>
      <c r="D4307" s="18">
        <v>221.43</v>
      </c>
      <c r="E4307" s="18">
        <v>310.0</v>
      </c>
      <c r="F4307" s="18">
        <v>12.0</v>
      </c>
    </row>
    <row r="4308">
      <c r="A4308" s="15">
        <v>20.0</v>
      </c>
      <c r="B4308" s="16" t="s">
        <v>9297</v>
      </c>
      <c r="C4308" s="17" t="s">
        <v>5536</v>
      </c>
      <c r="D4308" s="18">
        <v>214.5</v>
      </c>
      <c r="E4308" s="18">
        <v>300.3</v>
      </c>
      <c r="F4308" s="18">
        <v>12.0</v>
      </c>
    </row>
    <row r="4309">
      <c r="A4309" s="15">
        <v>21.0</v>
      </c>
      <c r="B4309" s="16" t="s">
        <v>9298</v>
      </c>
      <c r="C4309" s="17" t="s">
        <v>5902</v>
      </c>
      <c r="D4309" s="18">
        <v>250.0</v>
      </c>
      <c r="E4309" s="18">
        <v>350.0</v>
      </c>
      <c r="F4309" s="18">
        <v>12.0</v>
      </c>
    </row>
    <row r="4310">
      <c r="A4310" s="6"/>
      <c r="B4310" s="7"/>
      <c r="C4310" s="7"/>
      <c r="D4310" s="7"/>
      <c r="E4310" s="7"/>
      <c r="F4310" s="8"/>
    </row>
    <row r="4311">
      <c r="A4311" s="9" t="s">
        <v>9299</v>
      </c>
      <c r="B4311" s="10"/>
      <c r="C4311" s="10"/>
      <c r="D4311" s="10"/>
      <c r="E4311" s="10"/>
      <c r="F4311" s="10"/>
    </row>
    <row r="4312">
      <c r="A4312" s="11">
        <v>1.0</v>
      </c>
      <c r="B4312" s="12" t="s">
        <v>9300</v>
      </c>
      <c r="C4312" s="13" t="s">
        <v>9301</v>
      </c>
      <c r="D4312" s="14">
        <v>240.0</v>
      </c>
      <c r="E4312" s="14">
        <v>336.0</v>
      </c>
      <c r="F4312" s="14">
        <v>12.0</v>
      </c>
    </row>
    <row r="4313">
      <c r="A4313" s="15">
        <v>2.0</v>
      </c>
      <c r="B4313" s="16" t="s">
        <v>9300</v>
      </c>
      <c r="C4313" s="17" t="s">
        <v>9302</v>
      </c>
      <c r="D4313" s="18">
        <v>137.53</v>
      </c>
      <c r="E4313" s="18">
        <v>192.54</v>
      </c>
      <c r="F4313" s="18">
        <v>12.0</v>
      </c>
    </row>
    <row r="4314">
      <c r="A4314" s="15">
        <v>3.0</v>
      </c>
      <c r="B4314" s="16" t="s">
        <v>9303</v>
      </c>
      <c r="C4314" s="17" t="s">
        <v>5536</v>
      </c>
      <c r="D4314" s="18">
        <v>62.5</v>
      </c>
      <c r="E4314" s="18">
        <v>87.5</v>
      </c>
      <c r="F4314" s="18">
        <v>12.0</v>
      </c>
    </row>
    <row r="4315">
      <c r="A4315" s="15">
        <v>4.0</v>
      </c>
      <c r="B4315" s="16" t="s">
        <v>9304</v>
      </c>
      <c r="C4315" s="17" t="s">
        <v>5536</v>
      </c>
      <c r="D4315" s="18">
        <v>136.79</v>
      </c>
      <c r="E4315" s="18">
        <v>191.5</v>
      </c>
      <c r="F4315" s="18">
        <v>12.0</v>
      </c>
    </row>
    <row r="4316">
      <c r="A4316" s="15">
        <v>5.0</v>
      </c>
      <c r="B4316" s="16" t="s">
        <v>9305</v>
      </c>
      <c r="C4316" s="17" t="s">
        <v>5536</v>
      </c>
      <c r="D4316" s="18">
        <v>257.14</v>
      </c>
      <c r="E4316" s="18">
        <v>360.0</v>
      </c>
      <c r="F4316" s="18">
        <v>12.0</v>
      </c>
    </row>
    <row r="4317">
      <c r="A4317" s="15">
        <v>6.0</v>
      </c>
      <c r="B4317" s="16" t="s">
        <v>9306</v>
      </c>
      <c r="C4317" s="17" t="s">
        <v>5636</v>
      </c>
      <c r="D4317" s="18">
        <v>50.0</v>
      </c>
      <c r="E4317" s="18">
        <v>70.0</v>
      </c>
      <c r="F4317" s="18">
        <v>12.0</v>
      </c>
    </row>
    <row r="4318">
      <c r="A4318" s="15">
        <v>7.0</v>
      </c>
      <c r="B4318" s="16" t="s">
        <v>9307</v>
      </c>
      <c r="C4318" s="17" t="s">
        <v>5536</v>
      </c>
      <c r="D4318" s="18">
        <v>85.71</v>
      </c>
      <c r="E4318" s="18">
        <v>120.0</v>
      </c>
      <c r="F4318" s="18">
        <v>12.0</v>
      </c>
    </row>
    <row r="4319">
      <c r="A4319" s="15">
        <v>8.0</v>
      </c>
      <c r="B4319" s="16" t="s">
        <v>9308</v>
      </c>
      <c r="C4319" s="17" t="s">
        <v>5536</v>
      </c>
      <c r="D4319" s="18">
        <v>107.14</v>
      </c>
      <c r="E4319" s="18">
        <v>150.0</v>
      </c>
      <c r="F4319" s="18">
        <v>12.0</v>
      </c>
    </row>
    <row r="4320">
      <c r="A4320" s="15">
        <v>9.0</v>
      </c>
      <c r="B4320" s="16" t="s">
        <v>9309</v>
      </c>
      <c r="C4320" s="17" t="s">
        <v>5536</v>
      </c>
      <c r="D4320" s="18">
        <v>160.72</v>
      </c>
      <c r="E4320" s="18">
        <v>225.0</v>
      </c>
      <c r="F4320" s="18">
        <v>12.0</v>
      </c>
    </row>
    <row r="4321">
      <c r="A4321" s="15">
        <v>10.0</v>
      </c>
      <c r="B4321" s="16" t="s">
        <v>9310</v>
      </c>
      <c r="C4321" s="17" t="s">
        <v>5536</v>
      </c>
      <c r="D4321" s="18">
        <v>40.71</v>
      </c>
      <c r="E4321" s="18">
        <v>57.0</v>
      </c>
      <c r="F4321" s="18">
        <v>12.0</v>
      </c>
    </row>
    <row r="4322">
      <c r="A4322" s="15">
        <v>11.0</v>
      </c>
      <c r="B4322" s="16" t="s">
        <v>9311</v>
      </c>
      <c r="C4322" s="17" t="s">
        <v>5536</v>
      </c>
      <c r="D4322" s="18">
        <v>70.71</v>
      </c>
      <c r="E4322" s="18">
        <v>99.0</v>
      </c>
      <c r="F4322" s="18">
        <v>12.0</v>
      </c>
    </row>
    <row r="4323">
      <c r="A4323" s="15">
        <v>12.0</v>
      </c>
      <c r="B4323" s="16" t="s">
        <v>9312</v>
      </c>
      <c r="C4323" s="17" t="s">
        <v>5580</v>
      </c>
      <c r="D4323" s="18">
        <v>52.14</v>
      </c>
      <c r="E4323" s="18">
        <v>73.0</v>
      </c>
      <c r="F4323" s="18">
        <v>12.0</v>
      </c>
    </row>
    <row r="4324">
      <c r="A4324" s="15">
        <v>13.0</v>
      </c>
      <c r="B4324" s="16" t="s">
        <v>9312</v>
      </c>
      <c r="C4324" s="17" t="s">
        <v>5665</v>
      </c>
      <c r="D4324" s="18">
        <v>85.71</v>
      </c>
      <c r="E4324" s="18">
        <v>120.0</v>
      </c>
      <c r="F4324" s="18">
        <v>12.0</v>
      </c>
    </row>
    <row r="4325">
      <c r="A4325" s="15">
        <v>14.0</v>
      </c>
      <c r="B4325" s="16" t="s">
        <v>9313</v>
      </c>
      <c r="C4325" s="17" t="s">
        <v>5536</v>
      </c>
      <c r="D4325" s="18">
        <v>60.96</v>
      </c>
      <c r="E4325" s="18">
        <v>81.28</v>
      </c>
      <c r="F4325" s="18">
        <v>12.0</v>
      </c>
    </row>
    <row r="4326">
      <c r="A4326" s="15">
        <v>15.0</v>
      </c>
      <c r="B4326" s="16" t="s">
        <v>9314</v>
      </c>
      <c r="C4326" s="17" t="s">
        <v>5536</v>
      </c>
      <c r="D4326" s="18">
        <v>27.39</v>
      </c>
      <c r="E4326" s="18">
        <v>38.0</v>
      </c>
      <c r="F4326" s="18">
        <v>12.0</v>
      </c>
    </row>
    <row r="4327">
      <c r="A4327" s="15">
        <v>16.0</v>
      </c>
      <c r="B4327" s="16" t="s">
        <v>9315</v>
      </c>
      <c r="C4327" s="17" t="s">
        <v>5657</v>
      </c>
      <c r="D4327" s="18">
        <v>64.47</v>
      </c>
      <c r="E4327" s="18">
        <v>90.26</v>
      </c>
      <c r="F4327" s="18">
        <v>12.0</v>
      </c>
    </row>
    <row r="4328">
      <c r="A4328" s="15">
        <v>17.0</v>
      </c>
      <c r="B4328" s="16" t="s">
        <v>9316</v>
      </c>
      <c r="C4328" s="17" t="s">
        <v>9317</v>
      </c>
      <c r="D4328" s="18">
        <v>57.14</v>
      </c>
      <c r="E4328" s="18">
        <v>80.0</v>
      </c>
      <c r="F4328" s="18">
        <v>12.0</v>
      </c>
    </row>
    <row r="4329">
      <c r="A4329" s="15">
        <v>18.0</v>
      </c>
      <c r="B4329" s="16" t="s">
        <v>3520</v>
      </c>
      <c r="C4329" s="16" t="s">
        <v>5558</v>
      </c>
      <c r="D4329" s="18">
        <v>121.43</v>
      </c>
      <c r="E4329" s="18">
        <v>170.0</v>
      </c>
      <c r="F4329" s="18">
        <v>12.0</v>
      </c>
    </row>
    <row r="4330">
      <c r="A4330" s="15">
        <v>19.0</v>
      </c>
      <c r="B4330" s="16" t="s">
        <v>9318</v>
      </c>
      <c r="C4330" s="17" t="s">
        <v>5536</v>
      </c>
      <c r="D4330" s="18">
        <v>46.08</v>
      </c>
      <c r="E4330" s="18">
        <v>61.44</v>
      </c>
      <c r="F4330" s="18">
        <v>12.0</v>
      </c>
    </row>
    <row r="4331">
      <c r="A4331" s="15">
        <v>20.0</v>
      </c>
      <c r="B4331" s="16" t="s">
        <v>9319</v>
      </c>
      <c r="C4331" s="17" t="s">
        <v>5536</v>
      </c>
      <c r="D4331" s="18">
        <v>93.0</v>
      </c>
      <c r="E4331" s="18">
        <v>124.0</v>
      </c>
      <c r="F4331" s="18">
        <v>12.0</v>
      </c>
    </row>
    <row r="4332">
      <c r="A4332" s="15">
        <v>21.0</v>
      </c>
      <c r="B4332" s="16" t="s">
        <v>9320</v>
      </c>
      <c r="C4332" s="17" t="s">
        <v>5768</v>
      </c>
      <c r="D4332" s="18">
        <v>287.25</v>
      </c>
      <c r="E4332" s="18">
        <v>383.0</v>
      </c>
      <c r="F4332" s="18">
        <v>12.0</v>
      </c>
    </row>
    <row r="4333">
      <c r="A4333" s="15">
        <v>22.0</v>
      </c>
      <c r="B4333" s="16" t="s">
        <v>9321</v>
      </c>
      <c r="C4333" s="17" t="s">
        <v>5536</v>
      </c>
      <c r="D4333" s="18">
        <v>114.29</v>
      </c>
      <c r="E4333" s="18">
        <v>160.0</v>
      </c>
      <c r="F4333" s="18">
        <v>12.0</v>
      </c>
    </row>
    <row r="4334">
      <c r="A4334" s="15">
        <v>23.0</v>
      </c>
      <c r="B4334" s="16" t="s">
        <v>9322</v>
      </c>
      <c r="C4334" s="17" t="s">
        <v>5536</v>
      </c>
      <c r="D4334" s="18">
        <v>212.86</v>
      </c>
      <c r="E4334" s="18">
        <v>298.0</v>
      </c>
      <c r="F4334" s="18">
        <v>12.0</v>
      </c>
    </row>
    <row r="4335">
      <c r="A4335" s="15">
        <v>24.0</v>
      </c>
      <c r="B4335" s="16" t="s">
        <v>9323</v>
      </c>
      <c r="C4335" s="17" t="s">
        <v>5902</v>
      </c>
      <c r="D4335" s="18">
        <v>1160.72</v>
      </c>
      <c r="E4335" s="18">
        <v>1625.0</v>
      </c>
      <c r="F4335" s="18">
        <v>12.0</v>
      </c>
    </row>
    <row r="4336">
      <c r="A4336" s="15">
        <v>25.0</v>
      </c>
      <c r="B4336" s="16" t="s">
        <v>9324</v>
      </c>
      <c r="C4336" s="17" t="s">
        <v>5636</v>
      </c>
      <c r="D4336" s="18">
        <v>1160.72</v>
      </c>
      <c r="E4336" s="18">
        <v>1625.0</v>
      </c>
      <c r="F4336" s="18">
        <v>12.0</v>
      </c>
    </row>
    <row r="4337">
      <c r="A4337" s="15">
        <v>26.0</v>
      </c>
      <c r="B4337" s="16" t="s">
        <v>9325</v>
      </c>
      <c r="C4337" s="17" t="s">
        <v>5580</v>
      </c>
      <c r="D4337" s="18">
        <v>39.29</v>
      </c>
      <c r="E4337" s="18">
        <v>55.0</v>
      </c>
      <c r="F4337" s="18">
        <v>12.0</v>
      </c>
    </row>
    <row r="4338">
      <c r="A4338" s="15">
        <v>27.0</v>
      </c>
      <c r="B4338" s="16" t="s">
        <v>9325</v>
      </c>
      <c r="C4338" s="17" t="s">
        <v>5665</v>
      </c>
      <c r="D4338" s="18">
        <v>50.0</v>
      </c>
      <c r="E4338" s="18">
        <v>70.0</v>
      </c>
      <c r="F4338" s="18">
        <v>12.0</v>
      </c>
    </row>
    <row r="4339">
      <c r="A4339" s="15">
        <v>28.0</v>
      </c>
      <c r="B4339" s="16" t="s">
        <v>9326</v>
      </c>
      <c r="C4339" s="17" t="s">
        <v>5636</v>
      </c>
      <c r="D4339" s="18">
        <v>45.76</v>
      </c>
      <c r="E4339" s="18">
        <v>64.06</v>
      </c>
      <c r="F4339" s="18">
        <v>12.0</v>
      </c>
    </row>
    <row r="4340">
      <c r="A4340" s="15">
        <v>29.0</v>
      </c>
      <c r="B4340" s="16" t="s">
        <v>9327</v>
      </c>
      <c r="C4340" s="17" t="s">
        <v>5636</v>
      </c>
      <c r="D4340" s="18">
        <v>72.86</v>
      </c>
      <c r="E4340" s="18">
        <v>102.0</v>
      </c>
      <c r="F4340" s="18">
        <v>12.0</v>
      </c>
    </row>
    <row r="4341">
      <c r="A4341" s="6"/>
      <c r="B4341" s="7"/>
      <c r="C4341" s="7"/>
      <c r="D4341" s="7"/>
      <c r="E4341" s="8"/>
      <c r="F4341" s="16" t="s">
        <v>9328</v>
      </c>
    </row>
    <row r="4342">
      <c r="A4342" s="6"/>
      <c r="B4342" s="7"/>
      <c r="C4342" s="7"/>
      <c r="D4342" s="7"/>
      <c r="E4342" s="7"/>
      <c r="F4342" s="8"/>
    </row>
    <row r="4343">
      <c r="A4343" s="6"/>
      <c r="B4343" s="7"/>
      <c r="C4343" s="7"/>
      <c r="D4343" s="7"/>
      <c r="E4343" s="7"/>
      <c r="F4343" s="8"/>
    </row>
    <row r="4344">
      <c r="A4344" s="6"/>
      <c r="B4344" s="7"/>
      <c r="C4344" s="7"/>
      <c r="D4344" s="7"/>
      <c r="E4344" s="7"/>
      <c r="F4344" s="8"/>
    </row>
    <row r="4345">
      <c r="A4345" s="6"/>
      <c r="B4345" s="7"/>
      <c r="C4345" s="7"/>
      <c r="D4345" s="7"/>
      <c r="E4345" s="7"/>
      <c r="F4345" s="8"/>
    </row>
    <row r="4346">
      <c r="A4346" s="9" t="s">
        <v>5582</v>
      </c>
      <c r="B4346" s="10"/>
      <c r="C4346" s="10"/>
      <c r="D4346" s="10"/>
      <c r="E4346" s="10"/>
      <c r="F4346" s="10"/>
    </row>
    <row r="4347">
      <c r="A4347" s="19" t="s">
        <v>5583</v>
      </c>
    </row>
    <row r="4348">
      <c r="A4348" s="6"/>
      <c r="B4348" s="7"/>
      <c r="C4348" s="7"/>
      <c r="D4348" s="8"/>
      <c r="E4348" s="12" t="s">
        <v>5584</v>
      </c>
      <c r="F4348" s="12" t="s">
        <v>9329</v>
      </c>
    </row>
    <row r="4349">
      <c r="A4349" s="20" t="s">
        <v>5522</v>
      </c>
      <c r="B4349" s="16" t="s">
        <v>5523</v>
      </c>
      <c r="C4349" s="16" t="s">
        <v>5524</v>
      </c>
      <c r="D4349" s="16" t="s">
        <v>5525</v>
      </c>
      <c r="E4349" s="16" t="s">
        <v>5526</v>
      </c>
      <c r="F4349" s="16" t="s">
        <v>5586</v>
      </c>
    </row>
    <row r="4350">
      <c r="A4350" s="15">
        <v>30.0</v>
      </c>
      <c r="B4350" s="16" t="s">
        <v>9330</v>
      </c>
      <c r="C4350" s="17" t="s">
        <v>5536</v>
      </c>
      <c r="D4350" s="18">
        <v>21.43</v>
      </c>
      <c r="E4350" s="18">
        <v>30.0</v>
      </c>
      <c r="F4350" s="18">
        <v>12.0</v>
      </c>
    </row>
    <row r="4351">
      <c r="A4351" s="15">
        <v>31.0</v>
      </c>
      <c r="B4351" s="16" t="s">
        <v>9331</v>
      </c>
      <c r="C4351" s="17" t="s">
        <v>5636</v>
      </c>
      <c r="D4351" s="18">
        <v>24.88</v>
      </c>
      <c r="E4351" s="18">
        <v>34.83</v>
      </c>
      <c r="F4351" s="18">
        <v>12.0</v>
      </c>
    </row>
    <row r="4352">
      <c r="A4352" s="15">
        <v>32.0</v>
      </c>
      <c r="B4352" s="16" t="s">
        <v>9332</v>
      </c>
      <c r="C4352" s="17" t="s">
        <v>5536</v>
      </c>
      <c r="D4352" s="18">
        <v>49.29</v>
      </c>
      <c r="E4352" s="18">
        <v>69.0</v>
      </c>
      <c r="F4352" s="18">
        <v>12.0</v>
      </c>
    </row>
    <row r="4353">
      <c r="A4353" s="15">
        <v>33.0</v>
      </c>
      <c r="B4353" s="16" t="s">
        <v>9333</v>
      </c>
      <c r="C4353" s="17" t="s">
        <v>5636</v>
      </c>
      <c r="D4353" s="18">
        <v>17.86</v>
      </c>
      <c r="E4353" s="18">
        <v>25.0</v>
      </c>
      <c r="F4353" s="18">
        <v>12.0</v>
      </c>
    </row>
    <row r="4354">
      <c r="A4354" s="15">
        <v>34.0</v>
      </c>
      <c r="B4354" s="16" t="s">
        <v>9334</v>
      </c>
      <c r="C4354" s="17" t="s">
        <v>5636</v>
      </c>
      <c r="D4354" s="18">
        <v>30.0</v>
      </c>
      <c r="E4354" s="18">
        <v>42.0</v>
      </c>
      <c r="F4354" s="18">
        <v>12.0</v>
      </c>
    </row>
    <row r="4355">
      <c r="A4355" s="15">
        <v>35.0</v>
      </c>
      <c r="B4355" s="16" t="s">
        <v>9335</v>
      </c>
      <c r="C4355" s="17" t="s">
        <v>5636</v>
      </c>
      <c r="D4355" s="18">
        <v>40.71</v>
      </c>
      <c r="E4355" s="18">
        <v>57.0</v>
      </c>
      <c r="F4355" s="18">
        <v>12.0</v>
      </c>
    </row>
    <row r="4356">
      <c r="A4356" s="15">
        <v>36.0</v>
      </c>
      <c r="B4356" s="16" t="s">
        <v>9336</v>
      </c>
      <c r="C4356" s="17" t="s">
        <v>5536</v>
      </c>
      <c r="D4356" s="18">
        <v>89.29</v>
      </c>
      <c r="E4356" s="18">
        <v>125.0</v>
      </c>
      <c r="F4356" s="18">
        <v>12.0</v>
      </c>
    </row>
    <row r="4357">
      <c r="A4357" s="15">
        <v>37.0</v>
      </c>
      <c r="B4357" s="16" t="s">
        <v>9337</v>
      </c>
      <c r="C4357" s="17" t="s">
        <v>5536</v>
      </c>
      <c r="D4357" s="18">
        <v>34.29</v>
      </c>
      <c r="E4357" s="18">
        <v>48.0</v>
      </c>
      <c r="F4357" s="18">
        <v>12.0</v>
      </c>
    </row>
    <row r="4358">
      <c r="A4358" s="15">
        <v>38.0</v>
      </c>
      <c r="B4358" s="16" t="s">
        <v>9338</v>
      </c>
      <c r="C4358" s="17" t="s">
        <v>5536</v>
      </c>
      <c r="D4358" s="18">
        <v>59.29</v>
      </c>
      <c r="E4358" s="18">
        <v>83.0</v>
      </c>
      <c r="F4358" s="18">
        <v>12.0</v>
      </c>
    </row>
    <row r="4359">
      <c r="A4359" s="15">
        <v>39.0</v>
      </c>
      <c r="B4359" s="16" t="s">
        <v>9339</v>
      </c>
      <c r="C4359" s="17" t="s">
        <v>5818</v>
      </c>
      <c r="D4359" s="18">
        <v>178.95</v>
      </c>
      <c r="E4359" s="18">
        <v>250.53</v>
      </c>
      <c r="F4359" s="18">
        <v>12.0</v>
      </c>
    </row>
    <row r="4360">
      <c r="A4360" s="15">
        <v>40.0</v>
      </c>
      <c r="B4360" s="16" t="s">
        <v>9339</v>
      </c>
      <c r="C4360" s="17" t="s">
        <v>6020</v>
      </c>
      <c r="D4360" s="18">
        <v>152.38</v>
      </c>
      <c r="E4360" s="18">
        <v>213.33</v>
      </c>
      <c r="F4360" s="18">
        <v>12.0</v>
      </c>
    </row>
    <row r="4361">
      <c r="A4361" s="15">
        <v>41.0</v>
      </c>
      <c r="B4361" s="16" t="s">
        <v>9340</v>
      </c>
      <c r="C4361" s="17" t="s">
        <v>9341</v>
      </c>
      <c r="D4361" s="18">
        <v>163.57</v>
      </c>
      <c r="E4361" s="18">
        <v>229.0</v>
      </c>
      <c r="F4361" s="18">
        <v>12.0</v>
      </c>
    </row>
    <row r="4362">
      <c r="A4362" s="15">
        <v>42.0</v>
      </c>
      <c r="B4362" s="16" t="s">
        <v>9340</v>
      </c>
      <c r="C4362" s="17" t="s">
        <v>9342</v>
      </c>
      <c r="D4362" s="18">
        <v>127.5</v>
      </c>
      <c r="E4362" s="18">
        <v>178.5</v>
      </c>
      <c r="F4362" s="18">
        <v>12.0</v>
      </c>
    </row>
    <row r="4363">
      <c r="A4363" s="15">
        <v>43.0</v>
      </c>
      <c r="B4363" s="16" t="s">
        <v>3545</v>
      </c>
      <c r="C4363" s="16" t="s">
        <v>5558</v>
      </c>
      <c r="D4363" s="18">
        <v>85.78</v>
      </c>
      <c r="E4363" s="18">
        <v>119.0</v>
      </c>
      <c r="F4363" s="18">
        <v>12.0</v>
      </c>
    </row>
    <row r="4364">
      <c r="A4364" s="15">
        <v>44.0</v>
      </c>
      <c r="B4364" s="16" t="s">
        <v>9343</v>
      </c>
      <c r="C4364" s="17" t="s">
        <v>9344</v>
      </c>
      <c r="D4364" s="18">
        <v>890.83</v>
      </c>
      <c r="E4364" s="18">
        <v>1247.16</v>
      </c>
      <c r="F4364" s="18">
        <v>12.0</v>
      </c>
    </row>
    <row r="4365">
      <c r="A4365" s="15">
        <v>45.0</v>
      </c>
      <c r="B4365" s="16" t="s">
        <v>9345</v>
      </c>
      <c r="C4365" s="17" t="s">
        <v>5636</v>
      </c>
      <c r="D4365" s="18">
        <v>428.57</v>
      </c>
      <c r="E4365" s="18">
        <v>600.0</v>
      </c>
      <c r="F4365" s="18">
        <v>12.0</v>
      </c>
    </row>
    <row r="4366">
      <c r="A4366" s="15">
        <v>46.0</v>
      </c>
      <c r="B4366" s="16" t="s">
        <v>9346</v>
      </c>
      <c r="C4366" s="17" t="s">
        <v>5968</v>
      </c>
      <c r="D4366" s="18">
        <v>169.38</v>
      </c>
      <c r="E4366" s="18">
        <v>235.0</v>
      </c>
      <c r="F4366" s="18">
        <v>12.0</v>
      </c>
    </row>
    <row r="4367">
      <c r="A4367" s="15">
        <v>47.0</v>
      </c>
      <c r="B4367" s="16" t="s">
        <v>9347</v>
      </c>
      <c r="C4367" s="17" t="s">
        <v>5765</v>
      </c>
      <c r="D4367" s="18">
        <v>336.02</v>
      </c>
      <c r="E4367" s="18">
        <v>470.42</v>
      </c>
      <c r="F4367" s="18">
        <v>12.0</v>
      </c>
    </row>
    <row r="4368">
      <c r="A4368" s="15">
        <v>48.0</v>
      </c>
      <c r="B4368" s="16" t="s">
        <v>9348</v>
      </c>
      <c r="C4368" s="17" t="s">
        <v>5765</v>
      </c>
      <c r="D4368" s="18">
        <v>544.88</v>
      </c>
      <c r="E4368" s="18">
        <v>756.0</v>
      </c>
      <c r="F4368" s="18">
        <v>12.0</v>
      </c>
    </row>
    <row r="4369">
      <c r="A4369" s="15">
        <v>49.0</v>
      </c>
      <c r="B4369" s="16" t="s">
        <v>9349</v>
      </c>
      <c r="C4369" s="17" t="s">
        <v>5536</v>
      </c>
      <c r="D4369" s="18">
        <v>101.59</v>
      </c>
      <c r="E4369" s="18">
        <v>142.22</v>
      </c>
      <c r="F4369" s="18">
        <v>12.0</v>
      </c>
    </row>
    <row r="4370">
      <c r="A4370" s="15">
        <v>50.0</v>
      </c>
      <c r="B4370" s="16" t="s">
        <v>9350</v>
      </c>
      <c r="C4370" s="17" t="s">
        <v>5536</v>
      </c>
      <c r="D4370" s="18">
        <v>164.1</v>
      </c>
      <c r="E4370" s="18">
        <v>229.74</v>
      </c>
      <c r="F4370" s="18">
        <v>12.0</v>
      </c>
    </row>
    <row r="4371">
      <c r="A4371" s="15">
        <v>51.0</v>
      </c>
      <c r="B4371" s="16" t="s">
        <v>3553</v>
      </c>
      <c r="C4371" s="16" t="s">
        <v>5679</v>
      </c>
      <c r="D4371" s="18">
        <v>127.76</v>
      </c>
      <c r="E4371" s="18">
        <v>178.87</v>
      </c>
      <c r="F4371" s="18">
        <v>12.0</v>
      </c>
    </row>
    <row r="4372">
      <c r="A4372" s="6"/>
      <c r="B4372" s="7"/>
      <c r="C4372" s="7"/>
      <c r="D4372" s="7"/>
      <c r="E4372" s="7"/>
      <c r="F4372" s="8"/>
    </row>
    <row r="4373">
      <c r="A4373" s="9" t="s">
        <v>9351</v>
      </c>
      <c r="B4373" s="10"/>
      <c r="C4373" s="10"/>
      <c r="D4373" s="10"/>
      <c r="E4373" s="10"/>
      <c r="F4373" s="10"/>
    </row>
    <row r="4374">
      <c r="A4374" s="11">
        <v>1.0</v>
      </c>
      <c r="B4374" s="12" t="s">
        <v>9352</v>
      </c>
      <c r="C4374" s="13" t="s">
        <v>5736</v>
      </c>
      <c r="D4374" s="14">
        <v>170.71</v>
      </c>
      <c r="E4374" s="14">
        <v>239.0</v>
      </c>
      <c r="F4374" s="14">
        <v>12.0</v>
      </c>
    </row>
    <row r="4375">
      <c r="A4375" s="15">
        <v>2.0</v>
      </c>
      <c r="B4375" s="16" t="s">
        <v>9353</v>
      </c>
      <c r="C4375" s="17" t="s">
        <v>5562</v>
      </c>
      <c r="D4375" s="18">
        <v>103.57</v>
      </c>
      <c r="E4375" s="18">
        <v>145.0</v>
      </c>
      <c r="F4375" s="18">
        <v>12.0</v>
      </c>
    </row>
    <row r="4376">
      <c r="A4376" s="15">
        <v>3.0</v>
      </c>
      <c r="B4376" s="16" t="s">
        <v>9354</v>
      </c>
      <c r="C4376" s="17" t="s">
        <v>5562</v>
      </c>
      <c r="D4376" s="18">
        <v>150.0</v>
      </c>
      <c r="E4376" s="18">
        <v>210.0</v>
      </c>
      <c r="F4376" s="18">
        <v>12.0</v>
      </c>
    </row>
    <row r="4377">
      <c r="A4377" s="15">
        <v>4.0</v>
      </c>
      <c r="B4377" s="16" t="s">
        <v>9355</v>
      </c>
      <c r="C4377" s="17" t="s">
        <v>9356</v>
      </c>
      <c r="D4377" s="18">
        <v>114.29</v>
      </c>
      <c r="E4377" s="18">
        <v>160.0</v>
      </c>
      <c r="F4377" s="18">
        <v>12.0</v>
      </c>
    </row>
    <row r="4378">
      <c r="A4378" s="15">
        <v>5.0</v>
      </c>
      <c r="B4378" s="16" t="s">
        <v>9357</v>
      </c>
      <c r="C4378" s="17" t="s">
        <v>5536</v>
      </c>
      <c r="D4378" s="18">
        <v>192.86</v>
      </c>
      <c r="E4378" s="18">
        <v>270.0</v>
      </c>
      <c r="F4378" s="18">
        <v>12.0</v>
      </c>
    </row>
    <row r="4379">
      <c r="A4379" s="15">
        <v>6.0</v>
      </c>
      <c r="B4379" s="16" t="s">
        <v>9355</v>
      </c>
      <c r="C4379" s="17" t="s">
        <v>9358</v>
      </c>
      <c r="D4379" s="18">
        <v>250.0</v>
      </c>
      <c r="E4379" s="18">
        <v>350.0</v>
      </c>
      <c r="F4379" s="18">
        <v>12.0</v>
      </c>
    </row>
    <row r="4380">
      <c r="A4380" s="15">
        <v>7.0</v>
      </c>
      <c r="B4380" s="16" t="s">
        <v>9359</v>
      </c>
      <c r="C4380" s="17" t="s">
        <v>5536</v>
      </c>
      <c r="D4380" s="18">
        <v>247.5</v>
      </c>
      <c r="E4380" s="18">
        <v>330.0</v>
      </c>
      <c r="F4380" s="18">
        <v>12.0</v>
      </c>
    </row>
    <row r="4381">
      <c r="A4381" s="15">
        <v>8.0</v>
      </c>
      <c r="B4381" s="16" t="s">
        <v>9360</v>
      </c>
      <c r="C4381" s="17" t="s">
        <v>5536</v>
      </c>
      <c r="D4381" s="18">
        <v>50.71</v>
      </c>
      <c r="E4381" s="18">
        <v>71.0</v>
      </c>
      <c r="F4381" s="18">
        <v>12.0</v>
      </c>
    </row>
    <row r="4382">
      <c r="A4382" s="15">
        <v>9.0</v>
      </c>
      <c r="B4382" s="16" t="s">
        <v>9361</v>
      </c>
      <c r="C4382" s="17" t="s">
        <v>5536</v>
      </c>
      <c r="D4382" s="18">
        <v>85.71</v>
      </c>
      <c r="E4382" s="18">
        <v>120.0</v>
      </c>
      <c r="F4382" s="18">
        <v>12.0</v>
      </c>
    </row>
    <row r="4383">
      <c r="A4383" s="15">
        <v>10.0</v>
      </c>
      <c r="B4383" s="16" t="s">
        <v>9362</v>
      </c>
      <c r="C4383" s="17" t="s">
        <v>5922</v>
      </c>
      <c r="D4383" s="18">
        <v>182.86</v>
      </c>
      <c r="E4383" s="18">
        <v>256.0</v>
      </c>
      <c r="F4383" s="18">
        <v>12.0</v>
      </c>
    </row>
    <row r="4384">
      <c r="A4384" s="15">
        <v>11.0</v>
      </c>
      <c r="B4384" s="16" t="s">
        <v>9363</v>
      </c>
      <c r="C4384" s="16" t="s">
        <v>6176</v>
      </c>
      <c r="D4384" s="18">
        <v>200.0</v>
      </c>
      <c r="E4384" s="18">
        <v>280.0</v>
      </c>
      <c r="F4384" s="18">
        <v>12.0</v>
      </c>
    </row>
    <row r="4385">
      <c r="A4385" s="15">
        <v>12.0</v>
      </c>
      <c r="B4385" s="16" t="s">
        <v>3566</v>
      </c>
      <c r="C4385" s="16" t="s">
        <v>5679</v>
      </c>
      <c r="D4385" s="18">
        <v>129.72</v>
      </c>
      <c r="E4385" s="18">
        <v>180.0</v>
      </c>
      <c r="F4385" s="18">
        <v>12.0</v>
      </c>
    </row>
    <row r="4386">
      <c r="A4386" s="15">
        <v>13.0</v>
      </c>
      <c r="B4386" s="16" t="s">
        <v>3567</v>
      </c>
      <c r="C4386" s="16" t="s">
        <v>5679</v>
      </c>
      <c r="D4386" s="18">
        <v>101.43</v>
      </c>
      <c r="E4386" s="18">
        <v>142.0</v>
      </c>
      <c r="F4386" s="18">
        <v>12.0</v>
      </c>
    </row>
    <row r="4387">
      <c r="A4387" s="15">
        <v>14.0</v>
      </c>
      <c r="B4387" s="16" t="s">
        <v>9364</v>
      </c>
      <c r="C4387" s="17" t="s">
        <v>5562</v>
      </c>
      <c r="D4387" s="18">
        <v>220.34</v>
      </c>
      <c r="E4387" s="18">
        <v>325.0</v>
      </c>
      <c r="F4387" s="18">
        <v>18.0</v>
      </c>
    </row>
    <row r="4388">
      <c r="A4388" s="15">
        <v>15.0</v>
      </c>
      <c r="B4388" s="16" t="s">
        <v>9365</v>
      </c>
      <c r="C4388" s="17" t="s">
        <v>5562</v>
      </c>
      <c r="D4388" s="18">
        <v>406.78</v>
      </c>
      <c r="E4388" s="18">
        <v>600.0</v>
      </c>
      <c r="F4388" s="18">
        <v>18.0</v>
      </c>
    </row>
    <row r="4389">
      <c r="A4389" s="15">
        <v>16.0</v>
      </c>
      <c r="B4389" s="16" t="s">
        <v>9366</v>
      </c>
      <c r="C4389" s="17" t="s">
        <v>5536</v>
      </c>
      <c r="D4389" s="18">
        <v>89.29</v>
      </c>
      <c r="E4389" s="18">
        <v>125.0</v>
      </c>
      <c r="F4389" s="18">
        <v>12.0</v>
      </c>
    </row>
    <row r="4390">
      <c r="A4390" s="15">
        <v>17.0</v>
      </c>
      <c r="B4390" s="16" t="s">
        <v>9367</v>
      </c>
      <c r="C4390" s="17" t="s">
        <v>5536</v>
      </c>
      <c r="D4390" s="18">
        <v>178.57</v>
      </c>
      <c r="E4390" s="18">
        <v>250.0</v>
      </c>
      <c r="F4390" s="18">
        <v>12.0</v>
      </c>
    </row>
    <row r="4391">
      <c r="A4391" s="15">
        <v>18.0</v>
      </c>
      <c r="B4391" s="16" t="s">
        <v>9368</v>
      </c>
      <c r="C4391" s="17" t="s">
        <v>5536</v>
      </c>
      <c r="D4391" s="18">
        <v>232.14</v>
      </c>
      <c r="E4391" s="18">
        <v>325.0</v>
      </c>
      <c r="F4391" s="18">
        <v>12.0</v>
      </c>
    </row>
    <row r="4392">
      <c r="A4392" s="15">
        <v>19.0</v>
      </c>
      <c r="B4392" s="16" t="s">
        <v>9369</v>
      </c>
      <c r="C4392" s="17" t="s">
        <v>5636</v>
      </c>
      <c r="D4392" s="18">
        <v>115.32</v>
      </c>
      <c r="E4392" s="18">
        <v>160.0</v>
      </c>
      <c r="F4392" s="18">
        <v>12.0</v>
      </c>
    </row>
    <row r="4393">
      <c r="A4393" s="15">
        <v>20.0</v>
      </c>
      <c r="B4393" s="16" t="s">
        <v>9370</v>
      </c>
      <c r="C4393" s="17" t="s">
        <v>5636</v>
      </c>
      <c r="D4393" s="18">
        <v>100.9</v>
      </c>
      <c r="E4393" s="18">
        <v>140.0</v>
      </c>
      <c r="F4393" s="18">
        <v>12.0</v>
      </c>
    </row>
    <row r="4394">
      <c r="A4394" s="15">
        <v>21.0</v>
      </c>
      <c r="B4394" s="16" t="s">
        <v>9371</v>
      </c>
      <c r="C4394" s="17" t="s">
        <v>5562</v>
      </c>
      <c r="D4394" s="18">
        <v>259.59</v>
      </c>
      <c r="E4394" s="18">
        <v>382.9</v>
      </c>
      <c r="F4394" s="18">
        <v>18.0</v>
      </c>
    </row>
    <row r="4395">
      <c r="A4395" s="15">
        <v>22.0</v>
      </c>
      <c r="B4395" s="16" t="s">
        <v>9372</v>
      </c>
      <c r="C4395" s="17" t="s">
        <v>5536</v>
      </c>
      <c r="D4395" s="18">
        <v>148.5</v>
      </c>
      <c r="E4395" s="18">
        <v>207.9</v>
      </c>
      <c r="F4395" s="18">
        <v>12.0</v>
      </c>
    </row>
    <row r="4396">
      <c r="A4396" s="15">
        <v>23.0</v>
      </c>
      <c r="B4396" s="16" t="s">
        <v>9373</v>
      </c>
      <c r="C4396" s="17" t="s">
        <v>5636</v>
      </c>
      <c r="D4396" s="18">
        <v>85.0</v>
      </c>
      <c r="E4396" s="18">
        <v>119.0</v>
      </c>
      <c r="F4396" s="18">
        <v>12.0</v>
      </c>
    </row>
    <row r="4397">
      <c r="A4397" s="15">
        <v>24.0</v>
      </c>
      <c r="B4397" s="16" t="s">
        <v>9373</v>
      </c>
      <c r="C4397" s="17" t="s">
        <v>5603</v>
      </c>
      <c r="D4397" s="18">
        <v>139.49</v>
      </c>
      <c r="E4397" s="18">
        <v>195.28</v>
      </c>
      <c r="F4397" s="18">
        <v>12.0</v>
      </c>
    </row>
    <row r="4398">
      <c r="A4398" s="15">
        <v>25.0</v>
      </c>
      <c r="B4398" s="16" t="s">
        <v>9374</v>
      </c>
      <c r="C4398" s="17" t="s">
        <v>5636</v>
      </c>
      <c r="D4398" s="18">
        <v>108.57</v>
      </c>
      <c r="E4398" s="18">
        <v>152.0</v>
      </c>
      <c r="F4398" s="18">
        <v>12.0</v>
      </c>
    </row>
    <row r="4399">
      <c r="A4399" s="15">
        <v>26.0</v>
      </c>
      <c r="B4399" s="16" t="s">
        <v>9375</v>
      </c>
      <c r="C4399" s="16" t="s">
        <v>301</v>
      </c>
      <c r="D4399" s="18">
        <v>46.84</v>
      </c>
      <c r="E4399" s="18">
        <v>65.0</v>
      </c>
      <c r="F4399" s="18">
        <v>12.0</v>
      </c>
    </row>
    <row r="4400">
      <c r="A4400" s="15">
        <v>27.0</v>
      </c>
      <c r="B4400" s="16" t="s">
        <v>9376</v>
      </c>
      <c r="C4400" s="17" t="s">
        <v>5818</v>
      </c>
      <c r="D4400" s="18">
        <v>148.5</v>
      </c>
      <c r="E4400" s="18">
        <v>207.9</v>
      </c>
      <c r="F4400" s="18">
        <v>12.0</v>
      </c>
    </row>
    <row r="4401">
      <c r="A4401" s="15">
        <v>28.0</v>
      </c>
      <c r="B4401" s="16" t="s">
        <v>9377</v>
      </c>
      <c r="C4401" s="17" t="s">
        <v>5546</v>
      </c>
      <c r="D4401" s="18">
        <v>152.38</v>
      </c>
      <c r="E4401" s="18">
        <v>213.33</v>
      </c>
      <c r="F4401" s="18">
        <v>12.0</v>
      </c>
    </row>
    <row r="4402">
      <c r="A4402" s="15">
        <v>29.0</v>
      </c>
      <c r="B4402" s="16" t="s">
        <v>3582</v>
      </c>
      <c r="C4402" s="16" t="s">
        <v>5558</v>
      </c>
      <c r="D4402" s="18">
        <v>85.78</v>
      </c>
      <c r="E4402" s="18">
        <v>119.0</v>
      </c>
      <c r="F4402" s="18">
        <v>12.0</v>
      </c>
    </row>
    <row r="4403">
      <c r="A4403" s="15">
        <v>30.0</v>
      </c>
      <c r="B4403" s="16" t="s">
        <v>9378</v>
      </c>
      <c r="C4403" s="17" t="s">
        <v>9379</v>
      </c>
      <c r="D4403" s="18">
        <v>70.0</v>
      </c>
      <c r="E4403" s="18">
        <v>98.0</v>
      </c>
      <c r="F4403" s="18">
        <v>12.0</v>
      </c>
    </row>
    <row r="4404">
      <c r="A4404" s="15">
        <v>31.0</v>
      </c>
      <c r="B4404" s="16" t="s">
        <v>9378</v>
      </c>
      <c r="C4404" s="23" t="str">
        <f>+PLUS SUSP. 200ML</f>
        <v>#ERROR!</v>
      </c>
      <c r="D4404" s="18">
        <v>118.2</v>
      </c>
      <c r="E4404" s="18">
        <v>164.0</v>
      </c>
      <c r="F4404" s="18">
        <v>12.0</v>
      </c>
    </row>
    <row r="4405">
      <c r="A4405" s="6"/>
      <c r="B4405" s="7"/>
      <c r="C4405" s="7"/>
      <c r="D4405" s="7"/>
      <c r="E4405" s="7"/>
      <c r="F4405" s="8"/>
    </row>
    <row r="4406">
      <c r="A4406" s="9" t="s">
        <v>9380</v>
      </c>
      <c r="B4406" s="10"/>
      <c r="C4406" s="10"/>
      <c r="D4406" s="10"/>
      <c r="E4406" s="10"/>
      <c r="F4406" s="10"/>
    </row>
    <row r="4407">
      <c r="A4407" s="11">
        <v>1.0</v>
      </c>
      <c r="B4407" s="12" t="s">
        <v>9381</v>
      </c>
      <c r="C4407" s="13" t="s">
        <v>9382</v>
      </c>
      <c r="D4407" s="14">
        <v>0.0</v>
      </c>
      <c r="E4407" s="14">
        <v>0.0</v>
      </c>
      <c r="F4407" s="14">
        <v>0.0</v>
      </c>
    </row>
    <row r="4408">
      <c r="A4408" s="15">
        <v>2.0</v>
      </c>
      <c r="B4408" s="16" t="s">
        <v>9383</v>
      </c>
      <c r="C4408" s="17" t="s">
        <v>9384</v>
      </c>
      <c r="D4408" s="18">
        <v>9375.0</v>
      </c>
      <c r="E4408" s="18">
        <v>17000.0</v>
      </c>
      <c r="F4408" s="18">
        <v>12.0</v>
      </c>
    </row>
    <row r="4409">
      <c r="A4409" s="15">
        <v>3.0</v>
      </c>
      <c r="B4409" s="16" t="s">
        <v>9385</v>
      </c>
      <c r="C4409" s="17" t="s">
        <v>5536</v>
      </c>
      <c r="D4409" s="18">
        <v>155.51</v>
      </c>
      <c r="E4409" s="18">
        <v>217.71</v>
      </c>
      <c r="F4409" s="18">
        <v>12.0</v>
      </c>
    </row>
    <row r="4410">
      <c r="A4410" s="15">
        <v>4.0</v>
      </c>
      <c r="B4410" s="16" t="s">
        <v>9386</v>
      </c>
      <c r="C4410" s="17" t="s">
        <v>5536</v>
      </c>
      <c r="D4410" s="18">
        <v>233.65</v>
      </c>
      <c r="E4410" s="18">
        <v>327.11</v>
      </c>
      <c r="F4410" s="18">
        <v>12.0</v>
      </c>
    </row>
    <row r="4411">
      <c r="A4411" s="6"/>
      <c r="B4411" s="7"/>
      <c r="C4411" s="7"/>
      <c r="D4411" s="7"/>
      <c r="E4411" s="8"/>
      <c r="F4411" s="16" t="s">
        <v>9387</v>
      </c>
    </row>
    <row r="4412">
      <c r="A4412" s="6"/>
      <c r="B4412" s="7"/>
      <c r="C4412" s="7"/>
      <c r="D4412" s="7"/>
      <c r="E4412" s="7"/>
      <c r="F4412" s="8"/>
    </row>
    <row r="4413">
      <c r="A4413" s="6"/>
      <c r="B4413" s="7"/>
      <c r="C4413" s="7"/>
      <c r="D4413" s="7"/>
      <c r="E4413" s="7"/>
      <c r="F4413" s="8"/>
    </row>
    <row r="4414">
      <c r="A4414" s="6"/>
      <c r="B4414" s="7"/>
      <c r="C4414" s="7"/>
      <c r="D4414" s="7"/>
      <c r="E4414" s="7"/>
      <c r="F4414" s="8"/>
    </row>
    <row r="4415">
      <c r="A4415" s="6"/>
      <c r="B4415" s="7"/>
      <c r="C4415" s="7"/>
      <c r="D4415" s="7"/>
      <c r="E4415" s="7"/>
      <c r="F4415" s="8"/>
    </row>
    <row r="4416">
      <c r="A4416" s="9" t="s">
        <v>5582</v>
      </c>
      <c r="B4416" s="10"/>
      <c r="C4416" s="10"/>
      <c r="D4416" s="10"/>
      <c r="E4416" s="10"/>
      <c r="F4416" s="10"/>
    </row>
    <row r="4417">
      <c r="A4417" s="19" t="s">
        <v>5583</v>
      </c>
    </row>
    <row r="4418">
      <c r="A4418" s="6"/>
      <c r="B4418" s="7"/>
      <c r="C4418" s="7"/>
      <c r="D4418" s="8"/>
      <c r="E4418" s="12" t="s">
        <v>5584</v>
      </c>
      <c r="F4418" s="12" t="s">
        <v>9388</v>
      </c>
    </row>
    <row r="4419">
      <c r="A4419" s="20" t="s">
        <v>5522</v>
      </c>
      <c r="B4419" s="16" t="s">
        <v>5523</v>
      </c>
      <c r="C4419" s="16" t="s">
        <v>5524</v>
      </c>
      <c r="D4419" s="16" t="s">
        <v>5525</v>
      </c>
      <c r="E4419" s="16" t="s">
        <v>5526</v>
      </c>
      <c r="F4419" s="16" t="s">
        <v>5586</v>
      </c>
    </row>
    <row r="4420">
      <c r="A4420" s="15">
        <v>5.0</v>
      </c>
      <c r="B4420" s="16" t="s">
        <v>9389</v>
      </c>
      <c r="C4420" s="17" t="s">
        <v>5530</v>
      </c>
      <c r="D4420" s="18">
        <v>187.14</v>
      </c>
      <c r="E4420" s="18">
        <v>262.0</v>
      </c>
      <c r="F4420" s="18">
        <v>12.0</v>
      </c>
    </row>
    <row r="4421">
      <c r="A4421" s="15">
        <v>6.0</v>
      </c>
      <c r="B4421" s="16" t="s">
        <v>9389</v>
      </c>
      <c r="C4421" s="17" t="s">
        <v>5531</v>
      </c>
      <c r="D4421" s="18">
        <v>251.43</v>
      </c>
      <c r="E4421" s="18">
        <v>352.0</v>
      </c>
      <c r="F4421" s="18">
        <v>12.0</v>
      </c>
    </row>
    <row r="4422">
      <c r="A4422" s="15">
        <v>7.0</v>
      </c>
      <c r="B4422" s="16" t="s">
        <v>9390</v>
      </c>
      <c r="C4422" s="17" t="s">
        <v>5536</v>
      </c>
      <c r="D4422" s="18">
        <v>60.71</v>
      </c>
      <c r="E4422" s="18">
        <v>85.0</v>
      </c>
      <c r="F4422" s="18">
        <v>12.0</v>
      </c>
    </row>
    <row r="4423">
      <c r="A4423" s="15">
        <v>8.0</v>
      </c>
      <c r="B4423" s="16" t="s">
        <v>9391</v>
      </c>
      <c r="C4423" s="17" t="s">
        <v>5536</v>
      </c>
      <c r="D4423" s="18">
        <v>96.43</v>
      </c>
      <c r="E4423" s="18">
        <v>135.0</v>
      </c>
      <c r="F4423" s="18">
        <v>12.0</v>
      </c>
    </row>
    <row r="4424">
      <c r="A4424" s="15">
        <v>9.0</v>
      </c>
      <c r="B4424" s="16" t="s">
        <v>9392</v>
      </c>
      <c r="C4424" s="17" t="s">
        <v>5536</v>
      </c>
      <c r="D4424" s="18">
        <v>152.38</v>
      </c>
      <c r="E4424" s="18">
        <v>213.33</v>
      </c>
      <c r="F4424" s="18">
        <v>12.0</v>
      </c>
    </row>
    <row r="4425">
      <c r="A4425" s="15">
        <v>10.0</v>
      </c>
      <c r="B4425" s="16" t="s">
        <v>9393</v>
      </c>
      <c r="C4425" s="17" t="s">
        <v>9394</v>
      </c>
      <c r="D4425" s="18">
        <v>245.36</v>
      </c>
      <c r="E4425" s="18">
        <v>343.5</v>
      </c>
      <c r="F4425" s="18">
        <v>12.0</v>
      </c>
    </row>
    <row r="4426">
      <c r="A4426" s="15">
        <v>11.0</v>
      </c>
      <c r="B4426" s="16" t="s">
        <v>9395</v>
      </c>
      <c r="C4426" s="17" t="s">
        <v>9396</v>
      </c>
      <c r="D4426" s="18">
        <v>253.97</v>
      </c>
      <c r="E4426" s="18">
        <v>355.55</v>
      </c>
      <c r="F4426" s="18">
        <v>12.0</v>
      </c>
    </row>
    <row r="4427">
      <c r="A4427" s="15">
        <v>12.0</v>
      </c>
      <c r="B4427" s="16" t="s">
        <v>9397</v>
      </c>
      <c r="C4427" s="17" t="s">
        <v>5536</v>
      </c>
      <c r="D4427" s="18">
        <v>175.82</v>
      </c>
      <c r="E4427" s="18">
        <v>246.15</v>
      </c>
      <c r="F4427" s="18">
        <v>12.0</v>
      </c>
    </row>
    <row r="4428">
      <c r="A4428" s="6"/>
      <c r="B4428" s="7"/>
      <c r="C4428" s="7"/>
      <c r="D4428" s="7"/>
      <c r="E4428" s="7"/>
      <c r="F4428" s="8"/>
    </row>
    <row r="4429">
      <c r="A4429" s="9" t="s">
        <v>9398</v>
      </c>
      <c r="B4429" s="10"/>
      <c r="C4429" s="10"/>
      <c r="D4429" s="10"/>
      <c r="E4429" s="10"/>
      <c r="F4429" s="10"/>
    </row>
    <row r="4430">
      <c r="A4430" s="6"/>
      <c r="B4430" s="7"/>
      <c r="C4430" s="7"/>
      <c r="D4430" s="7"/>
      <c r="E4430" s="7"/>
      <c r="F4430" s="8"/>
    </row>
    <row r="4431">
      <c r="A4431" s="9" t="s">
        <v>9399</v>
      </c>
      <c r="B4431" s="10"/>
      <c r="C4431" s="10"/>
      <c r="D4431" s="10"/>
      <c r="E4431" s="10"/>
      <c r="F4431" s="10"/>
    </row>
    <row r="4432">
      <c r="A4432" s="11">
        <v>1.0</v>
      </c>
      <c r="B4432" s="12" t="s">
        <v>9400</v>
      </c>
      <c r="C4432" s="13" t="s">
        <v>9401</v>
      </c>
      <c r="D4432" s="14">
        <v>47.04</v>
      </c>
      <c r="E4432" s="14">
        <v>65.85</v>
      </c>
      <c r="F4432" s="14">
        <v>12.0</v>
      </c>
    </row>
    <row r="4433">
      <c r="A4433" s="15">
        <v>2.0</v>
      </c>
      <c r="B4433" s="16" t="s">
        <v>9402</v>
      </c>
      <c r="C4433" s="17" t="s">
        <v>6626</v>
      </c>
      <c r="D4433" s="18">
        <v>18.3</v>
      </c>
      <c r="E4433" s="18">
        <v>25.14</v>
      </c>
      <c r="F4433" s="18">
        <v>12.0</v>
      </c>
    </row>
    <row r="4434">
      <c r="A4434" s="15">
        <v>3.0</v>
      </c>
      <c r="B4434" s="16" t="s">
        <v>9402</v>
      </c>
      <c r="C4434" s="17" t="s">
        <v>6422</v>
      </c>
      <c r="D4434" s="18">
        <v>11.91</v>
      </c>
      <c r="E4434" s="18">
        <v>16.37</v>
      </c>
      <c r="F4434" s="18">
        <v>12.0</v>
      </c>
    </row>
    <row r="4435">
      <c r="A4435" s="15">
        <v>4.0</v>
      </c>
      <c r="B4435" s="16" t="s">
        <v>9403</v>
      </c>
      <c r="C4435" s="17" t="s">
        <v>6626</v>
      </c>
      <c r="D4435" s="18">
        <v>6.96</v>
      </c>
      <c r="E4435" s="18">
        <v>9.57</v>
      </c>
      <c r="F4435" s="18">
        <v>12.0</v>
      </c>
    </row>
    <row r="4436">
      <c r="A4436" s="15">
        <v>5.0</v>
      </c>
      <c r="B4436" s="16" t="s">
        <v>9404</v>
      </c>
      <c r="C4436" s="17" t="s">
        <v>9405</v>
      </c>
      <c r="D4436" s="18">
        <v>48.36</v>
      </c>
      <c r="E4436" s="18">
        <v>66.42</v>
      </c>
      <c r="F4436" s="18">
        <v>12.0</v>
      </c>
    </row>
    <row r="4437">
      <c r="A4437" s="6"/>
      <c r="B4437" s="7"/>
      <c r="C4437" s="7"/>
      <c r="D4437" s="7"/>
      <c r="E4437" s="7"/>
      <c r="F4437" s="8"/>
    </row>
    <row r="4438">
      <c r="A4438" s="9" t="s">
        <v>9406</v>
      </c>
      <c r="B4438" s="10"/>
      <c r="C4438" s="10"/>
      <c r="D4438" s="10"/>
      <c r="E4438" s="10"/>
      <c r="F4438" s="10"/>
    </row>
    <row r="4439">
      <c r="A4439" s="11">
        <v>1.0</v>
      </c>
      <c r="B4439" s="12" t="s">
        <v>9407</v>
      </c>
      <c r="C4439" s="13" t="s">
        <v>9408</v>
      </c>
      <c r="D4439" s="14">
        <v>96.2</v>
      </c>
      <c r="E4439" s="14">
        <v>141.9</v>
      </c>
      <c r="F4439" s="14">
        <v>18.0</v>
      </c>
    </row>
    <row r="4440">
      <c r="A4440" s="15">
        <v>2.0</v>
      </c>
      <c r="B4440" s="16" t="s">
        <v>9407</v>
      </c>
      <c r="C4440" s="17" t="s">
        <v>5603</v>
      </c>
      <c r="D4440" s="18">
        <v>102.36</v>
      </c>
      <c r="E4440" s="18">
        <v>143.3</v>
      </c>
      <c r="F4440" s="18">
        <v>12.0</v>
      </c>
    </row>
    <row r="4441">
      <c r="A4441" s="15">
        <v>3.0</v>
      </c>
      <c r="B4441" s="16" t="s">
        <v>9409</v>
      </c>
      <c r="C4441" s="17" t="s">
        <v>5657</v>
      </c>
      <c r="D4441" s="18">
        <v>117.86</v>
      </c>
      <c r="E4441" s="18">
        <v>165.0</v>
      </c>
      <c r="F4441" s="18">
        <v>12.0</v>
      </c>
    </row>
    <row r="4442">
      <c r="A4442" s="15">
        <v>4.0</v>
      </c>
      <c r="B4442" s="16" t="s">
        <v>3607</v>
      </c>
      <c r="C4442" s="16" t="s">
        <v>5558</v>
      </c>
      <c r="D4442" s="18">
        <v>106.57</v>
      </c>
      <c r="E4442" s="18">
        <v>149.2</v>
      </c>
      <c r="F4442" s="18">
        <v>12.0</v>
      </c>
    </row>
    <row r="4443">
      <c r="A4443" s="15">
        <v>5.0</v>
      </c>
      <c r="B4443" s="16" t="s">
        <v>9410</v>
      </c>
      <c r="C4443" s="17" t="s">
        <v>5636</v>
      </c>
      <c r="D4443" s="18">
        <v>146.79</v>
      </c>
      <c r="E4443" s="18">
        <v>205.5</v>
      </c>
      <c r="F4443" s="18">
        <v>12.0</v>
      </c>
    </row>
    <row r="4444">
      <c r="A4444" s="15">
        <v>6.0</v>
      </c>
      <c r="B4444" s="16" t="s">
        <v>9411</v>
      </c>
      <c r="C4444" s="17" t="s">
        <v>5636</v>
      </c>
      <c r="D4444" s="18">
        <v>149.5</v>
      </c>
      <c r="E4444" s="18">
        <v>209.3</v>
      </c>
      <c r="F4444" s="18">
        <v>12.0</v>
      </c>
    </row>
    <row r="4445">
      <c r="A4445" s="15">
        <v>7.0</v>
      </c>
      <c r="B4445" s="16" t="s">
        <v>9412</v>
      </c>
      <c r="C4445" s="17" t="s">
        <v>5636</v>
      </c>
      <c r="D4445" s="18">
        <v>53.91</v>
      </c>
      <c r="E4445" s="18">
        <v>74.8</v>
      </c>
      <c r="F4445" s="18">
        <v>12.0</v>
      </c>
    </row>
    <row r="4446">
      <c r="A4446" s="15">
        <v>8.0</v>
      </c>
      <c r="B4446" s="16" t="s">
        <v>9412</v>
      </c>
      <c r="C4446" s="17" t="s">
        <v>9413</v>
      </c>
      <c r="D4446" s="18">
        <v>123.89</v>
      </c>
      <c r="E4446" s="18">
        <v>200.0</v>
      </c>
      <c r="F4446" s="18">
        <v>28.0</v>
      </c>
    </row>
    <row r="4447">
      <c r="A4447" s="15">
        <v>9.0</v>
      </c>
      <c r="B4447" s="16" t="s">
        <v>3612</v>
      </c>
      <c r="C4447" s="16" t="s">
        <v>5558</v>
      </c>
      <c r="D4447" s="18">
        <v>172.86</v>
      </c>
      <c r="E4447" s="18">
        <v>242.0</v>
      </c>
      <c r="F4447" s="18">
        <v>12.0</v>
      </c>
    </row>
    <row r="4448">
      <c r="A4448" s="15">
        <v>10.0</v>
      </c>
      <c r="B4448" s="16" t="s">
        <v>9414</v>
      </c>
      <c r="C4448" s="17" t="s">
        <v>5636</v>
      </c>
      <c r="D4448" s="18">
        <v>86.49</v>
      </c>
      <c r="E4448" s="18">
        <v>120.0</v>
      </c>
      <c r="F4448" s="18">
        <v>12.0</v>
      </c>
    </row>
    <row r="4449">
      <c r="A4449" s="15">
        <v>11.0</v>
      </c>
      <c r="B4449" s="16" t="s">
        <v>9415</v>
      </c>
      <c r="C4449" s="17" t="s">
        <v>5636</v>
      </c>
      <c r="D4449" s="18">
        <v>295.5</v>
      </c>
      <c r="E4449" s="18">
        <v>410.0</v>
      </c>
      <c r="F4449" s="18">
        <v>12.0</v>
      </c>
    </row>
    <row r="4450">
      <c r="A4450" s="15">
        <v>12.0</v>
      </c>
      <c r="B4450" s="16" t="s">
        <v>9416</v>
      </c>
      <c r="C4450" s="17" t="s">
        <v>5636</v>
      </c>
      <c r="D4450" s="18">
        <v>101.99</v>
      </c>
      <c r="E4450" s="18">
        <v>141.5</v>
      </c>
      <c r="F4450" s="18">
        <v>12.0</v>
      </c>
    </row>
    <row r="4451">
      <c r="A4451" s="15">
        <v>13.0</v>
      </c>
      <c r="B4451" s="16" t="s">
        <v>9417</v>
      </c>
      <c r="C4451" s="17" t="s">
        <v>5788</v>
      </c>
      <c r="D4451" s="18">
        <v>79.28</v>
      </c>
      <c r="E4451" s="18">
        <v>110.0</v>
      </c>
      <c r="F4451" s="18">
        <v>12.0</v>
      </c>
    </row>
    <row r="4452">
      <c r="A4452" s="15">
        <v>14.0</v>
      </c>
      <c r="B4452" s="16" t="s">
        <v>9418</v>
      </c>
      <c r="C4452" s="17" t="s">
        <v>9419</v>
      </c>
      <c r="D4452" s="18">
        <v>324.33</v>
      </c>
      <c r="E4452" s="18">
        <v>450.0</v>
      </c>
      <c r="F4452" s="18">
        <v>12.0</v>
      </c>
    </row>
    <row r="4453">
      <c r="A4453" s="15">
        <v>15.0</v>
      </c>
      <c r="B4453" s="16" t="s">
        <v>9420</v>
      </c>
      <c r="C4453" s="17" t="s">
        <v>5636</v>
      </c>
      <c r="D4453" s="18">
        <v>103.36</v>
      </c>
      <c r="E4453" s="18">
        <v>144.7</v>
      </c>
      <c r="F4453" s="18">
        <v>12.0</v>
      </c>
    </row>
    <row r="4454">
      <c r="A4454" s="15">
        <v>16.0</v>
      </c>
      <c r="B4454" s="16" t="s">
        <v>5953</v>
      </c>
      <c r="C4454" s="17" t="s">
        <v>9421</v>
      </c>
      <c r="D4454" s="18">
        <v>84.75</v>
      </c>
      <c r="E4454" s="18">
        <v>125.0</v>
      </c>
      <c r="F4454" s="18">
        <v>18.0</v>
      </c>
    </row>
    <row r="4455">
      <c r="A4455" s="15">
        <v>17.0</v>
      </c>
      <c r="B4455" s="16" t="s">
        <v>5953</v>
      </c>
      <c r="C4455" s="17" t="s">
        <v>9422</v>
      </c>
      <c r="D4455" s="18">
        <v>106.85</v>
      </c>
      <c r="E4455" s="18">
        <v>157.6</v>
      </c>
      <c r="F4455" s="18">
        <v>18.0</v>
      </c>
    </row>
    <row r="4456">
      <c r="A4456" s="15">
        <v>18.0</v>
      </c>
      <c r="B4456" s="16" t="s">
        <v>9423</v>
      </c>
      <c r="C4456" s="17" t="s">
        <v>5636</v>
      </c>
      <c r="D4456" s="18">
        <v>111.25</v>
      </c>
      <c r="E4456" s="18">
        <v>164.1</v>
      </c>
      <c r="F4456" s="18">
        <v>18.0</v>
      </c>
    </row>
    <row r="4457">
      <c r="A4457" s="15">
        <v>19.0</v>
      </c>
      <c r="B4457" s="16" t="s">
        <v>9424</v>
      </c>
      <c r="C4457" s="17" t="s">
        <v>5532</v>
      </c>
      <c r="D4457" s="18">
        <v>126.42</v>
      </c>
      <c r="E4457" s="18">
        <v>175.4</v>
      </c>
      <c r="F4457" s="18">
        <v>12.0</v>
      </c>
    </row>
    <row r="4458">
      <c r="A4458" s="15">
        <v>20.0</v>
      </c>
      <c r="B4458" s="16" t="s">
        <v>9425</v>
      </c>
      <c r="C4458" s="17" t="s">
        <v>5636</v>
      </c>
      <c r="D4458" s="18">
        <v>111.86</v>
      </c>
      <c r="E4458" s="18">
        <v>165.0</v>
      </c>
      <c r="F4458" s="18">
        <v>18.0</v>
      </c>
    </row>
    <row r="4459">
      <c r="A4459" s="15">
        <v>21.0</v>
      </c>
      <c r="B4459" s="16" t="s">
        <v>3624</v>
      </c>
      <c r="C4459" s="16" t="s">
        <v>5558</v>
      </c>
      <c r="D4459" s="18">
        <v>50.46</v>
      </c>
      <c r="E4459" s="18">
        <v>70.0</v>
      </c>
      <c r="F4459" s="18">
        <v>12.0</v>
      </c>
    </row>
    <row r="4460">
      <c r="A4460" s="15">
        <v>22.0</v>
      </c>
      <c r="B4460" s="16" t="s">
        <v>9426</v>
      </c>
      <c r="C4460" s="17" t="s">
        <v>6785</v>
      </c>
      <c r="D4460" s="18">
        <v>40.76</v>
      </c>
      <c r="E4460" s="18">
        <v>54.35</v>
      </c>
      <c r="F4460" s="18">
        <v>12.0</v>
      </c>
    </row>
    <row r="4461">
      <c r="A4461" s="15">
        <v>23.0</v>
      </c>
      <c r="B4461" s="16" t="s">
        <v>9427</v>
      </c>
      <c r="C4461" s="17" t="s">
        <v>5636</v>
      </c>
      <c r="D4461" s="18">
        <v>112.36</v>
      </c>
      <c r="E4461" s="18">
        <v>157.3</v>
      </c>
      <c r="F4461" s="18">
        <v>12.0</v>
      </c>
    </row>
    <row r="4462">
      <c r="A4462" s="15">
        <v>24.0</v>
      </c>
      <c r="B4462" s="16" t="s">
        <v>9428</v>
      </c>
      <c r="C4462" s="17" t="s">
        <v>5636</v>
      </c>
      <c r="D4462" s="18">
        <v>117.29</v>
      </c>
      <c r="E4462" s="18">
        <v>173.0</v>
      </c>
      <c r="F4462" s="18">
        <v>18.0</v>
      </c>
    </row>
    <row r="4463">
      <c r="A4463" s="15">
        <v>25.0</v>
      </c>
      <c r="B4463" s="16" t="s">
        <v>3628</v>
      </c>
      <c r="C4463" s="16" t="s">
        <v>5558</v>
      </c>
      <c r="D4463" s="18">
        <v>74.64</v>
      </c>
      <c r="E4463" s="18">
        <v>104.5</v>
      </c>
      <c r="F4463" s="18">
        <v>12.0</v>
      </c>
    </row>
    <row r="4464">
      <c r="A4464" s="6"/>
      <c r="B4464" s="7"/>
      <c r="C4464" s="7"/>
      <c r="D4464" s="7"/>
      <c r="E4464" s="7"/>
      <c r="F4464" s="8"/>
    </row>
    <row r="4465">
      <c r="A4465" s="9" t="s">
        <v>9429</v>
      </c>
      <c r="B4465" s="10"/>
      <c r="C4465" s="10"/>
      <c r="D4465" s="10"/>
      <c r="E4465" s="10"/>
      <c r="F4465" s="10"/>
    </row>
    <row r="4466">
      <c r="A4466" s="11">
        <v>1.0</v>
      </c>
      <c r="B4466" s="12" t="s">
        <v>9430</v>
      </c>
      <c r="C4466" s="13" t="s">
        <v>5657</v>
      </c>
      <c r="D4466" s="14">
        <v>55.0</v>
      </c>
      <c r="E4466" s="14">
        <v>77.0</v>
      </c>
      <c r="F4466" s="14">
        <v>12.0</v>
      </c>
    </row>
    <row r="4467">
      <c r="A4467" s="15">
        <v>2.0</v>
      </c>
      <c r="B4467" s="16" t="s">
        <v>3631</v>
      </c>
      <c r="C4467" s="16" t="s">
        <v>5558</v>
      </c>
      <c r="D4467" s="18">
        <v>52.79</v>
      </c>
      <c r="E4467" s="18">
        <v>73.9</v>
      </c>
      <c r="F4467" s="18">
        <v>12.0</v>
      </c>
    </row>
    <row r="4468">
      <c r="A4468" s="15">
        <v>3.0</v>
      </c>
      <c r="B4468" s="16" t="s">
        <v>9431</v>
      </c>
      <c r="C4468" s="17" t="s">
        <v>5536</v>
      </c>
      <c r="D4468" s="18">
        <v>24.37</v>
      </c>
      <c r="E4468" s="18">
        <v>33.8</v>
      </c>
      <c r="F4468" s="18">
        <v>12.0</v>
      </c>
    </row>
    <row r="4469">
      <c r="A4469" s="15">
        <v>4.0</v>
      </c>
      <c r="B4469" s="16" t="s">
        <v>9432</v>
      </c>
      <c r="C4469" s="17" t="s">
        <v>5536</v>
      </c>
      <c r="D4469" s="18">
        <v>49.13</v>
      </c>
      <c r="E4469" s="18">
        <v>65.5</v>
      </c>
      <c r="F4469" s="18">
        <v>12.0</v>
      </c>
    </row>
    <row r="4470">
      <c r="A4470" s="15">
        <v>5.0</v>
      </c>
      <c r="B4470" s="16" t="s">
        <v>9433</v>
      </c>
      <c r="C4470" s="17" t="s">
        <v>5636</v>
      </c>
      <c r="D4470" s="18">
        <v>70.91</v>
      </c>
      <c r="E4470" s="18">
        <v>98.4</v>
      </c>
      <c r="F4470" s="18">
        <v>12.0</v>
      </c>
    </row>
    <row r="4471">
      <c r="A4471" s="15">
        <v>6.0</v>
      </c>
      <c r="B4471" s="16" t="s">
        <v>9434</v>
      </c>
      <c r="C4471" s="17" t="s">
        <v>5636</v>
      </c>
      <c r="D4471" s="18">
        <v>93.29</v>
      </c>
      <c r="E4471" s="18">
        <v>130.6</v>
      </c>
      <c r="F4471" s="18">
        <v>12.0</v>
      </c>
    </row>
    <row r="4472">
      <c r="A4472" s="15">
        <v>7.0</v>
      </c>
      <c r="B4472" s="16" t="s">
        <v>9435</v>
      </c>
      <c r="C4472" s="17" t="s">
        <v>5636</v>
      </c>
      <c r="D4472" s="18">
        <v>64.86</v>
      </c>
      <c r="E4472" s="18">
        <v>90.0</v>
      </c>
      <c r="F4472" s="18">
        <v>12.0</v>
      </c>
    </row>
    <row r="4473">
      <c r="A4473" s="15">
        <v>8.0</v>
      </c>
      <c r="B4473" s="16" t="s">
        <v>9436</v>
      </c>
      <c r="C4473" s="17" t="s">
        <v>5636</v>
      </c>
      <c r="D4473" s="18">
        <v>58.36</v>
      </c>
      <c r="E4473" s="18">
        <v>81.7</v>
      </c>
      <c r="F4473" s="18">
        <v>12.0</v>
      </c>
    </row>
    <row r="4474">
      <c r="A4474" s="15">
        <v>9.0</v>
      </c>
      <c r="B4474" s="16" t="s">
        <v>3638</v>
      </c>
      <c r="C4474" s="16" t="s">
        <v>5558</v>
      </c>
      <c r="D4474" s="18">
        <v>83.57</v>
      </c>
      <c r="E4474" s="18">
        <v>117.0</v>
      </c>
      <c r="F4474" s="18">
        <v>12.0</v>
      </c>
    </row>
    <row r="4475">
      <c r="A4475" s="15">
        <v>10.0</v>
      </c>
      <c r="B4475" s="16" t="s">
        <v>3639</v>
      </c>
      <c r="C4475" s="16" t="s">
        <v>5558</v>
      </c>
      <c r="D4475" s="18">
        <v>70.71</v>
      </c>
      <c r="E4475" s="18">
        <v>99.0</v>
      </c>
      <c r="F4475" s="18">
        <v>12.0</v>
      </c>
    </row>
    <row r="4476">
      <c r="A4476" s="15">
        <v>11.0</v>
      </c>
      <c r="B4476" s="16" t="s">
        <v>9437</v>
      </c>
      <c r="C4476" s="17" t="s">
        <v>5636</v>
      </c>
      <c r="D4476" s="18">
        <v>42.15</v>
      </c>
      <c r="E4476" s="18">
        <v>64.35</v>
      </c>
      <c r="F4476" s="18">
        <v>12.0</v>
      </c>
    </row>
    <row r="4477">
      <c r="A4477" s="15">
        <v>12.0</v>
      </c>
      <c r="B4477" s="16" t="s">
        <v>9438</v>
      </c>
      <c r="C4477" s="17" t="s">
        <v>5636</v>
      </c>
      <c r="D4477" s="18">
        <v>59.25</v>
      </c>
      <c r="E4477" s="18">
        <v>82.2</v>
      </c>
      <c r="F4477" s="18">
        <v>12.0</v>
      </c>
    </row>
    <row r="4478">
      <c r="A4478" s="15">
        <v>13.0</v>
      </c>
      <c r="B4478" s="16" t="s">
        <v>9439</v>
      </c>
      <c r="C4478" s="17" t="s">
        <v>5536</v>
      </c>
      <c r="D4478" s="18">
        <v>44.29</v>
      </c>
      <c r="E4478" s="18">
        <v>62.0</v>
      </c>
      <c r="F4478" s="18">
        <v>12.0</v>
      </c>
    </row>
    <row r="4479">
      <c r="A4479" s="15">
        <v>14.0</v>
      </c>
      <c r="B4479" s="16" t="s">
        <v>9440</v>
      </c>
      <c r="C4479" s="17" t="s">
        <v>5536</v>
      </c>
      <c r="D4479" s="18">
        <v>56.07</v>
      </c>
      <c r="E4479" s="18">
        <v>78.5</v>
      </c>
      <c r="F4479" s="18">
        <v>12.0</v>
      </c>
    </row>
    <row r="4480">
      <c r="A4480" s="15">
        <v>15.0</v>
      </c>
      <c r="B4480" s="16" t="s">
        <v>9441</v>
      </c>
      <c r="C4480" s="17" t="s">
        <v>5536</v>
      </c>
      <c r="D4480" s="18">
        <v>63.21</v>
      </c>
      <c r="E4480" s="18">
        <v>88.5</v>
      </c>
      <c r="F4480" s="18">
        <v>12.0</v>
      </c>
    </row>
    <row r="4481">
      <c r="A4481" s="6"/>
      <c r="B4481" s="7"/>
      <c r="C4481" s="7"/>
      <c r="D4481" s="7"/>
      <c r="E4481" s="8"/>
      <c r="F4481" s="16" t="s">
        <v>9442</v>
      </c>
    </row>
    <row r="4482">
      <c r="A4482" s="6"/>
      <c r="B4482" s="7"/>
      <c r="C4482" s="7"/>
      <c r="D4482" s="7"/>
      <c r="E4482" s="7"/>
      <c r="F4482" s="8"/>
    </row>
    <row r="4483">
      <c r="A4483" s="6"/>
      <c r="B4483" s="7"/>
      <c r="C4483" s="7"/>
      <c r="D4483" s="7"/>
      <c r="E4483" s="7"/>
      <c r="F4483" s="8"/>
    </row>
    <row r="4484">
      <c r="A4484" s="6"/>
      <c r="B4484" s="7"/>
      <c r="C4484" s="7"/>
      <c r="D4484" s="7"/>
      <c r="E4484" s="7"/>
      <c r="F4484" s="8"/>
    </row>
    <row r="4485">
      <c r="A4485" s="6"/>
      <c r="B4485" s="7"/>
      <c r="C4485" s="7"/>
      <c r="D4485" s="7"/>
      <c r="E4485" s="7"/>
      <c r="F4485" s="8"/>
    </row>
    <row r="4486">
      <c r="A4486" s="9" t="s">
        <v>5582</v>
      </c>
      <c r="B4486" s="10"/>
      <c r="C4486" s="10"/>
      <c r="D4486" s="10"/>
      <c r="E4486" s="10"/>
      <c r="F4486" s="10"/>
    </row>
    <row r="4487">
      <c r="A4487" s="19" t="s">
        <v>5583</v>
      </c>
    </row>
    <row r="4488">
      <c r="A4488" s="6"/>
      <c r="B4488" s="7"/>
      <c r="C4488" s="7"/>
      <c r="D4488" s="8"/>
      <c r="E4488" s="12" t="s">
        <v>5584</v>
      </c>
      <c r="F4488" s="12" t="s">
        <v>9443</v>
      </c>
    </row>
    <row r="4489">
      <c r="A4489" s="20" t="s">
        <v>5522</v>
      </c>
      <c r="B4489" s="16" t="s">
        <v>5523</v>
      </c>
      <c r="C4489" s="16" t="s">
        <v>5524</v>
      </c>
      <c r="D4489" s="16" t="s">
        <v>5525</v>
      </c>
      <c r="E4489" s="16" t="s">
        <v>5526</v>
      </c>
      <c r="F4489" s="16" t="s">
        <v>5586</v>
      </c>
    </row>
    <row r="4490">
      <c r="A4490" s="15">
        <v>16.0</v>
      </c>
      <c r="B4490" s="16" t="s">
        <v>9444</v>
      </c>
      <c r="C4490" s="17" t="s">
        <v>5536</v>
      </c>
      <c r="D4490" s="18">
        <v>78.21</v>
      </c>
      <c r="E4490" s="18">
        <v>109.5</v>
      </c>
      <c r="F4490" s="18">
        <v>12.0</v>
      </c>
    </row>
    <row r="4491">
      <c r="A4491" s="15">
        <v>17.0</v>
      </c>
      <c r="B4491" s="16" t="s">
        <v>9445</v>
      </c>
      <c r="C4491" s="17" t="s">
        <v>8915</v>
      </c>
      <c r="D4491" s="18">
        <v>71.36</v>
      </c>
      <c r="E4491" s="18">
        <v>99.0</v>
      </c>
      <c r="F4491" s="18">
        <v>12.0</v>
      </c>
    </row>
    <row r="4492">
      <c r="A4492" s="15">
        <v>18.0</v>
      </c>
      <c r="B4492" s="16" t="s">
        <v>9445</v>
      </c>
      <c r="C4492" s="17" t="s">
        <v>8916</v>
      </c>
      <c r="D4492" s="18">
        <v>78.57</v>
      </c>
      <c r="E4492" s="18">
        <v>110.0</v>
      </c>
      <c r="F4492" s="18">
        <v>12.0</v>
      </c>
    </row>
    <row r="4493">
      <c r="A4493" s="15">
        <v>19.0</v>
      </c>
      <c r="B4493" s="16" t="s">
        <v>9446</v>
      </c>
      <c r="C4493" s="17" t="s">
        <v>5636</v>
      </c>
      <c r="D4493" s="18">
        <v>57.66</v>
      </c>
      <c r="E4493" s="18">
        <v>80.0</v>
      </c>
      <c r="F4493" s="18">
        <v>12.0</v>
      </c>
    </row>
    <row r="4494">
      <c r="A4494" s="15">
        <v>20.0</v>
      </c>
      <c r="B4494" s="16" t="s">
        <v>9447</v>
      </c>
      <c r="C4494" s="17" t="s">
        <v>8881</v>
      </c>
      <c r="D4494" s="18">
        <v>26.35</v>
      </c>
      <c r="E4494" s="18">
        <v>36.35</v>
      </c>
      <c r="F4494" s="18">
        <v>12.0</v>
      </c>
    </row>
    <row r="4495">
      <c r="A4495" s="15">
        <v>21.0</v>
      </c>
      <c r="B4495" s="16" t="s">
        <v>9448</v>
      </c>
      <c r="C4495" s="17" t="s">
        <v>5636</v>
      </c>
      <c r="D4495" s="18">
        <v>202.71</v>
      </c>
      <c r="E4495" s="18">
        <v>299.0</v>
      </c>
      <c r="F4495" s="18">
        <v>18.0</v>
      </c>
    </row>
    <row r="4496">
      <c r="A4496" s="15">
        <v>22.0</v>
      </c>
      <c r="B4496" s="16" t="s">
        <v>9449</v>
      </c>
      <c r="C4496" s="17" t="s">
        <v>5536</v>
      </c>
      <c r="D4496" s="18">
        <v>79.28</v>
      </c>
      <c r="E4496" s="18">
        <v>110.0</v>
      </c>
      <c r="F4496" s="18">
        <v>12.0</v>
      </c>
    </row>
    <row r="4497">
      <c r="A4497" s="15">
        <v>23.0</v>
      </c>
      <c r="B4497" s="16" t="s">
        <v>9450</v>
      </c>
      <c r="C4497" s="17" t="s">
        <v>5536</v>
      </c>
      <c r="D4497" s="18">
        <v>57.66</v>
      </c>
      <c r="E4497" s="18">
        <v>80.0</v>
      </c>
      <c r="F4497" s="18">
        <v>12.0</v>
      </c>
    </row>
    <row r="4498">
      <c r="A4498" s="15">
        <v>24.0</v>
      </c>
      <c r="B4498" s="16" t="s">
        <v>9451</v>
      </c>
      <c r="C4498" s="17" t="s">
        <v>5536</v>
      </c>
      <c r="D4498" s="18">
        <v>45.42</v>
      </c>
      <c r="E4498" s="18">
        <v>63.0</v>
      </c>
      <c r="F4498" s="18">
        <v>12.0</v>
      </c>
    </row>
    <row r="4499">
      <c r="A4499" s="15">
        <v>25.0</v>
      </c>
      <c r="B4499" s="16" t="s">
        <v>9452</v>
      </c>
      <c r="C4499" s="17" t="s">
        <v>5636</v>
      </c>
      <c r="D4499" s="18">
        <v>50.29</v>
      </c>
      <c r="E4499" s="18">
        <v>70.4</v>
      </c>
      <c r="F4499" s="18">
        <v>12.0</v>
      </c>
    </row>
    <row r="4500">
      <c r="A4500" s="15">
        <v>26.0</v>
      </c>
      <c r="B4500" s="16" t="s">
        <v>9453</v>
      </c>
      <c r="C4500" s="17" t="s">
        <v>5636</v>
      </c>
      <c r="D4500" s="18">
        <v>65.29</v>
      </c>
      <c r="E4500" s="18">
        <v>91.4</v>
      </c>
      <c r="F4500" s="18">
        <v>12.0</v>
      </c>
    </row>
    <row r="4501">
      <c r="A4501" s="15">
        <v>27.0</v>
      </c>
      <c r="B4501" s="16" t="s">
        <v>9454</v>
      </c>
      <c r="C4501" s="17" t="s">
        <v>5536</v>
      </c>
      <c r="D4501" s="18">
        <v>44.7</v>
      </c>
      <c r="E4501" s="18">
        <v>62.0</v>
      </c>
      <c r="F4501" s="18">
        <v>12.0</v>
      </c>
    </row>
    <row r="4502">
      <c r="A4502" s="15">
        <v>28.0</v>
      </c>
      <c r="B4502" s="16" t="s">
        <v>9455</v>
      </c>
      <c r="C4502" s="17" t="s">
        <v>5536</v>
      </c>
      <c r="D4502" s="18">
        <v>56.58</v>
      </c>
      <c r="E4502" s="18">
        <v>78.5</v>
      </c>
      <c r="F4502" s="18">
        <v>12.0</v>
      </c>
    </row>
    <row r="4503">
      <c r="A4503" s="6"/>
      <c r="B4503" s="7"/>
      <c r="C4503" s="7"/>
      <c r="D4503" s="7"/>
      <c r="E4503" s="7"/>
      <c r="F4503" s="8"/>
    </row>
    <row r="4504">
      <c r="A4504" s="9" t="s">
        <v>9456</v>
      </c>
      <c r="B4504" s="10"/>
      <c r="C4504" s="10"/>
      <c r="D4504" s="10"/>
      <c r="E4504" s="10"/>
      <c r="F4504" s="10"/>
    </row>
    <row r="4505">
      <c r="A4505" s="11">
        <v>1.0</v>
      </c>
      <c r="B4505" s="12" t="s">
        <v>9457</v>
      </c>
      <c r="C4505" s="13" t="s">
        <v>5636</v>
      </c>
      <c r="D4505" s="14">
        <v>135.71</v>
      </c>
      <c r="E4505" s="14">
        <v>190.0</v>
      </c>
      <c r="F4505" s="14">
        <v>12.0</v>
      </c>
    </row>
    <row r="4506">
      <c r="A4506" s="15">
        <v>2.0</v>
      </c>
      <c r="B4506" s="16" t="s">
        <v>9458</v>
      </c>
      <c r="C4506" s="17" t="s">
        <v>9459</v>
      </c>
      <c r="D4506" s="18">
        <v>28.54</v>
      </c>
      <c r="E4506" s="18">
        <v>39.95</v>
      </c>
      <c r="F4506" s="18">
        <v>12.0</v>
      </c>
    </row>
    <row r="4507">
      <c r="A4507" s="15">
        <v>3.0</v>
      </c>
      <c r="B4507" s="16" t="s">
        <v>9460</v>
      </c>
      <c r="C4507" s="17" t="s">
        <v>9461</v>
      </c>
      <c r="D4507" s="18">
        <v>188.57</v>
      </c>
      <c r="E4507" s="18">
        <v>259.0</v>
      </c>
      <c r="F4507" s="18">
        <v>12.0</v>
      </c>
    </row>
    <row r="4508">
      <c r="A4508" s="15">
        <v>4.0</v>
      </c>
      <c r="B4508" s="16" t="s">
        <v>9462</v>
      </c>
      <c r="C4508" s="17" t="s">
        <v>5636</v>
      </c>
      <c r="D4508" s="18">
        <v>50.0</v>
      </c>
      <c r="E4508" s="18">
        <v>70.0</v>
      </c>
      <c r="F4508" s="18">
        <v>12.0</v>
      </c>
    </row>
    <row r="4509">
      <c r="A4509" s="15">
        <v>5.0</v>
      </c>
      <c r="B4509" s="16" t="s">
        <v>3663</v>
      </c>
      <c r="C4509" s="16" t="s">
        <v>9463</v>
      </c>
      <c r="D4509" s="18">
        <v>57.14</v>
      </c>
      <c r="E4509" s="18">
        <v>80.0</v>
      </c>
      <c r="F4509" s="18">
        <v>12.0</v>
      </c>
    </row>
    <row r="4510">
      <c r="A4510" s="15">
        <v>6.0</v>
      </c>
      <c r="B4510" s="16" t="s">
        <v>9464</v>
      </c>
      <c r="C4510" s="17" t="s">
        <v>5636</v>
      </c>
      <c r="D4510" s="18">
        <v>110.0</v>
      </c>
      <c r="E4510" s="18">
        <v>154.0</v>
      </c>
      <c r="F4510" s="18">
        <v>12.0</v>
      </c>
    </row>
    <row r="4511">
      <c r="A4511" s="15">
        <v>7.0</v>
      </c>
      <c r="B4511" s="16" t="s">
        <v>9465</v>
      </c>
      <c r="C4511" s="17" t="s">
        <v>9466</v>
      </c>
      <c r="D4511" s="18">
        <v>43.23</v>
      </c>
      <c r="E4511" s="18">
        <v>60.0</v>
      </c>
      <c r="F4511" s="18">
        <v>12.0</v>
      </c>
    </row>
    <row r="4512">
      <c r="A4512" s="15">
        <v>8.0</v>
      </c>
      <c r="B4512" s="16" t="s">
        <v>9465</v>
      </c>
      <c r="C4512" s="17" t="s">
        <v>5636</v>
      </c>
      <c r="D4512" s="18">
        <v>72.37</v>
      </c>
      <c r="E4512" s="18">
        <v>100.4</v>
      </c>
      <c r="F4512" s="18">
        <v>12.0</v>
      </c>
    </row>
    <row r="4513">
      <c r="A4513" s="15">
        <v>9.0</v>
      </c>
      <c r="B4513" s="16" t="s">
        <v>9467</v>
      </c>
      <c r="C4513" s="17" t="s">
        <v>5636</v>
      </c>
      <c r="D4513" s="18">
        <v>71.0</v>
      </c>
      <c r="E4513" s="18">
        <v>99.4</v>
      </c>
      <c r="F4513" s="18">
        <v>12.0</v>
      </c>
    </row>
    <row r="4514">
      <c r="A4514" s="15">
        <v>10.0</v>
      </c>
      <c r="B4514" s="16" t="s">
        <v>9468</v>
      </c>
      <c r="C4514" s="17" t="s">
        <v>5636</v>
      </c>
      <c r="D4514" s="18">
        <v>319.64</v>
      </c>
      <c r="E4514" s="18">
        <v>447.5</v>
      </c>
      <c r="F4514" s="18">
        <v>12.0</v>
      </c>
    </row>
    <row r="4515">
      <c r="A4515" s="15">
        <v>11.0</v>
      </c>
      <c r="B4515" s="16" t="s">
        <v>9469</v>
      </c>
      <c r="C4515" s="17" t="s">
        <v>9470</v>
      </c>
      <c r="D4515" s="18">
        <v>78.89</v>
      </c>
      <c r="E4515" s="18">
        <v>109.45</v>
      </c>
      <c r="F4515" s="18">
        <v>12.0</v>
      </c>
    </row>
    <row r="4516">
      <c r="A4516" s="15">
        <v>12.0</v>
      </c>
      <c r="B4516" s="16" t="s">
        <v>9469</v>
      </c>
      <c r="C4516" s="17" t="s">
        <v>5636</v>
      </c>
      <c r="D4516" s="18">
        <v>180.86</v>
      </c>
      <c r="E4516" s="18">
        <v>253.2</v>
      </c>
      <c r="F4516" s="18">
        <v>12.0</v>
      </c>
    </row>
    <row r="4517">
      <c r="A4517" s="15">
        <v>13.0</v>
      </c>
      <c r="B4517" s="16" t="s">
        <v>9471</v>
      </c>
      <c r="C4517" s="17" t="s">
        <v>5636</v>
      </c>
      <c r="D4517" s="18">
        <v>189.29</v>
      </c>
      <c r="E4517" s="18">
        <v>265.0</v>
      </c>
      <c r="F4517" s="18">
        <v>12.0</v>
      </c>
    </row>
    <row r="4518">
      <c r="A4518" s="15">
        <v>14.0</v>
      </c>
      <c r="B4518" s="16" t="s">
        <v>9472</v>
      </c>
      <c r="C4518" s="17" t="s">
        <v>7548</v>
      </c>
      <c r="D4518" s="18">
        <v>35.36</v>
      </c>
      <c r="E4518" s="18">
        <v>49.5</v>
      </c>
      <c r="F4518" s="18">
        <v>12.0</v>
      </c>
    </row>
    <row r="4519">
      <c r="A4519" s="15">
        <v>15.0</v>
      </c>
      <c r="B4519" s="16" t="s">
        <v>9472</v>
      </c>
      <c r="C4519" s="17" t="s">
        <v>5960</v>
      </c>
      <c r="D4519" s="18">
        <v>85.84</v>
      </c>
      <c r="E4519" s="18">
        <v>119.75</v>
      </c>
      <c r="F4519" s="18">
        <v>12.0</v>
      </c>
    </row>
    <row r="4520">
      <c r="A4520" s="15">
        <v>16.0</v>
      </c>
      <c r="B4520" s="16" t="s">
        <v>3674</v>
      </c>
      <c r="C4520" s="16" t="s">
        <v>5558</v>
      </c>
      <c r="D4520" s="18">
        <v>101.7</v>
      </c>
      <c r="E4520" s="18">
        <v>150.0</v>
      </c>
      <c r="F4520" s="18">
        <v>18.0</v>
      </c>
    </row>
    <row r="4521">
      <c r="A4521" s="15">
        <v>17.0</v>
      </c>
      <c r="B4521" s="16" t="s">
        <v>9473</v>
      </c>
      <c r="C4521" s="17" t="s">
        <v>5636</v>
      </c>
      <c r="D4521" s="18">
        <v>110.21</v>
      </c>
      <c r="E4521" s="18">
        <v>154.3</v>
      </c>
      <c r="F4521" s="18">
        <v>12.0</v>
      </c>
    </row>
    <row r="4522">
      <c r="A4522" s="15">
        <v>18.0</v>
      </c>
      <c r="B4522" s="16" t="s">
        <v>9474</v>
      </c>
      <c r="C4522" s="17" t="s">
        <v>6899</v>
      </c>
      <c r="D4522" s="18">
        <v>122.16</v>
      </c>
      <c r="E4522" s="18">
        <v>169.5</v>
      </c>
      <c r="F4522" s="18">
        <v>12.0</v>
      </c>
    </row>
    <row r="4523">
      <c r="A4523" s="15">
        <v>19.0</v>
      </c>
      <c r="B4523" s="16" t="s">
        <v>9418</v>
      </c>
      <c r="C4523" s="17" t="s">
        <v>5802</v>
      </c>
      <c r="D4523" s="18">
        <v>144.79</v>
      </c>
      <c r="E4523" s="18">
        <v>202.7</v>
      </c>
      <c r="F4523" s="18">
        <v>12.0</v>
      </c>
    </row>
    <row r="4524">
      <c r="A4524" s="15">
        <v>20.0</v>
      </c>
      <c r="B4524" s="16" t="s">
        <v>9475</v>
      </c>
      <c r="C4524" s="17" t="s">
        <v>5818</v>
      </c>
      <c r="D4524" s="18">
        <v>75.82</v>
      </c>
      <c r="E4524" s="18">
        <v>105.2</v>
      </c>
      <c r="F4524" s="18">
        <v>12.0</v>
      </c>
    </row>
    <row r="4525">
      <c r="A4525" s="15">
        <v>21.0</v>
      </c>
      <c r="B4525" s="16" t="s">
        <v>9475</v>
      </c>
      <c r="C4525" s="17" t="s">
        <v>9476</v>
      </c>
      <c r="D4525" s="18">
        <v>49.29</v>
      </c>
      <c r="E4525" s="18">
        <v>69.0</v>
      </c>
      <c r="F4525" s="18">
        <v>12.0</v>
      </c>
    </row>
    <row r="4526">
      <c r="A4526" s="15">
        <v>22.0</v>
      </c>
      <c r="B4526" s="16" t="s">
        <v>9475</v>
      </c>
      <c r="C4526" s="17" t="s">
        <v>9477</v>
      </c>
      <c r="D4526" s="18">
        <v>128.21</v>
      </c>
      <c r="E4526" s="18">
        <v>179.5</v>
      </c>
      <c r="F4526" s="18">
        <v>12.0</v>
      </c>
    </row>
    <row r="4527">
      <c r="A4527" s="15">
        <v>23.0</v>
      </c>
      <c r="B4527" s="16" t="s">
        <v>9475</v>
      </c>
      <c r="C4527" s="17" t="s">
        <v>5636</v>
      </c>
      <c r="D4527" s="18">
        <v>151.25</v>
      </c>
      <c r="E4527" s="18">
        <v>211.75</v>
      </c>
      <c r="F4527" s="18">
        <v>12.0</v>
      </c>
    </row>
    <row r="4528">
      <c r="A4528" s="15">
        <v>24.0</v>
      </c>
      <c r="B4528" s="16" t="s">
        <v>9478</v>
      </c>
      <c r="C4528" s="17" t="s">
        <v>5636</v>
      </c>
      <c r="D4528" s="18">
        <v>48.43</v>
      </c>
      <c r="E4528" s="18">
        <v>67.8</v>
      </c>
      <c r="F4528" s="18">
        <v>12.0</v>
      </c>
    </row>
    <row r="4529">
      <c r="A4529" s="15">
        <v>25.0</v>
      </c>
      <c r="B4529" s="16" t="s">
        <v>3683</v>
      </c>
      <c r="C4529" s="16" t="s">
        <v>5558</v>
      </c>
      <c r="D4529" s="18">
        <v>36.59</v>
      </c>
      <c r="E4529" s="18">
        <v>50.8</v>
      </c>
      <c r="F4529" s="18">
        <v>12.0</v>
      </c>
    </row>
    <row r="4530">
      <c r="A4530" s="15">
        <v>26.0</v>
      </c>
      <c r="B4530" s="16" t="s">
        <v>9479</v>
      </c>
      <c r="C4530" s="17" t="s">
        <v>5636</v>
      </c>
      <c r="D4530" s="18">
        <v>122.98</v>
      </c>
      <c r="E4530" s="18">
        <v>181.4</v>
      </c>
      <c r="F4530" s="18">
        <v>18.0</v>
      </c>
    </row>
    <row r="4531">
      <c r="A4531" s="15">
        <v>27.0</v>
      </c>
      <c r="B4531" s="16" t="s">
        <v>3685</v>
      </c>
      <c r="C4531" s="16" t="s">
        <v>5558</v>
      </c>
      <c r="D4531" s="18">
        <v>260.34</v>
      </c>
      <c r="E4531" s="18">
        <v>384.0</v>
      </c>
      <c r="F4531" s="18">
        <v>18.0</v>
      </c>
    </row>
    <row r="4532">
      <c r="A4532" s="15">
        <v>28.0</v>
      </c>
      <c r="B4532" s="16" t="s">
        <v>9480</v>
      </c>
      <c r="C4532" s="17" t="s">
        <v>6780</v>
      </c>
      <c r="D4532" s="18">
        <v>94.12</v>
      </c>
      <c r="E4532" s="18">
        <v>130.6</v>
      </c>
      <c r="F4532" s="18">
        <v>12.0</v>
      </c>
    </row>
    <row r="4533">
      <c r="A4533" s="15">
        <v>29.0</v>
      </c>
      <c r="B4533" s="16" t="s">
        <v>9481</v>
      </c>
      <c r="C4533" s="17" t="s">
        <v>7672</v>
      </c>
      <c r="D4533" s="18">
        <v>85.5</v>
      </c>
      <c r="E4533" s="18">
        <v>119.7</v>
      </c>
      <c r="F4533" s="18">
        <v>12.0</v>
      </c>
    </row>
    <row r="4534">
      <c r="A4534" s="15">
        <v>30.0</v>
      </c>
      <c r="B4534" s="16" t="s">
        <v>9482</v>
      </c>
      <c r="C4534" s="17" t="s">
        <v>5636</v>
      </c>
      <c r="D4534" s="18">
        <v>355.25</v>
      </c>
      <c r="E4534" s="18">
        <v>524.0</v>
      </c>
      <c r="F4534" s="18">
        <v>18.0</v>
      </c>
    </row>
    <row r="4535">
      <c r="A4535" s="15">
        <v>31.0</v>
      </c>
      <c r="B4535" s="16" t="s">
        <v>9483</v>
      </c>
      <c r="C4535" s="17" t="s">
        <v>5536</v>
      </c>
      <c r="D4535" s="18">
        <v>215.5</v>
      </c>
      <c r="E4535" s="18">
        <v>299.0</v>
      </c>
      <c r="F4535" s="18">
        <v>12.0</v>
      </c>
    </row>
    <row r="4536">
      <c r="A4536" s="15">
        <v>32.0</v>
      </c>
      <c r="B4536" s="16" t="s">
        <v>9484</v>
      </c>
      <c r="C4536" s="17" t="s">
        <v>5536</v>
      </c>
      <c r="D4536" s="18">
        <v>287.58</v>
      </c>
      <c r="E4536" s="18">
        <v>399.0</v>
      </c>
      <c r="F4536" s="18">
        <v>12.0</v>
      </c>
    </row>
    <row r="4537">
      <c r="A4537" s="15">
        <v>33.0</v>
      </c>
      <c r="B4537" s="16" t="s">
        <v>9485</v>
      </c>
      <c r="C4537" s="17" t="s">
        <v>5636</v>
      </c>
      <c r="D4537" s="18">
        <v>50.57</v>
      </c>
      <c r="E4537" s="18">
        <v>70.8</v>
      </c>
      <c r="F4537" s="18">
        <v>12.0</v>
      </c>
    </row>
    <row r="4538">
      <c r="A4538" s="15">
        <v>34.0</v>
      </c>
      <c r="B4538" s="16" t="s">
        <v>9486</v>
      </c>
      <c r="C4538" s="17" t="s">
        <v>5636</v>
      </c>
      <c r="D4538" s="18">
        <v>171.29</v>
      </c>
      <c r="E4538" s="18">
        <v>239.8</v>
      </c>
      <c r="F4538" s="18">
        <v>12.0</v>
      </c>
    </row>
    <row r="4539">
      <c r="A4539" s="15">
        <v>35.0</v>
      </c>
      <c r="B4539" s="16" t="s">
        <v>9487</v>
      </c>
      <c r="C4539" s="17" t="s">
        <v>5636</v>
      </c>
      <c r="D4539" s="18">
        <v>112.43</v>
      </c>
      <c r="E4539" s="18">
        <v>157.4</v>
      </c>
      <c r="F4539" s="18">
        <v>12.0</v>
      </c>
    </row>
    <row r="4540">
      <c r="A4540" s="15">
        <v>36.0</v>
      </c>
      <c r="B4540" s="16" t="s">
        <v>9488</v>
      </c>
      <c r="C4540" s="17" t="s">
        <v>9489</v>
      </c>
      <c r="D4540" s="18">
        <v>132.62</v>
      </c>
      <c r="E4540" s="18">
        <v>184.0</v>
      </c>
      <c r="F4540" s="18">
        <v>12.0</v>
      </c>
    </row>
    <row r="4541">
      <c r="A4541" s="15">
        <v>37.0</v>
      </c>
      <c r="B4541" s="16" t="s">
        <v>9488</v>
      </c>
      <c r="C4541" s="17" t="s">
        <v>5960</v>
      </c>
      <c r="D4541" s="18">
        <v>111.71</v>
      </c>
      <c r="E4541" s="18">
        <v>155.0</v>
      </c>
      <c r="F4541" s="18">
        <v>12.0</v>
      </c>
    </row>
    <row r="4542">
      <c r="A4542" s="15">
        <v>38.0</v>
      </c>
      <c r="B4542" s="16" t="s">
        <v>9490</v>
      </c>
      <c r="C4542" s="17" t="s">
        <v>9491</v>
      </c>
      <c r="D4542" s="18">
        <v>59.45</v>
      </c>
      <c r="E4542" s="18">
        <v>90.7</v>
      </c>
      <c r="F4542" s="18">
        <v>12.0</v>
      </c>
    </row>
    <row r="4543">
      <c r="A4543" s="15">
        <v>39.0</v>
      </c>
      <c r="B4543" s="16" t="s">
        <v>9490</v>
      </c>
      <c r="C4543" s="17" t="s">
        <v>9492</v>
      </c>
      <c r="D4543" s="18">
        <v>70.56</v>
      </c>
      <c r="E4543" s="18">
        <v>97.9</v>
      </c>
      <c r="F4543" s="18">
        <v>12.0</v>
      </c>
    </row>
    <row r="4544">
      <c r="A4544" s="15">
        <v>40.0</v>
      </c>
      <c r="B4544" s="16" t="s">
        <v>9490</v>
      </c>
      <c r="C4544" s="17" t="s">
        <v>5802</v>
      </c>
      <c r="D4544" s="18">
        <v>68.19</v>
      </c>
      <c r="E4544" s="18">
        <v>90.1</v>
      </c>
      <c r="F4544" s="18">
        <v>12.0</v>
      </c>
    </row>
    <row r="4545">
      <c r="A4545" s="15">
        <v>41.0</v>
      </c>
      <c r="B4545" s="16" t="s">
        <v>9493</v>
      </c>
      <c r="C4545" s="17" t="s">
        <v>8087</v>
      </c>
      <c r="D4545" s="18">
        <v>42.75</v>
      </c>
      <c r="E4545" s="18">
        <v>59.85</v>
      </c>
      <c r="F4545" s="18">
        <v>12.0</v>
      </c>
    </row>
    <row r="4546">
      <c r="A4546" s="15">
        <v>42.0</v>
      </c>
      <c r="B4546" s="16" t="s">
        <v>9494</v>
      </c>
      <c r="C4546" s="16" t="s">
        <v>9495</v>
      </c>
      <c r="D4546" s="18">
        <v>195.64</v>
      </c>
      <c r="E4546" s="18">
        <v>273.9</v>
      </c>
      <c r="F4546" s="18">
        <v>12.0</v>
      </c>
    </row>
    <row r="4547">
      <c r="A4547" s="15">
        <v>43.0</v>
      </c>
      <c r="B4547" s="16" t="s">
        <v>9496</v>
      </c>
      <c r="C4547" s="17" t="s">
        <v>5922</v>
      </c>
      <c r="D4547" s="18">
        <v>170.46</v>
      </c>
      <c r="E4547" s="18">
        <v>236.5</v>
      </c>
      <c r="F4547" s="18">
        <v>12.0</v>
      </c>
    </row>
    <row r="4548">
      <c r="A4548" s="15">
        <v>44.0</v>
      </c>
      <c r="B4548" s="16" t="s">
        <v>9496</v>
      </c>
      <c r="C4548" s="17" t="s">
        <v>9497</v>
      </c>
      <c r="D4548" s="18">
        <v>209.02</v>
      </c>
      <c r="E4548" s="18">
        <v>290.0</v>
      </c>
      <c r="F4548" s="18">
        <v>12.0</v>
      </c>
    </row>
    <row r="4549">
      <c r="A4549" s="15">
        <v>45.0</v>
      </c>
      <c r="B4549" s="16" t="s">
        <v>9498</v>
      </c>
      <c r="C4549" s="17" t="s">
        <v>5636</v>
      </c>
      <c r="D4549" s="18">
        <v>237.06</v>
      </c>
      <c r="E4549" s="18">
        <v>328.9</v>
      </c>
      <c r="F4549" s="18">
        <v>12.0</v>
      </c>
    </row>
    <row r="4550">
      <c r="A4550" s="15">
        <v>46.0</v>
      </c>
      <c r="B4550" s="16" t="s">
        <v>9499</v>
      </c>
      <c r="C4550" s="17" t="s">
        <v>5636</v>
      </c>
      <c r="D4550" s="18">
        <v>118.91</v>
      </c>
      <c r="E4550" s="18">
        <v>165.0</v>
      </c>
      <c r="F4550" s="18">
        <v>12.0</v>
      </c>
    </row>
    <row r="4551">
      <c r="A4551" s="6"/>
      <c r="B4551" s="7"/>
      <c r="C4551" s="7"/>
      <c r="D4551" s="7"/>
      <c r="E4551" s="8"/>
      <c r="F4551" s="16" t="s">
        <v>9500</v>
      </c>
    </row>
    <row r="4552">
      <c r="A4552" s="6"/>
      <c r="B4552" s="7"/>
      <c r="C4552" s="7"/>
      <c r="D4552" s="7"/>
      <c r="E4552" s="7"/>
      <c r="F4552" s="8"/>
    </row>
    <row r="4553">
      <c r="A4553" s="6"/>
      <c r="B4553" s="7"/>
      <c r="C4553" s="7"/>
      <c r="D4553" s="7"/>
      <c r="E4553" s="7"/>
      <c r="F4553" s="8"/>
    </row>
    <row r="4554">
      <c r="A4554" s="6"/>
      <c r="B4554" s="7"/>
      <c r="C4554" s="7"/>
      <c r="D4554" s="7"/>
      <c r="E4554" s="7"/>
      <c r="F4554" s="8"/>
    </row>
    <row r="4555">
      <c r="A4555" s="6"/>
      <c r="B4555" s="7"/>
      <c r="C4555" s="7"/>
      <c r="D4555" s="7"/>
      <c r="E4555" s="7"/>
      <c r="F4555" s="8"/>
    </row>
    <row r="4556">
      <c r="A4556" s="9" t="s">
        <v>5582</v>
      </c>
      <c r="B4556" s="10"/>
      <c r="C4556" s="10"/>
      <c r="D4556" s="10"/>
      <c r="E4556" s="10"/>
      <c r="F4556" s="10"/>
    </row>
    <row r="4557">
      <c r="A4557" s="19" t="s">
        <v>5583</v>
      </c>
    </row>
    <row r="4558">
      <c r="A4558" s="6"/>
      <c r="B4558" s="7"/>
      <c r="C4558" s="7"/>
      <c r="D4558" s="8"/>
      <c r="E4558" s="12" t="s">
        <v>5584</v>
      </c>
      <c r="F4558" s="12" t="s">
        <v>9501</v>
      </c>
    </row>
    <row r="4559">
      <c r="A4559" s="20" t="s">
        <v>5522</v>
      </c>
      <c r="B4559" s="16" t="s">
        <v>5523</v>
      </c>
      <c r="C4559" s="16" t="s">
        <v>5524</v>
      </c>
      <c r="D4559" s="16" t="s">
        <v>5525</v>
      </c>
      <c r="E4559" s="16" t="s">
        <v>5526</v>
      </c>
      <c r="F4559" s="16" t="s">
        <v>5586</v>
      </c>
    </row>
    <row r="4560">
      <c r="A4560" s="15">
        <v>47.0</v>
      </c>
      <c r="B4560" s="16" t="s">
        <v>9502</v>
      </c>
      <c r="C4560" s="17" t="s">
        <v>9503</v>
      </c>
      <c r="D4560" s="18">
        <v>34.36</v>
      </c>
      <c r="E4560" s="18">
        <v>47.19</v>
      </c>
      <c r="F4560" s="18">
        <v>12.0</v>
      </c>
    </row>
    <row r="4561">
      <c r="A4561" s="6"/>
      <c r="B4561" s="7"/>
      <c r="C4561" s="7"/>
      <c r="D4561" s="7"/>
      <c r="E4561" s="7"/>
      <c r="F4561" s="8"/>
    </row>
    <row r="4562">
      <c r="A4562" s="9" t="s">
        <v>9504</v>
      </c>
      <c r="B4562" s="10"/>
      <c r="C4562" s="10"/>
      <c r="D4562" s="10"/>
      <c r="E4562" s="10"/>
      <c r="F4562" s="10"/>
    </row>
    <row r="4563">
      <c r="A4563" s="11">
        <v>1.0</v>
      </c>
      <c r="B4563" s="12" t="s">
        <v>9505</v>
      </c>
      <c r="C4563" s="13" t="s">
        <v>7619</v>
      </c>
      <c r="D4563" s="14">
        <v>125.0</v>
      </c>
      <c r="E4563" s="14">
        <v>175.0</v>
      </c>
      <c r="F4563" s="14">
        <v>12.0</v>
      </c>
    </row>
    <row r="4564">
      <c r="A4564" s="15">
        <v>2.0</v>
      </c>
      <c r="B4564" s="16" t="s">
        <v>9506</v>
      </c>
      <c r="C4564" s="17" t="s">
        <v>5705</v>
      </c>
      <c r="D4564" s="18">
        <v>100.72</v>
      </c>
      <c r="E4564" s="18">
        <v>134.29</v>
      </c>
      <c r="F4564" s="18">
        <v>12.0</v>
      </c>
    </row>
    <row r="4565">
      <c r="A4565" s="15">
        <v>3.0</v>
      </c>
      <c r="B4565" s="16" t="s">
        <v>9506</v>
      </c>
      <c r="C4565" s="17" t="s">
        <v>9507</v>
      </c>
      <c r="D4565" s="18">
        <v>128.57</v>
      </c>
      <c r="E4565" s="18">
        <v>180.0</v>
      </c>
      <c r="F4565" s="18">
        <v>12.0</v>
      </c>
    </row>
    <row r="4566">
      <c r="A4566" s="15">
        <v>4.0</v>
      </c>
      <c r="B4566" s="16" t="s">
        <v>9508</v>
      </c>
      <c r="C4566" s="17" t="s">
        <v>6604</v>
      </c>
      <c r="D4566" s="18">
        <v>45.57</v>
      </c>
      <c r="E4566" s="18">
        <v>63.8</v>
      </c>
      <c r="F4566" s="18">
        <v>12.0</v>
      </c>
    </row>
    <row r="4567">
      <c r="A4567" s="15">
        <v>5.0</v>
      </c>
      <c r="B4567" s="16" t="s">
        <v>9509</v>
      </c>
      <c r="C4567" s="17" t="s">
        <v>9510</v>
      </c>
      <c r="D4567" s="18">
        <v>42.43</v>
      </c>
      <c r="E4567" s="18">
        <v>59.4</v>
      </c>
      <c r="F4567" s="18">
        <v>12.0</v>
      </c>
    </row>
    <row r="4568">
      <c r="A4568" s="15">
        <v>6.0</v>
      </c>
      <c r="B4568" s="16" t="s">
        <v>9511</v>
      </c>
      <c r="C4568" s="17" t="s">
        <v>7619</v>
      </c>
      <c r="D4568" s="18">
        <v>76.43</v>
      </c>
      <c r="E4568" s="18">
        <v>107.0</v>
      </c>
      <c r="F4568" s="18">
        <v>12.0</v>
      </c>
    </row>
    <row r="4569">
      <c r="A4569" s="15">
        <v>7.0</v>
      </c>
      <c r="B4569" s="16" t="s">
        <v>9512</v>
      </c>
      <c r="C4569" s="17" t="s">
        <v>7619</v>
      </c>
      <c r="D4569" s="18">
        <v>76.87</v>
      </c>
      <c r="E4569" s="18">
        <v>105.6</v>
      </c>
      <c r="F4569" s="18">
        <v>12.0</v>
      </c>
    </row>
    <row r="4570">
      <c r="A4570" s="15">
        <v>8.0</v>
      </c>
      <c r="B4570" s="16" t="s">
        <v>9513</v>
      </c>
      <c r="C4570" s="17" t="s">
        <v>6614</v>
      </c>
      <c r="D4570" s="18">
        <v>82.11</v>
      </c>
      <c r="E4570" s="18">
        <v>114.95</v>
      </c>
      <c r="F4570" s="18">
        <v>12.0</v>
      </c>
    </row>
    <row r="4571">
      <c r="A4571" s="15">
        <v>9.0</v>
      </c>
      <c r="B4571" s="16" t="s">
        <v>9514</v>
      </c>
      <c r="C4571" s="17" t="s">
        <v>5562</v>
      </c>
      <c r="D4571" s="18">
        <v>153.4</v>
      </c>
      <c r="E4571" s="18">
        <v>226.27</v>
      </c>
      <c r="F4571" s="18">
        <v>18.0</v>
      </c>
    </row>
    <row r="4572">
      <c r="A4572" s="15">
        <v>10.0</v>
      </c>
      <c r="B4572" s="16" t="s">
        <v>3716</v>
      </c>
      <c r="C4572" s="16" t="s">
        <v>5558</v>
      </c>
      <c r="D4572" s="18">
        <v>58.17</v>
      </c>
      <c r="E4572" s="18">
        <v>85.8</v>
      </c>
      <c r="F4572" s="18">
        <v>18.0</v>
      </c>
    </row>
    <row r="4573">
      <c r="A4573" s="15">
        <v>11.0</v>
      </c>
      <c r="B4573" s="16" t="s">
        <v>9515</v>
      </c>
      <c r="C4573" s="17" t="s">
        <v>7619</v>
      </c>
      <c r="D4573" s="18">
        <v>92.86</v>
      </c>
      <c r="E4573" s="18">
        <v>130.0</v>
      </c>
      <c r="F4573" s="18">
        <v>12.0</v>
      </c>
    </row>
    <row r="4574">
      <c r="A4574" s="15">
        <v>12.0</v>
      </c>
      <c r="B4574" s="16" t="s">
        <v>9516</v>
      </c>
      <c r="C4574" s="17" t="s">
        <v>6614</v>
      </c>
      <c r="D4574" s="18">
        <v>79.29</v>
      </c>
      <c r="E4574" s="18">
        <v>108.9</v>
      </c>
      <c r="F4574" s="18">
        <v>12.0</v>
      </c>
    </row>
    <row r="4575">
      <c r="A4575" s="6"/>
      <c r="B4575" s="7"/>
      <c r="C4575" s="7"/>
      <c r="D4575" s="7"/>
      <c r="E4575" s="7"/>
      <c r="F4575" s="8"/>
    </row>
    <row r="4576">
      <c r="A4576" s="9" t="s">
        <v>9517</v>
      </c>
      <c r="B4576" s="10"/>
      <c r="C4576" s="10"/>
      <c r="D4576" s="10"/>
      <c r="E4576" s="10"/>
      <c r="F4576" s="10"/>
    </row>
    <row r="4577">
      <c r="A4577" s="6"/>
      <c r="B4577" s="7"/>
      <c r="C4577" s="7"/>
      <c r="D4577" s="7"/>
      <c r="E4577" s="7"/>
      <c r="F4577" s="8"/>
    </row>
    <row r="4578">
      <c r="A4578" s="9" t="s">
        <v>9518</v>
      </c>
      <c r="B4578" s="10"/>
      <c r="C4578" s="10"/>
      <c r="D4578" s="10"/>
      <c r="E4578" s="10"/>
      <c r="F4578" s="10"/>
    </row>
    <row r="4579">
      <c r="A4579" s="11">
        <v>1.0</v>
      </c>
      <c r="B4579" s="12" t="s">
        <v>3719</v>
      </c>
      <c r="C4579" s="12" t="s">
        <v>5679</v>
      </c>
      <c r="D4579" s="14">
        <v>1070.71</v>
      </c>
      <c r="E4579" s="14">
        <v>1499.0</v>
      </c>
      <c r="F4579" s="14">
        <v>12.0</v>
      </c>
    </row>
    <row r="4580">
      <c r="A4580" s="6"/>
      <c r="B4580" s="7"/>
      <c r="C4580" s="7"/>
      <c r="D4580" s="7"/>
      <c r="E4580" s="7"/>
      <c r="F4580" s="8"/>
    </row>
    <row r="4581">
      <c r="A4581" s="9" t="s">
        <v>9519</v>
      </c>
      <c r="B4581" s="10"/>
      <c r="C4581" s="10"/>
      <c r="D4581" s="10"/>
      <c r="E4581" s="10"/>
      <c r="F4581" s="10"/>
    </row>
    <row r="4582">
      <c r="A4582" s="11">
        <v>1.0</v>
      </c>
      <c r="B4582" s="12" t="s">
        <v>9520</v>
      </c>
      <c r="C4582" s="13" t="s">
        <v>5562</v>
      </c>
      <c r="D4582" s="14">
        <v>120.71</v>
      </c>
      <c r="E4582" s="14">
        <v>169.0</v>
      </c>
      <c r="F4582" s="14">
        <v>12.0</v>
      </c>
    </row>
    <row r="4583">
      <c r="A4583" s="15">
        <v>2.0</v>
      </c>
      <c r="B4583" s="16" t="s">
        <v>9521</v>
      </c>
      <c r="C4583" s="17" t="s">
        <v>9522</v>
      </c>
      <c r="D4583" s="18">
        <v>101.02</v>
      </c>
      <c r="E4583" s="18">
        <v>149.0</v>
      </c>
      <c r="F4583" s="18">
        <v>18.0</v>
      </c>
    </row>
    <row r="4584">
      <c r="A4584" s="15">
        <v>3.0</v>
      </c>
      <c r="B4584" s="16" t="s">
        <v>9521</v>
      </c>
      <c r="C4584" s="17" t="s">
        <v>9523</v>
      </c>
      <c r="D4584" s="18">
        <v>210.72</v>
      </c>
      <c r="E4584" s="18">
        <v>295.0</v>
      </c>
      <c r="F4584" s="18">
        <v>12.0</v>
      </c>
    </row>
    <row r="4585">
      <c r="A4585" s="15">
        <v>4.0</v>
      </c>
      <c r="B4585" s="16" t="s">
        <v>9524</v>
      </c>
      <c r="C4585" s="17" t="s">
        <v>9525</v>
      </c>
      <c r="D4585" s="18">
        <v>220.34</v>
      </c>
      <c r="E4585" s="18">
        <v>325.0</v>
      </c>
      <c r="F4585" s="18">
        <v>18.0</v>
      </c>
    </row>
    <row r="4586">
      <c r="A4586" s="15">
        <v>5.0</v>
      </c>
      <c r="B4586" s="16" t="s">
        <v>9526</v>
      </c>
      <c r="C4586" s="17" t="s">
        <v>5618</v>
      </c>
      <c r="D4586" s="18">
        <v>196.43</v>
      </c>
      <c r="E4586" s="18">
        <v>275.0</v>
      </c>
      <c r="F4586" s="18">
        <v>12.0</v>
      </c>
    </row>
    <row r="4587">
      <c r="A4587" s="15">
        <v>6.0</v>
      </c>
      <c r="B4587" s="16" t="s">
        <v>9527</v>
      </c>
      <c r="C4587" s="17" t="s">
        <v>5636</v>
      </c>
      <c r="D4587" s="18">
        <v>264.29</v>
      </c>
      <c r="E4587" s="18">
        <v>370.0</v>
      </c>
      <c r="F4587" s="18">
        <v>12.0</v>
      </c>
    </row>
    <row r="4588">
      <c r="A4588" s="15">
        <v>7.0</v>
      </c>
      <c r="B4588" s="16" t="s">
        <v>9528</v>
      </c>
      <c r="C4588" s="17" t="s">
        <v>5536</v>
      </c>
      <c r="D4588" s="18">
        <v>385.0</v>
      </c>
      <c r="E4588" s="18">
        <v>539.0</v>
      </c>
      <c r="F4588" s="18">
        <v>12.0</v>
      </c>
    </row>
    <row r="4589">
      <c r="A4589" s="15">
        <v>8.0</v>
      </c>
      <c r="B4589" s="16" t="s">
        <v>9529</v>
      </c>
      <c r="C4589" s="17" t="s">
        <v>9530</v>
      </c>
      <c r="D4589" s="18">
        <v>177.86</v>
      </c>
      <c r="E4589" s="18">
        <v>249.0</v>
      </c>
      <c r="F4589" s="18">
        <v>12.0</v>
      </c>
    </row>
    <row r="4590">
      <c r="A4590" s="15">
        <v>9.0</v>
      </c>
      <c r="B4590" s="16" t="s">
        <v>9531</v>
      </c>
      <c r="C4590" s="17" t="s">
        <v>5614</v>
      </c>
      <c r="D4590" s="18">
        <v>107.14</v>
      </c>
      <c r="E4590" s="18">
        <v>150.0</v>
      </c>
      <c r="F4590" s="18">
        <v>12.0</v>
      </c>
    </row>
    <row r="4591">
      <c r="A4591" s="15">
        <v>10.0</v>
      </c>
      <c r="B4591" s="16" t="s">
        <v>3731</v>
      </c>
      <c r="C4591" s="16" t="s">
        <v>5679</v>
      </c>
      <c r="D4591" s="18">
        <v>92.14</v>
      </c>
      <c r="E4591" s="18">
        <v>129.0</v>
      </c>
      <c r="F4591" s="18">
        <v>12.0</v>
      </c>
    </row>
    <row r="4592">
      <c r="A4592" s="15">
        <v>11.0</v>
      </c>
      <c r="B4592" s="16" t="s">
        <v>9532</v>
      </c>
      <c r="C4592" s="17" t="s">
        <v>5562</v>
      </c>
      <c r="D4592" s="18">
        <v>155.0</v>
      </c>
      <c r="E4592" s="18">
        <v>217.0</v>
      </c>
      <c r="F4592" s="18">
        <v>12.0</v>
      </c>
    </row>
    <row r="4593">
      <c r="A4593" s="15">
        <v>12.0</v>
      </c>
      <c r="B4593" s="16" t="s">
        <v>3733</v>
      </c>
      <c r="C4593" s="16" t="s">
        <v>7497</v>
      </c>
      <c r="D4593" s="18">
        <v>64.29</v>
      </c>
      <c r="E4593" s="18">
        <v>90.0</v>
      </c>
      <c r="F4593" s="18">
        <v>12.0</v>
      </c>
    </row>
    <row r="4594">
      <c r="A4594" s="15">
        <v>13.0</v>
      </c>
      <c r="B4594" s="16" t="s">
        <v>9533</v>
      </c>
      <c r="C4594" s="17" t="s">
        <v>6305</v>
      </c>
      <c r="D4594" s="18">
        <v>92.14</v>
      </c>
      <c r="E4594" s="18">
        <v>129.0</v>
      </c>
      <c r="F4594" s="18">
        <v>12.0</v>
      </c>
    </row>
    <row r="4595">
      <c r="A4595" s="15">
        <v>14.0</v>
      </c>
      <c r="B4595" s="16" t="s">
        <v>9534</v>
      </c>
      <c r="C4595" s="17" t="s">
        <v>5562</v>
      </c>
      <c r="D4595" s="18">
        <v>141.02</v>
      </c>
      <c r="E4595" s="18">
        <v>208.0</v>
      </c>
      <c r="F4595" s="18">
        <v>18.0</v>
      </c>
    </row>
    <row r="4596">
      <c r="A4596" s="15">
        <v>15.0</v>
      </c>
      <c r="B4596" s="16" t="s">
        <v>9534</v>
      </c>
      <c r="C4596" s="17" t="s">
        <v>9535</v>
      </c>
      <c r="D4596" s="18">
        <v>338.31</v>
      </c>
      <c r="E4596" s="18">
        <v>499.0</v>
      </c>
      <c r="F4596" s="18">
        <v>18.0</v>
      </c>
    </row>
    <row r="4597">
      <c r="A4597" s="15">
        <v>16.0</v>
      </c>
      <c r="B4597" s="16" t="s">
        <v>3737</v>
      </c>
      <c r="C4597" s="16" t="s">
        <v>5679</v>
      </c>
      <c r="D4597" s="18">
        <v>114.58</v>
      </c>
      <c r="E4597" s="18">
        <v>169.0</v>
      </c>
      <c r="F4597" s="18">
        <v>18.0</v>
      </c>
    </row>
    <row r="4598">
      <c r="A4598" s="15">
        <v>17.0</v>
      </c>
      <c r="B4598" s="16" t="s">
        <v>9536</v>
      </c>
      <c r="C4598" s="17" t="s">
        <v>9537</v>
      </c>
      <c r="D4598" s="18">
        <v>1278.57</v>
      </c>
      <c r="E4598" s="18">
        <v>1790.0</v>
      </c>
      <c r="F4598" s="18">
        <v>12.0</v>
      </c>
    </row>
    <row r="4599">
      <c r="A4599" s="15">
        <v>18.0</v>
      </c>
      <c r="B4599" s="16" t="s">
        <v>3739</v>
      </c>
      <c r="C4599" s="16" t="s">
        <v>5558</v>
      </c>
      <c r="D4599" s="18">
        <v>186.44</v>
      </c>
      <c r="E4599" s="18">
        <v>275.0</v>
      </c>
      <c r="F4599" s="18">
        <v>18.0</v>
      </c>
    </row>
    <row r="4600">
      <c r="A4600" s="15">
        <v>19.0</v>
      </c>
      <c r="B4600" s="16" t="s">
        <v>9538</v>
      </c>
      <c r="C4600" s="17" t="s">
        <v>5562</v>
      </c>
      <c r="D4600" s="18">
        <v>117.86</v>
      </c>
      <c r="E4600" s="18">
        <v>165.0</v>
      </c>
      <c r="F4600" s="18">
        <v>12.0</v>
      </c>
    </row>
    <row r="4601">
      <c r="A4601" s="15">
        <v>20.0</v>
      </c>
      <c r="B4601" s="16" t="s">
        <v>9539</v>
      </c>
      <c r="C4601" s="17" t="s">
        <v>9540</v>
      </c>
      <c r="D4601" s="18">
        <v>160.71</v>
      </c>
      <c r="E4601" s="18">
        <v>225.0</v>
      </c>
      <c r="F4601" s="18">
        <v>12.0</v>
      </c>
    </row>
    <row r="4602">
      <c r="A4602" s="15">
        <v>21.0</v>
      </c>
      <c r="B4602" s="16" t="s">
        <v>9541</v>
      </c>
      <c r="C4602" s="17" t="s">
        <v>5562</v>
      </c>
      <c r="D4602" s="18">
        <v>70.71</v>
      </c>
      <c r="E4602" s="18">
        <v>99.0</v>
      </c>
      <c r="F4602" s="18">
        <v>12.0</v>
      </c>
    </row>
    <row r="4603">
      <c r="A4603" s="15">
        <v>22.0</v>
      </c>
      <c r="B4603" s="16" t="s">
        <v>3743</v>
      </c>
      <c r="C4603" s="16" t="s">
        <v>5679</v>
      </c>
      <c r="D4603" s="18">
        <v>125.0</v>
      </c>
      <c r="E4603" s="18">
        <v>175.0</v>
      </c>
      <c r="F4603" s="18">
        <v>12.0</v>
      </c>
    </row>
    <row r="4604">
      <c r="A4604" s="15">
        <v>23.0</v>
      </c>
      <c r="B4604" s="16" t="s">
        <v>9542</v>
      </c>
      <c r="C4604" s="16" t="s">
        <v>301</v>
      </c>
      <c r="D4604" s="18">
        <v>142.14</v>
      </c>
      <c r="E4604" s="18">
        <v>199.0</v>
      </c>
      <c r="F4604" s="18">
        <v>12.0</v>
      </c>
    </row>
    <row r="4605">
      <c r="A4605" s="15">
        <v>24.0</v>
      </c>
      <c r="B4605" s="16" t="s">
        <v>9542</v>
      </c>
      <c r="C4605" s="16" t="s">
        <v>8137</v>
      </c>
      <c r="D4605" s="18">
        <v>285.0</v>
      </c>
      <c r="E4605" s="18">
        <v>399.0</v>
      </c>
      <c r="F4605" s="18">
        <v>12.0</v>
      </c>
    </row>
    <row r="4606">
      <c r="A4606" s="15">
        <v>25.0</v>
      </c>
      <c r="B4606" s="16" t="s">
        <v>9543</v>
      </c>
      <c r="C4606" s="17" t="s">
        <v>5677</v>
      </c>
      <c r="D4606" s="18">
        <v>160.71</v>
      </c>
      <c r="E4606" s="18">
        <v>225.0</v>
      </c>
      <c r="F4606" s="18">
        <v>12.0</v>
      </c>
    </row>
    <row r="4607">
      <c r="A4607" s="15">
        <v>26.0</v>
      </c>
      <c r="B4607" s="16" t="s">
        <v>9544</v>
      </c>
      <c r="C4607" s="17" t="s">
        <v>5636</v>
      </c>
      <c r="D4607" s="18">
        <v>220.34</v>
      </c>
      <c r="E4607" s="18">
        <v>325.0</v>
      </c>
      <c r="F4607" s="18">
        <v>18.0</v>
      </c>
    </row>
    <row r="4608">
      <c r="A4608" s="15">
        <v>27.0</v>
      </c>
      <c r="B4608" s="16" t="s">
        <v>3748</v>
      </c>
      <c r="C4608" s="16" t="s">
        <v>5558</v>
      </c>
      <c r="D4608" s="18">
        <v>110.71</v>
      </c>
      <c r="E4608" s="18">
        <v>155.0</v>
      </c>
      <c r="F4608" s="18">
        <v>12.0</v>
      </c>
    </row>
    <row r="4609">
      <c r="A4609" s="15">
        <v>28.0</v>
      </c>
      <c r="B4609" s="16" t="s">
        <v>3749</v>
      </c>
      <c r="C4609" s="16" t="s">
        <v>5558</v>
      </c>
      <c r="D4609" s="18">
        <v>118.64</v>
      </c>
      <c r="E4609" s="18">
        <v>175.0</v>
      </c>
      <c r="F4609" s="18">
        <v>18.0</v>
      </c>
    </row>
    <row r="4610">
      <c r="A4610" s="6"/>
      <c r="B4610" s="7"/>
      <c r="C4610" s="7"/>
      <c r="D4610" s="7"/>
      <c r="E4610" s="7"/>
      <c r="F4610" s="8"/>
    </row>
    <row r="4611">
      <c r="A4611" s="9" t="s">
        <v>9545</v>
      </c>
      <c r="B4611" s="10"/>
      <c r="C4611" s="10"/>
      <c r="D4611" s="10"/>
      <c r="E4611" s="10"/>
      <c r="F4611" s="10"/>
    </row>
    <row r="4612">
      <c r="A4612" s="11">
        <v>1.0</v>
      </c>
      <c r="B4612" s="12" t="s">
        <v>3750</v>
      </c>
      <c r="C4612" s="12" t="s">
        <v>5679</v>
      </c>
      <c r="D4612" s="14">
        <v>71.36</v>
      </c>
      <c r="E4612" s="14">
        <v>99.0</v>
      </c>
      <c r="F4612" s="14">
        <v>12.0</v>
      </c>
    </row>
    <row r="4613">
      <c r="A4613" s="15">
        <v>2.0</v>
      </c>
      <c r="B4613" s="16" t="s">
        <v>9546</v>
      </c>
      <c r="C4613" s="17" t="s">
        <v>5636</v>
      </c>
      <c r="D4613" s="18">
        <v>56.43</v>
      </c>
      <c r="E4613" s="18">
        <v>79.0</v>
      </c>
      <c r="F4613" s="18">
        <v>12.0</v>
      </c>
    </row>
    <row r="4614">
      <c r="A4614" s="15">
        <v>3.0</v>
      </c>
      <c r="B4614" s="16" t="s">
        <v>9547</v>
      </c>
      <c r="C4614" s="17" t="s">
        <v>9548</v>
      </c>
      <c r="D4614" s="18">
        <v>235.0</v>
      </c>
      <c r="E4614" s="18">
        <v>329.0</v>
      </c>
      <c r="F4614" s="18">
        <v>12.0</v>
      </c>
    </row>
    <row r="4615">
      <c r="A4615" s="15">
        <v>4.0</v>
      </c>
      <c r="B4615" s="16" t="s">
        <v>9549</v>
      </c>
      <c r="C4615" s="17" t="s">
        <v>6305</v>
      </c>
      <c r="D4615" s="18">
        <v>85.0</v>
      </c>
      <c r="E4615" s="18">
        <v>119.0</v>
      </c>
      <c r="F4615" s="18">
        <v>12.0</v>
      </c>
    </row>
    <row r="4616">
      <c r="A4616" s="15">
        <v>5.0</v>
      </c>
      <c r="B4616" s="16" t="s">
        <v>9521</v>
      </c>
      <c r="C4616" s="17" t="s">
        <v>5562</v>
      </c>
      <c r="D4616" s="18">
        <v>141.43</v>
      </c>
      <c r="E4616" s="18">
        <v>198.0</v>
      </c>
      <c r="F4616" s="18">
        <v>12.0</v>
      </c>
    </row>
    <row r="4617">
      <c r="A4617" s="15">
        <v>6.0</v>
      </c>
      <c r="B4617" s="16" t="s">
        <v>9550</v>
      </c>
      <c r="C4617" s="17" t="s">
        <v>5562</v>
      </c>
      <c r="D4617" s="18">
        <v>82.88</v>
      </c>
      <c r="E4617" s="18">
        <v>115.0</v>
      </c>
      <c r="F4617" s="18">
        <v>12.0</v>
      </c>
    </row>
    <row r="4618">
      <c r="A4618" s="15">
        <v>7.0</v>
      </c>
      <c r="B4618" s="16" t="s">
        <v>9521</v>
      </c>
      <c r="C4618" s="17" t="s">
        <v>9551</v>
      </c>
      <c r="D4618" s="18">
        <v>156.43</v>
      </c>
      <c r="E4618" s="18">
        <v>219.0</v>
      </c>
      <c r="F4618" s="18">
        <v>12.0</v>
      </c>
    </row>
    <row r="4619">
      <c r="A4619" s="15">
        <v>8.0</v>
      </c>
      <c r="B4619" s="16" t="s">
        <v>9521</v>
      </c>
      <c r="C4619" s="17" t="s">
        <v>9552</v>
      </c>
      <c r="D4619" s="18">
        <v>136.23</v>
      </c>
      <c r="E4619" s="18">
        <v>189.0</v>
      </c>
      <c r="F4619" s="18">
        <v>12.0</v>
      </c>
    </row>
    <row r="4620">
      <c r="A4620" s="15">
        <v>9.0</v>
      </c>
      <c r="B4620" s="16" t="s">
        <v>3759</v>
      </c>
      <c r="C4620" s="16" t="s">
        <v>5679</v>
      </c>
      <c r="D4620" s="18">
        <v>117.14</v>
      </c>
      <c r="E4620" s="18">
        <v>164.0</v>
      </c>
      <c r="F4620" s="18">
        <v>12.0</v>
      </c>
    </row>
    <row r="4621">
      <c r="A4621" s="6"/>
      <c r="B4621" s="7"/>
      <c r="C4621" s="7"/>
      <c r="D4621" s="7"/>
      <c r="E4621" s="8"/>
      <c r="F4621" s="16" t="s">
        <v>9553</v>
      </c>
    </row>
    <row r="4622">
      <c r="A4622" s="6"/>
      <c r="B4622" s="7"/>
      <c r="C4622" s="7"/>
      <c r="D4622" s="7"/>
      <c r="E4622" s="7"/>
      <c r="F4622" s="8"/>
    </row>
    <row r="4623">
      <c r="A4623" s="6"/>
      <c r="B4623" s="7"/>
      <c r="C4623" s="7"/>
      <c r="D4623" s="7"/>
      <c r="E4623" s="7"/>
      <c r="F4623" s="8"/>
    </row>
    <row r="4624">
      <c r="A4624" s="6"/>
      <c r="B4624" s="7"/>
      <c r="C4624" s="7"/>
      <c r="D4624" s="7"/>
      <c r="E4624" s="7"/>
      <c r="F4624" s="8"/>
    </row>
    <row r="4625">
      <c r="A4625" s="6"/>
      <c r="B4625" s="7"/>
      <c r="C4625" s="7"/>
      <c r="D4625" s="7"/>
      <c r="E4625" s="7"/>
      <c r="F4625" s="8"/>
    </row>
    <row r="4626">
      <c r="A4626" s="9" t="s">
        <v>5582</v>
      </c>
      <c r="B4626" s="10"/>
      <c r="C4626" s="10"/>
      <c r="D4626" s="10"/>
      <c r="E4626" s="10"/>
      <c r="F4626" s="10"/>
    </row>
    <row r="4627">
      <c r="A4627" s="19" t="s">
        <v>5583</v>
      </c>
    </row>
    <row r="4628">
      <c r="A4628" s="6"/>
      <c r="B4628" s="7"/>
      <c r="C4628" s="7"/>
      <c r="D4628" s="8"/>
      <c r="E4628" s="12" t="s">
        <v>5584</v>
      </c>
      <c r="F4628" s="12" t="s">
        <v>9554</v>
      </c>
    </row>
    <row r="4629">
      <c r="A4629" s="20" t="s">
        <v>5522</v>
      </c>
      <c r="B4629" s="16" t="s">
        <v>5523</v>
      </c>
      <c r="C4629" s="16" t="s">
        <v>5524</v>
      </c>
      <c r="D4629" s="16" t="s">
        <v>5525</v>
      </c>
      <c r="E4629" s="16" t="s">
        <v>5526</v>
      </c>
      <c r="F4629" s="16" t="s">
        <v>5586</v>
      </c>
    </row>
    <row r="4630">
      <c r="A4630" s="15">
        <v>10.0</v>
      </c>
      <c r="B4630" s="16" t="s">
        <v>3760</v>
      </c>
      <c r="C4630" s="16" t="s">
        <v>5679</v>
      </c>
      <c r="D4630" s="18">
        <v>392.14</v>
      </c>
      <c r="E4630" s="18">
        <v>549.0</v>
      </c>
      <c r="F4630" s="18">
        <v>12.0</v>
      </c>
    </row>
    <row r="4631">
      <c r="A4631" s="15">
        <v>11.0</v>
      </c>
      <c r="B4631" s="16" t="s">
        <v>9555</v>
      </c>
      <c r="C4631" s="17" t="s">
        <v>5603</v>
      </c>
      <c r="D4631" s="18">
        <v>152.54</v>
      </c>
      <c r="E4631" s="18">
        <v>225.0</v>
      </c>
      <c r="F4631" s="18">
        <v>18.0</v>
      </c>
    </row>
    <row r="4632">
      <c r="A4632" s="15">
        <v>12.0</v>
      </c>
      <c r="B4632" s="16" t="s">
        <v>3762</v>
      </c>
      <c r="C4632" s="16" t="s">
        <v>5679</v>
      </c>
      <c r="D4632" s="18">
        <v>85.0</v>
      </c>
      <c r="E4632" s="18">
        <v>119.0</v>
      </c>
      <c r="F4632" s="18">
        <v>12.0</v>
      </c>
    </row>
    <row r="4633">
      <c r="A4633" s="15">
        <v>13.0</v>
      </c>
      <c r="B4633" s="16" t="s">
        <v>9556</v>
      </c>
      <c r="C4633" s="17" t="s">
        <v>5562</v>
      </c>
      <c r="D4633" s="18">
        <v>116.43</v>
      </c>
      <c r="E4633" s="18">
        <v>163.0</v>
      </c>
      <c r="F4633" s="18">
        <v>12.0</v>
      </c>
    </row>
    <row r="4634">
      <c r="A4634" s="15">
        <v>14.0</v>
      </c>
      <c r="B4634" s="16" t="s">
        <v>9557</v>
      </c>
      <c r="C4634" s="17" t="s">
        <v>5562</v>
      </c>
      <c r="D4634" s="18">
        <v>92.86</v>
      </c>
      <c r="E4634" s="18">
        <v>130.0</v>
      </c>
      <c r="F4634" s="18">
        <v>12.0</v>
      </c>
    </row>
    <row r="4635">
      <c r="A4635" s="15">
        <v>15.0</v>
      </c>
      <c r="B4635" s="16" t="s">
        <v>9557</v>
      </c>
      <c r="C4635" s="17" t="s">
        <v>6289</v>
      </c>
      <c r="D4635" s="18">
        <v>106.43</v>
      </c>
      <c r="E4635" s="18">
        <v>149.0</v>
      </c>
      <c r="F4635" s="18">
        <v>12.0</v>
      </c>
    </row>
    <row r="4636">
      <c r="A4636" s="15">
        <v>16.0</v>
      </c>
      <c r="B4636" s="16" t="s">
        <v>9558</v>
      </c>
      <c r="C4636" s="17" t="s">
        <v>9559</v>
      </c>
      <c r="D4636" s="18">
        <v>499.29</v>
      </c>
      <c r="E4636" s="18">
        <v>699.0</v>
      </c>
      <c r="F4636" s="18">
        <v>12.0</v>
      </c>
    </row>
    <row r="4637">
      <c r="A4637" s="15">
        <v>17.0</v>
      </c>
      <c r="B4637" s="16" t="s">
        <v>9560</v>
      </c>
      <c r="C4637" s="17" t="s">
        <v>9559</v>
      </c>
      <c r="D4637" s="18">
        <v>570.71</v>
      </c>
      <c r="E4637" s="18">
        <v>799.0</v>
      </c>
      <c r="F4637" s="18">
        <v>12.0</v>
      </c>
    </row>
    <row r="4638">
      <c r="A4638" s="15">
        <v>18.0</v>
      </c>
      <c r="B4638" s="16" t="s">
        <v>9561</v>
      </c>
      <c r="C4638" s="17" t="s">
        <v>5562</v>
      </c>
      <c r="D4638" s="18">
        <v>237.12</v>
      </c>
      <c r="E4638" s="18">
        <v>329.0</v>
      </c>
      <c r="F4638" s="18">
        <v>12.0</v>
      </c>
    </row>
    <row r="4639">
      <c r="A4639" s="15">
        <v>19.0</v>
      </c>
      <c r="B4639" s="16" t="s">
        <v>9562</v>
      </c>
      <c r="C4639" s="17" t="s">
        <v>6659</v>
      </c>
      <c r="D4639" s="18">
        <v>215.5</v>
      </c>
      <c r="E4639" s="18">
        <v>299.0</v>
      </c>
      <c r="F4639" s="18">
        <v>12.0</v>
      </c>
    </row>
    <row r="4640">
      <c r="A4640" s="15">
        <v>20.0</v>
      </c>
      <c r="B4640" s="16" t="s">
        <v>9563</v>
      </c>
      <c r="C4640" s="17" t="s">
        <v>5536</v>
      </c>
      <c r="D4640" s="18">
        <v>201.07</v>
      </c>
      <c r="E4640" s="18">
        <v>279.0</v>
      </c>
      <c r="F4640" s="18">
        <v>12.0</v>
      </c>
    </row>
    <row r="4641">
      <c r="A4641" s="15">
        <v>21.0</v>
      </c>
      <c r="B4641" s="16" t="s">
        <v>9564</v>
      </c>
      <c r="C4641" s="17" t="s">
        <v>5536</v>
      </c>
      <c r="D4641" s="18">
        <v>287.58</v>
      </c>
      <c r="E4641" s="18">
        <v>399.0</v>
      </c>
      <c r="F4641" s="18">
        <v>12.0</v>
      </c>
    </row>
    <row r="4642">
      <c r="A4642" s="15">
        <v>22.0</v>
      </c>
      <c r="B4642" s="16" t="s">
        <v>9565</v>
      </c>
      <c r="C4642" s="17" t="s">
        <v>5614</v>
      </c>
      <c r="D4642" s="18">
        <v>370.71</v>
      </c>
      <c r="E4642" s="18">
        <v>519.0</v>
      </c>
      <c r="F4642" s="18">
        <v>12.0</v>
      </c>
    </row>
    <row r="4643">
      <c r="A4643" s="15">
        <v>23.0</v>
      </c>
      <c r="B4643" s="16" t="s">
        <v>9566</v>
      </c>
      <c r="C4643" s="17" t="s">
        <v>7081</v>
      </c>
      <c r="D4643" s="18">
        <v>227.14</v>
      </c>
      <c r="E4643" s="18">
        <v>318.0</v>
      </c>
      <c r="F4643" s="18">
        <v>12.0</v>
      </c>
    </row>
    <row r="4644">
      <c r="A4644" s="15">
        <v>24.0</v>
      </c>
      <c r="B4644" s="16" t="s">
        <v>9566</v>
      </c>
      <c r="C4644" s="17" t="s">
        <v>8316</v>
      </c>
      <c r="D4644" s="18">
        <v>313.57</v>
      </c>
      <c r="E4644" s="18">
        <v>439.0</v>
      </c>
      <c r="F4644" s="18">
        <v>12.0</v>
      </c>
    </row>
    <row r="4645">
      <c r="A4645" s="15">
        <v>25.0</v>
      </c>
      <c r="B4645" s="16" t="s">
        <v>9566</v>
      </c>
      <c r="C4645" s="17" t="s">
        <v>9567</v>
      </c>
      <c r="D4645" s="18">
        <v>417.86</v>
      </c>
      <c r="E4645" s="18">
        <v>585.0</v>
      </c>
      <c r="F4645" s="18">
        <v>12.0</v>
      </c>
    </row>
    <row r="4646">
      <c r="A4646" s="15">
        <v>26.0</v>
      </c>
      <c r="B4646" s="16" t="s">
        <v>9568</v>
      </c>
      <c r="C4646" s="17" t="s">
        <v>5636</v>
      </c>
      <c r="D4646" s="18">
        <v>107.14</v>
      </c>
      <c r="E4646" s="18">
        <v>150.0</v>
      </c>
      <c r="F4646" s="18">
        <v>12.0</v>
      </c>
    </row>
    <row r="4647">
      <c r="A4647" s="15">
        <v>27.0</v>
      </c>
      <c r="B4647" s="16" t="s">
        <v>3777</v>
      </c>
      <c r="C4647" s="16" t="s">
        <v>6716</v>
      </c>
      <c r="D4647" s="18">
        <v>107.14</v>
      </c>
      <c r="E4647" s="18">
        <v>150.0</v>
      </c>
      <c r="F4647" s="18">
        <v>12.0</v>
      </c>
    </row>
    <row r="4648">
      <c r="A4648" s="15">
        <v>28.0</v>
      </c>
      <c r="B4648" s="16" t="s">
        <v>3778</v>
      </c>
      <c r="C4648" s="16" t="s">
        <v>9569</v>
      </c>
      <c r="D4648" s="18">
        <v>143.4</v>
      </c>
      <c r="E4648" s="18">
        <v>199.0</v>
      </c>
      <c r="F4648" s="18">
        <v>12.0</v>
      </c>
    </row>
    <row r="4649">
      <c r="A4649" s="15">
        <v>29.0</v>
      </c>
      <c r="B4649" s="16" t="s">
        <v>9570</v>
      </c>
      <c r="C4649" s="17" t="s">
        <v>9571</v>
      </c>
      <c r="D4649" s="18">
        <v>100.0</v>
      </c>
      <c r="E4649" s="18">
        <v>140.0</v>
      </c>
      <c r="F4649" s="18">
        <v>12.0</v>
      </c>
    </row>
    <row r="4650">
      <c r="A4650" s="15">
        <v>30.0</v>
      </c>
      <c r="B4650" s="16" t="s">
        <v>9572</v>
      </c>
      <c r="C4650" s="17" t="s">
        <v>9571</v>
      </c>
      <c r="D4650" s="18">
        <v>249.29</v>
      </c>
      <c r="E4650" s="18">
        <v>349.0</v>
      </c>
      <c r="F4650" s="18">
        <v>12.0</v>
      </c>
    </row>
    <row r="4651">
      <c r="A4651" s="15">
        <v>31.0</v>
      </c>
      <c r="B4651" s="16" t="s">
        <v>9573</v>
      </c>
      <c r="C4651" s="17" t="s">
        <v>5818</v>
      </c>
      <c r="D4651" s="18">
        <v>356.43</v>
      </c>
      <c r="E4651" s="18">
        <v>499.0</v>
      </c>
      <c r="F4651" s="18">
        <v>12.0</v>
      </c>
    </row>
    <row r="4652">
      <c r="A4652" s="15">
        <v>32.0</v>
      </c>
      <c r="B4652" s="16" t="s">
        <v>9574</v>
      </c>
      <c r="C4652" s="17" t="s">
        <v>5536</v>
      </c>
      <c r="D4652" s="18">
        <v>285.0</v>
      </c>
      <c r="E4652" s="18">
        <v>399.0</v>
      </c>
      <c r="F4652" s="18">
        <v>12.0</v>
      </c>
    </row>
    <row r="4653">
      <c r="A4653" s="15">
        <v>33.0</v>
      </c>
      <c r="B4653" s="16" t="s">
        <v>9575</v>
      </c>
      <c r="C4653" s="17" t="s">
        <v>6363</v>
      </c>
      <c r="D4653" s="18">
        <v>508.47</v>
      </c>
      <c r="E4653" s="18">
        <v>750.0</v>
      </c>
      <c r="F4653" s="18">
        <v>18.0</v>
      </c>
    </row>
    <row r="4654">
      <c r="A4654" s="15">
        <v>34.0</v>
      </c>
      <c r="B4654" s="16" t="s">
        <v>9576</v>
      </c>
      <c r="C4654" s="17" t="s">
        <v>7705</v>
      </c>
      <c r="D4654" s="18">
        <v>122.86</v>
      </c>
      <c r="E4654" s="18">
        <v>172.0</v>
      </c>
      <c r="F4654" s="18">
        <v>12.0</v>
      </c>
    </row>
    <row r="4655">
      <c r="A4655" s="15">
        <v>35.0</v>
      </c>
      <c r="B4655" s="16" t="s">
        <v>9577</v>
      </c>
      <c r="C4655" s="17" t="s">
        <v>5562</v>
      </c>
      <c r="D4655" s="18">
        <v>410.17</v>
      </c>
      <c r="E4655" s="18">
        <v>605.0</v>
      </c>
      <c r="F4655" s="18">
        <v>18.0</v>
      </c>
    </row>
    <row r="4656">
      <c r="A4656" s="15">
        <v>36.0</v>
      </c>
      <c r="B4656" s="16" t="s">
        <v>9573</v>
      </c>
      <c r="C4656" s="17" t="s">
        <v>9578</v>
      </c>
      <c r="D4656" s="18">
        <v>249.29</v>
      </c>
      <c r="E4656" s="18">
        <v>349.0</v>
      </c>
      <c r="F4656" s="18">
        <v>12.0</v>
      </c>
    </row>
    <row r="4657">
      <c r="A4657" s="15">
        <v>37.0</v>
      </c>
      <c r="B4657" s="16" t="s">
        <v>9573</v>
      </c>
      <c r="C4657" s="17" t="s">
        <v>9579</v>
      </c>
      <c r="D4657" s="18">
        <v>179.45</v>
      </c>
      <c r="E4657" s="18">
        <v>249.0</v>
      </c>
      <c r="F4657" s="18">
        <v>12.0</v>
      </c>
    </row>
    <row r="4658">
      <c r="A4658" s="15">
        <v>38.0</v>
      </c>
      <c r="B4658" s="16" t="s">
        <v>3788</v>
      </c>
      <c r="C4658" s="16" t="s">
        <v>5679</v>
      </c>
      <c r="D4658" s="18">
        <v>118.64</v>
      </c>
      <c r="E4658" s="18">
        <v>175.0</v>
      </c>
      <c r="F4658" s="18">
        <v>18.0</v>
      </c>
    </row>
    <row r="4659">
      <c r="A4659" s="6"/>
      <c r="B4659" s="7"/>
      <c r="C4659" s="7"/>
      <c r="D4659" s="7"/>
      <c r="E4659" s="7"/>
      <c r="F4659" s="8"/>
    </row>
    <row r="4660">
      <c r="A4660" s="9" t="s">
        <v>9580</v>
      </c>
      <c r="B4660" s="10"/>
      <c r="C4660" s="10"/>
      <c r="D4660" s="10"/>
      <c r="E4660" s="10"/>
      <c r="F4660" s="10"/>
    </row>
    <row r="4661">
      <c r="A4661" s="6"/>
      <c r="B4661" s="7"/>
      <c r="C4661" s="7"/>
      <c r="D4661" s="7"/>
      <c r="E4661" s="7"/>
      <c r="F4661" s="8"/>
    </row>
    <row r="4662">
      <c r="A4662" s="9" t="s">
        <v>9581</v>
      </c>
      <c r="B4662" s="10"/>
      <c r="C4662" s="10"/>
      <c r="D4662" s="10"/>
      <c r="E4662" s="10"/>
      <c r="F4662" s="10"/>
    </row>
    <row r="4663">
      <c r="A4663" s="11">
        <v>1.0</v>
      </c>
      <c r="B4663" s="12" t="s">
        <v>9582</v>
      </c>
      <c r="C4663" s="13" t="s">
        <v>6068</v>
      </c>
      <c r="D4663" s="14">
        <v>53.57</v>
      </c>
      <c r="E4663" s="14">
        <v>75.0</v>
      </c>
      <c r="F4663" s="14">
        <v>12.0</v>
      </c>
    </row>
    <row r="4664">
      <c r="A4664" s="15">
        <v>2.0</v>
      </c>
      <c r="B4664" s="16" t="s">
        <v>9583</v>
      </c>
      <c r="C4664" s="17" t="s">
        <v>9584</v>
      </c>
      <c r="D4664" s="18">
        <v>35.96</v>
      </c>
      <c r="E4664" s="18">
        <v>49.9</v>
      </c>
      <c r="F4664" s="18">
        <v>12.0</v>
      </c>
    </row>
    <row r="4665">
      <c r="A4665" s="15">
        <v>3.0</v>
      </c>
      <c r="B4665" s="16" t="s">
        <v>9585</v>
      </c>
      <c r="C4665" s="17" t="s">
        <v>9586</v>
      </c>
      <c r="D4665" s="18">
        <v>82.14</v>
      </c>
      <c r="E4665" s="18">
        <v>115.0</v>
      </c>
      <c r="F4665" s="18">
        <v>12.0</v>
      </c>
    </row>
    <row r="4666">
      <c r="A4666" s="15">
        <v>4.0</v>
      </c>
      <c r="B4666" s="16" t="s">
        <v>9587</v>
      </c>
      <c r="C4666" s="16" t="s">
        <v>7306</v>
      </c>
      <c r="D4666" s="18">
        <v>36.8</v>
      </c>
      <c r="E4666" s="18">
        <v>49.0</v>
      </c>
      <c r="F4666" s="18">
        <v>12.0</v>
      </c>
    </row>
    <row r="4667">
      <c r="A4667" s="15">
        <v>5.0</v>
      </c>
      <c r="B4667" s="16" t="s">
        <v>9588</v>
      </c>
      <c r="C4667" s="17" t="s">
        <v>9589</v>
      </c>
      <c r="D4667" s="18">
        <v>4.51</v>
      </c>
      <c r="E4667" s="18">
        <v>6.0</v>
      </c>
      <c r="F4667" s="18">
        <v>12.0</v>
      </c>
    </row>
    <row r="4668">
      <c r="A4668" s="15">
        <v>6.0</v>
      </c>
      <c r="B4668" s="16" t="s">
        <v>9588</v>
      </c>
      <c r="C4668" s="17" t="s">
        <v>9590</v>
      </c>
      <c r="D4668" s="18">
        <v>4.51</v>
      </c>
      <c r="E4668" s="18">
        <v>6.0</v>
      </c>
      <c r="F4668" s="18">
        <v>12.0</v>
      </c>
    </row>
    <row r="4669">
      <c r="A4669" s="15">
        <v>7.0</v>
      </c>
      <c r="B4669" s="16" t="s">
        <v>9588</v>
      </c>
      <c r="C4669" s="17" t="s">
        <v>9591</v>
      </c>
      <c r="D4669" s="18">
        <v>9.37</v>
      </c>
      <c r="E4669" s="18">
        <v>13.0</v>
      </c>
      <c r="F4669" s="18">
        <v>12.0</v>
      </c>
    </row>
    <row r="4670">
      <c r="A4670" s="15">
        <v>8.0</v>
      </c>
      <c r="B4670" s="16" t="s">
        <v>9592</v>
      </c>
      <c r="C4670" s="17" t="s">
        <v>9593</v>
      </c>
      <c r="D4670" s="18">
        <v>4.51</v>
      </c>
      <c r="E4670" s="18">
        <v>6.0</v>
      </c>
      <c r="F4670" s="18">
        <v>12.0</v>
      </c>
    </row>
    <row r="4671">
      <c r="A4671" s="15">
        <v>9.0</v>
      </c>
      <c r="B4671" s="16" t="s">
        <v>9592</v>
      </c>
      <c r="C4671" s="17" t="s">
        <v>9594</v>
      </c>
      <c r="D4671" s="18">
        <v>4.51</v>
      </c>
      <c r="E4671" s="18">
        <v>6.0</v>
      </c>
      <c r="F4671" s="18">
        <v>12.0</v>
      </c>
    </row>
    <row r="4672">
      <c r="A4672" s="15">
        <v>10.0</v>
      </c>
      <c r="B4672" s="16" t="s">
        <v>9595</v>
      </c>
      <c r="C4672" s="17" t="s">
        <v>5636</v>
      </c>
      <c r="D4672" s="18">
        <v>67.8</v>
      </c>
      <c r="E4672" s="18">
        <v>100.0</v>
      </c>
      <c r="F4672" s="18">
        <v>18.0</v>
      </c>
    </row>
    <row r="4673">
      <c r="A4673" s="15">
        <v>11.0</v>
      </c>
      <c r="B4673" s="16" t="s">
        <v>9595</v>
      </c>
      <c r="C4673" s="17" t="s">
        <v>5565</v>
      </c>
      <c r="D4673" s="18">
        <v>203.39</v>
      </c>
      <c r="E4673" s="18">
        <v>300.0</v>
      </c>
      <c r="F4673" s="18">
        <v>18.0</v>
      </c>
    </row>
    <row r="4674">
      <c r="A4674" s="15">
        <v>12.0</v>
      </c>
      <c r="B4674" s="16" t="s">
        <v>9595</v>
      </c>
      <c r="C4674" s="17" t="s">
        <v>6487</v>
      </c>
      <c r="D4674" s="18">
        <v>372.88</v>
      </c>
      <c r="E4674" s="18">
        <v>550.0</v>
      </c>
      <c r="F4674" s="18">
        <v>18.0</v>
      </c>
    </row>
    <row r="4675">
      <c r="A4675" s="15">
        <v>13.0</v>
      </c>
      <c r="B4675" s="16" t="s">
        <v>9595</v>
      </c>
      <c r="C4675" s="17" t="s">
        <v>9596</v>
      </c>
      <c r="D4675" s="18">
        <v>74.58</v>
      </c>
      <c r="E4675" s="18">
        <v>110.0</v>
      </c>
      <c r="F4675" s="18">
        <v>18.0</v>
      </c>
    </row>
    <row r="4676">
      <c r="A4676" s="15">
        <v>14.0</v>
      </c>
      <c r="B4676" s="16" t="s">
        <v>9595</v>
      </c>
      <c r="C4676" s="17" t="s">
        <v>9597</v>
      </c>
      <c r="D4676" s="18">
        <v>233.9</v>
      </c>
      <c r="E4676" s="18">
        <v>345.0</v>
      </c>
      <c r="F4676" s="18">
        <v>18.0</v>
      </c>
    </row>
    <row r="4677">
      <c r="A4677" s="15">
        <v>15.0</v>
      </c>
      <c r="B4677" s="16" t="s">
        <v>9598</v>
      </c>
      <c r="C4677" s="17" t="s">
        <v>9596</v>
      </c>
      <c r="D4677" s="18">
        <v>74.58</v>
      </c>
      <c r="E4677" s="18">
        <v>110.0</v>
      </c>
      <c r="F4677" s="18">
        <v>18.0</v>
      </c>
    </row>
    <row r="4678">
      <c r="A4678" s="15">
        <v>16.0</v>
      </c>
      <c r="B4678" s="16" t="s">
        <v>9598</v>
      </c>
      <c r="C4678" s="17" t="s">
        <v>9597</v>
      </c>
      <c r="D4678" s="18">
        <v>131.25</v>
      </c>
      <c r="E4678" s="18">
        <v>210.0</v>
      </c>
      <c r="F4678" s="18">
        <v>18.0</v>
      </c>
    </row>
    <row r="4679">
      <c r="A4679" s="15">
        <v>17.0</v>
      </c>
      <c r="B4679" s="16" t="s">
        <v>9599</v>
      </c>
      <c r="C4679" s="17" t="s">
        <v>9600</v>
      </c>
      <c r="D4679" s="18">
        <v>30.04</v>
      </c>
      <c r="E4679" s="18">
        <v>40.0</v>
      </c>
      <c r="F4679" s="18">
        <v>12.0</v>
      </c>
    </row>
    <row r="4680">
      <c r="A4680" s="15">
        <v>18.0</v>
      </c>
      <c r="B4680" s="16" t="s">
        <v>9599</v>
      </c>
      <c r="C4680" s="17" t="s">
        <v>9601</v>
      </c>
      <c r="D4680" s="18">
        <v>7.49</v>
      </c>
      <c r="E4680" s="18">
        <v>10.0</v>
      </c>
      <c r="F4680" s="18">
        <v>12.0</v>
      </c>
    </row>
    <row r="4681">
      <c r="A4681" s="15">
        <v>19.0</v>
      </c>
      <c r="B4681" s="16" t="s">
        <v>9602</v>
      </c>
      <c r="C4681" s="16" t="s">
        <v>1124</v>
      </c>
      <c r="D4681" s="18">
        <v>30.04</v>
      </c>
      <c r="E4681" s="18">
        <v>40.0</v>
      </c>
      <c r="F4681" s="18">
        <v>12.0</v>
      </c>
    </row>
    <row r="4682">
      <c r="A4682" s="15">
        <v>20.0</v>
      </c>
      <c r="B4682" s="16" t="s">
        <v>9603</v>
      </c>
      <c r="C4682" s="16" t="s">
        <v>7779</v>
      </c>
      <c r="D4682" s="18">
        <v>185.71</v>
      </c>
      <c r="E4682" s="18">
        <v>260.0</v>
      </c>
      <c r="F4682" s="18">
        <v>12.0</v>
      </c>
    </row>
    <row r="4683">
      <c r="A4683" s="15">
        <v>21.0</v>
      </c>
      <c r="B4683" s="16" t="s">
        <v>9603</v>
      </c>
      <c r="C4683" s="16" t="s">
        <v>1124</v>
      </c>
      <c r="D4683" s="18">
        <v>22.14</v>
      </c>
      <c r="E4683" s="18">
        <v>31.0</v>
      </c>
      <c r="F4683" s="18">
        <v>12.0</v>
      </c>
    </row>
    <row r="4684">
      <c r="A4684" s="15">
        <v>22.0</v>
      </c>
      <c r="B4684" s="16" t="s">
        <v>9603</v>
      </c>
      <c r="C4684" s="16" t="s">
        <v>2290</v>
      </c>
      <c r="D4684" s="18">
        <v>46.43</v>
      </c>
      <c r="E4684" s="18">
        <v>65.0</v>
      </c>
      <c r="F4684" s="18">
        <v>12.0</v>
      </c>
    </row>
    <row r="4685">
      <c r="A4685" s="15">
        <v>23.0</v>
      </c>
      <c r="B4685" s="16" t="s">
        <v>9603</v>
      </c>
      <c r="C4685" s="16" t="s">
        <v>301</v>
      </c>
      <c r="D4685" s="18">
        <v>85.71</v>
      </c>
      <c r="E4685" s="18">
        <v>120.0</v>
      </c>
      <c r="F4685" s="18">
        <v>12.0</v>
      </c>
    </row>
    <row r="4686">
      <c r="A4686" s="15">
        <v>24.0</v>
      </c>
      <c r="B4686" s="16" t="s">
        <v>9603</v>
      </c>
      <c r="C4686" s="16" t="s">
        <v>9604</v>
      </c>
      <c r="D4686" s="18">
        <v>75.0</v>
      </c>
      <c r="E4686" s="18">
        <v>105.0</v>
      </c>
      <c r="F4686" s="18">
        <v>12.0</v>
      </c>
    </row>
    <row r="4687">
      <c r="A4687" s="15">
        <v>25.0</v>
      </c>
      <c r="B4687" s="16" t="s">
        <v>9603</v>
      </c>
      <c r="C4687" s="16" t="s">
        <v>9605</v>
      </c>
      <c r="D4687" s="18">
        <v>7.14</v>
      </c>
      <c r="E4687" s="18">
        <v>10.0</v>
      </c>
      <c r="F4687" s="18">
        <v>12.0</v>
      </c>
    </row>
    <row r="4688">
      <c r="A4688" s="15">
        <v>26.0</v>
      </c>
      <c r="B4688" s="16" t="s">
        <v>9603</v>
      </c>
      <c r="C4688" s="16" t="s">
        <v>8137</v>
      </c>
      <c r="D4688" s="18">
        <v>117.86</v>
      </c>
      <c r="E4688" s="18">
        <v>165.0</v>
      </c>
      <c r="F4688" s="18">
        <v>12.0</v>
      </c>
    </row>
    <row r="4689">
      <c r="A4689" s="15">
        <v>27.0</v>
      </c>
      <c r="B4689" s="16" t="s">
        <v>9603</v>
      </c>
      <c r="C4689" s="16" t="s">
        <v>8715</v>
      </c>
      <c r="D4689" s="18">
        <v>164.29</v>
      </c>
      <c r="E4689" s="18">
        <v>230.0</v>
      </c>
      <c r="F4689" s="18">
        <v>12.0</v>
      </c>
    </row>
    <row r="4690">
      <c r="A4690" s="15">
        <v>28.0</v>
      </c>
      <c r="B4690" s="16" t="s">
        <v>9606</v>
      </c>
      <c r="C4690" s="17" t="s">
        <v>9607</v>
      </c>
      <c r="D4690" s="18">
        <v>96.43</v>
      </c>
      <c r="E4690" s="18">
        <v>135.0</v>
      </c>
      <c r="F4690" s="18">
        <v>12.0</v>
      </c>
    </row>
    <row r="4691">
      <c r="A4691" s="6"/>
      <c r="B4691" s="7"/>
      <c r="C4691" s="7"/>
      <c r="D4691" s="7"/>
      <c r="E4691" s="8"/>
      <c r="F4691" s="16" t="s">
        <v>9608</v>
      </c>
    </row>
    <row r="4692">
      <c r="A4692" s="6"/>
      <c r="B4692" s="7"/>
      <c r="C4692" s="7"/>
      <c r="D4692" s="7"/>
      <c r="E4692" s="7"/>
      <c r="F4692" s="8"/>
    </row>
    <row r="4693">
      <c r="A4693" s="6"/>
      <c r="B4693" s="7"/>
      <c r="C4693" s="7"/>
      <c r="D4693" s="7"/>
      <c r="E4693" s="7"/>
      <c r="F4693" s="8"/>
    </row>
    <row r="4694">
      <c r="A4694" s="6"/>
      <c r="B4694" s="7"/>
      <c r="C4694" s="7"/>
      <c r="D4694" s="7"/>
      <c r="E4694" s="7"/>
      <c r="F4694" s="8"/>
    </row>
    <row r="4695">
      <c r="A4695" s="6"/>
      <c r="B4695" s="7"/>
      <c r="C4695" s="7"/>
      <c r="D4695" s="7"/>
      <c r="E4695" s="7"/>
      <c r="F4695" s="8"/>
    </row>
    <row r="4696">
      <c r="A4696" s="9" t="s">
        <v>5582</v>
      </c>
      <c r="B4696" s="10"/>
      <c r="C4696" s="10"/>
      <c r="D4696" s="10"/>
      <c r="E4696" s="10"/>
      <c r="F4696" s="10"/>
    </row>
    <row r="4697">
      <c r="A4697" s="19" t="s">
        <v>5583</v>
      </c>
    </row>
    <row r="4698">
      <c r="A4698" s="6"/>
      <c r="B4698" s="7"/>
      <c r="C4698" s="7"/>
      <c r="D4698" s="8"/>
      <c r="E4698" s="12" t="s">
        <v>5584</v>
      </c>
      <c r="F4698" s="12" t="s">
        <v>9609</v>
      </c>
    </row>
    <row r="4699">
      <c r="A4699" s="20" t="s">
        <v>5522</v>
      </c>
      <c r="B4699" s="16" t="s">
        <v>5523</v>
      </c>
      <c r="C4699" s="16" t="s">
        <v>5524</v>
      </c>
      <c r="D4699" s="16" t="s">
        <v>5525</v>
      </c>
      <c r="E4699" s="16" t="s">
        <v>5526</v>
      </c>
      <c r="F4699" s="16" t="s">
        <v>5586</v>
      </c>
    </row>
    <row r="4700">
      <c r="A4700" s="15">
        <v>29.0</v>
      </c>
      <c r="B4700" s="16" t="s">
        <v>9606</v>
      </c>
      <c r="C4700" s="17" t="s">
        <v>9610</v>
      </c>
      <c r="D4700" s="18">
        <v>70.71</v>
      </c>
      <c r="E4700" s="18">
        <v>99.0</v>
      </c>
      <c r="F4700" s="18">
        <v>12.0</v>
      </c>
    </row>
    <row r="4701">
      <c r="A4701" s="15">
        <v>30.0</v>
      </c>
      <c r="B4701" s="16" t="s">
        <v>9606</v>
      </c>
      <c r="C4701" s="17" t="s">
        <v>9611</v>
      </c>
      <c r="D4701" s="18">
        <v>139.29</v>
      </c>
      <c r="E4701" s="18">
        <v>195.0</v>
      </c>
      <c r="F4701" s="18">
        <v>12.0</v>
      </c>
    </row>
    <row r="4702">
      <c r="A4702" s="15">
        <v>31.0</v>
      </c>
      <c r="B4702" s="16" t="s">
        <v>9599</v>
      </c>
      <c r="C4702" s="17" t="s">
        <v>9612</v>
      </c>
      <c r="D4702" s="18">
        <v>210.71</v>
      </c>
      <c r="E4702" s="18">
        <v>295.0</v>
      </c>
      <c r="F4702" s="18">
        <v>12.0</v>
      </c>
    </row>
    <row r="4703">
      <c r="A4703" s="15">
        <v>32.0</v>
      </c>
      <c r="B4703" s="16" t="s">
        <v>9599</v>
      </c>
      <c r="C4703" s="17" t="s">
        <v>5798</v>
      </c>
      <c r="D4703" s="18">
        <v>42.86</v>
      </c>
      <c r="E4703" s="18">
        <v>60.0</v>
      </c>
      <c r="F4703" s="18">
        <v>12.0</v>
      </c>
    </row>
    <row r="4704">
      <c r="A4704" s="15">
        <v>33.0</v>
      </c>
      <c r="B4704" s="16" t="s">
        <v>9599</v>
      </c>
      <c r="C4704" s="17" t="s">
        <v>8013</v>
      </c>
      <c r="D4704" s="18">
        <v>100.0</v>
      </c>
      <c r="E4704" s="18">
        <v>140.0</v>
      </c>
      <c r="F4704" s="18">
        <v>12.0</v>
      </c>
    </row>
    <row r="4705">
      <c r="A4705" s="15">
        <v>34.0</v>
      </c>
      <c r="B4705" s="16" t="s">
        <v>9599</v>
      </c>
      <c r="C4705" s="17" t="s">
        <v>9613</v>
      </c>
      <c r="D4705" s="18">
        <v>135.71</v>
      </c>
      <c r="E4705" s="18">
        <v>190.0</v>
      </c>
      <c r="F4705" s="18">
        <v>12.0</v>
      </c>
    </row>
    <row r="4706">
      <c r="A4706" s="6"/>
      <c r="B4706" s="7"/>
      <c r="C4706" s="7"/>
      <c r="D4706" s="7"/>
      <c r="E4706" s="7"/>
      <c r="F4706" s="8"/>
    </row>
    <row r="4707">
      <c r="A4707" s="9" t="s">
        <v>9614</v>
      </c>
      <c r="B4707" s="10"/>
      <c r="C4707" s="10"/>
      <c r="D4707" s="10"/>
      <c r="E4707" s="10"/>
      <c r="F4707" s="10"/>
    </row>
    <row r="4708">
      <c r="A4708" s="11">
        <v>1.0</v>
      </c>
      <c r="B4708" s="12" t="s">
        <v>9615</v>
      </c>
      <c r="C4708" s="13" t="s">
        <v>5636</v>
      </c>
      <c r="D4708" s="14">
        <v>53.21</v>
      </c>
      <c r="E4708" s="14">
        <v>74.5</v>
      </c>
      <c r="F4708" s="14">
        <v>12.0</v>
      </c>
    </row>
    <row r="4709">
      <c r="A4709" s="15">
        <v>2.0</v>
      </c>
      <c r="B4709" s="16" t="s">
        <v>9616</v>
      </c>
      <c r="C4709" s="17" t="s">
        <v>9617</v>
      </c>
      <c r="D4709" s="18">
        <v>77.18</v>
      </c>
      <c r="E4709" s="18">
        <v>106.0</v>
      </c>
      <c r="F4709" s="18">
        <v>12.0</v>
      </c>
    </row>
    <row r="4710">
      <c r="A4710" s="15">
        <v>3.0</v>
      </c>
      <c r="B4710" s="16" t="s">
        <v>9616</v>
      </c>
      <c r="C4710" s="17" t="s">
        <v>6171</v>
      </c>
      <c r="D4710" s="18">
        <v>95.01</v>
      </c>
      <c r="E4710" s="18">
        <v>122.33</v>
      </c>
      <c r="F4710" s="18">
        <v>12.0</v>
      </c>
    </row>
    <row r="4711">
      <c r="A4711" s="15">
        <v>4.0</v>
      </c>
      <c r="B4711" s="16" t="s">
        <v>9618</v>
      </c>
      <c r="C4711" s="17" t="s">
        <v>5623</v>
      </c>
      <c r="D4711" s="18">
        <v>40.85</v>
      </c>
      <c r="E4711" s="18">
        <v>56.68</v>
      </c>
      <c r="F4711" s="18">
        <v>12.0</v>
      </c>
    </row>
    <row r="4712">
      <c r="A4712" s="15">
        <v>5.0</v>
      </c>
      <c r="B4712" s="16" t="s">
        <v>9619</v>
      </c>
      <c r="C4712" s="17" t="s">
        <v>9620</v>
      </c>
      <c r="D4712" s="18">
        <v>96.58</v>
      </c>
      <c r="E4712" s="18">
        <v>134.0</v>
      </c>
      <c r="F4712" s="18">
        <v>12.0</v>
      </c>
    </row>
    <row r="4713">
      <c r="A4713" s="6"/>
      <c r="B4713" s="7"/>
      <c r="C4713" s="7"/>
      <c r="D4713" s="7"/>
      <c r="E4713" s="7"/>
      <c r="F4713" s="8"/>
    </row>
    <row r="4714">
      <c r="A4714" s="9" t="s">
        <v>9621</v>
      </c>
      <c r="B4714" s="10"/>
      <c r="C4714" s="10"/>
      <c r="D4714" s="10"/>
      <c r="E4714" s="10"/>
      <c r="F4714" s="10"/>
    </row>
    <row r="4715">
      <c r="A4715" s="11">
        <v>1.0</v>
      </c>
      <c r="B4715" s="12" t="s">
        <v>9622</v>
      </c>
      <c r="C4715" s="13" t="s">
        <v>8574</v>
      </c>
      <c r="D4715" s="14">
        <v>45.36</v>
      </c>
      <c r="E4715" s="14">
        <v>63.5</v>
      </c>
      <c r="F4715" s="14">
        <v>12.0</v>
      </c>
    </row>
    <row r="4716">
      <c r="A4716" s="15">
        <v>2.0</v>
      </c>
      <c r="B4716" s="16" t="s">
        <v>9623</v>
      </c>
      <c r="C4716" s="17" t="s">
        <v>5802</v>
      </c>
      <c r="D4716" s="18">
        <v>60.71</v>
      </c>
      <c r="E4716" s="18">
        <v>85.0</v>
      </c>
      <c r="F4716" s="18">
        <v>12.0</v>
      </c>
    </row>
    <row r="4717">
      <c r="A4717" s="15">
        <v>3.0</v>
      </c>
      <c r="B4717" s="16" t="s">
        <v>9624</v>
      </c>
      <c r="C4717" s="17" t="s">
        <v>5768</v>
      </c>
      <c r="D4717" s="18">
        <v>53.57</v>
      </c>
      <c r="E4717" s="18">
        <v>75.0</v>
      </c>
      <c r="F4717" s="18">
        <v>12.0</v>
      </c>
    </row>
    <row r="4718">
      <c r="A4718" s="15">
        <v>4.0</v>
      </c>
      <c r="B4718" s="16" t="s">
        <v>9622</v>
      </c>
      <c r="C4718" s="17" t="s">
        <v>5802</v>
      </c>
      <c r="D4718" s="18">
        <v>65.71</v>
      </c>
      <c r="E4718" s="18">
        <v>92.0</v>
      </c>
      <c r="F4718" s="18">
        <v>12.0</v>
      </c>
    </row>
    <row r="4719">
      <c r="A4719" s="15">
        <v>5.0</v>
      </c>
      <c r="B4719" s="16" t="s">
        <v>9622</v>
      </c>
      <c r="C4719" s="17" t="s">
        <v>9625</v>
      </c>
      <c r="D4719" s="18">
        <v>38.21</v>
      </c>
      <c r="E4719" s="18">
        <v>53.5</v>
      </c>
      <c r="F4719" s="18">
        <v>12.0</v>
      </c>
    </row>
    <row r="4720">
      <c r="A4720" s="15">
        <v>6.0</v>
      </c>
      <c r="B4720" s="16" t="s">
        <v>9626</v>
      </c>
      <c r="C4720" s="17" t="s">
        <v>5804</v>
      </c>
      <c r="D4720" s="18">
        <v>18.14</v>
      </c>
      <c r="E4720" s="18">
        <v>25.4</v>
      </c>
      <c r="F4720" s="18">
        <v>12.0</v>
      </c>
    </row>
    <row r="4721">
      <c r="A4721" s="15">
        <v>7.0</v>
      </c>
      <c r="B4721" s="16" t="s">
        <v>9627</v>
      </c>
      <c r="C4721" s="17" t="s">
        <v>5536</v>
      </c>
      <c r="D4721" s="18">
        <v>31.99</v>
      </c>
      <c r="E4721" s="18">
        <v>44.78</v>
      </c>
      <c r="F4721" s="18">
        <v>12.0</v>
      </c>
    </row>
    <row r="4722">
      <c r="A4722" s="15">
        <v>8.0</v>
      </c>
      <c r="B4722" s="16" t="s">
        <v>9628</v>
      </c>
      <c r="C4722" s="17" t="s">
        <v>5536</v>
      </c>
      <c r="D4722" s="18">
        <v>58.56</v>
      </c>
      <c r="E4722" s="18">
        <v>81.98</v>
      </c>
      <c r="F4722" s="18">
        <v>12.0</v>
      </c>
    </row>
    <row r="4723">
      <c r="A4723" s="15">
        <v>9.0</v>
      </c>
      <c r="B4723" s="16" t="s">
        <v>9629</v>
      </c>
      <c r="C4723" s="17" t="s">
        <v>5536</v>
      </c>
      <c r="D4723" s="18">
        <v>79.32</v>
      </c>
      <c r="E4723" s="18">
        <v>111.05</v>
      </c>
      <c r="F4723" s="18">
        <v>12.0</v>
      </c>
    </row>
    <row r="4724">
      <c r="A4724" s="15">
        <v>10.0</v>
      </c>
      <c r="B4724" s="16" t="s">
        <v>9630</v>
      </c>
      <c r="C4724" s="17" t="s">
        <v>5580</v>
      </c>
      <c r="D4724" s="18">
        <v>120.72</v>
      </c>
      <c r="E4724" s="18">
        <v>167.5</v>
      </c>
      <c r="F4724" s="18">
        <v>12.0</v>
      </c>
    </row>
    <row r="4725">
      <c r="A4725" s="15">
        <v>11.0</v>
      </c>
      <c r="B4725" s="16" t="s">
        <v>9630</v>
      </c>
      <c r="C4725" s="17" t="s">
        <v>9631</v>
      </c>
      <c r="D4725" s="18">
        <v>98.38</v>
      </c>
      <c r="E4725" s="18">
        <v>136.5</v>
      </c>
      <c r="F4725" s="18">
        <v>12.0</v>
      </c>
    </row>
    <row r="4726">
      <c r="A4726" s="15">
        <v>12.0</v>
      </c>
      <c r="B4726" s="16" t="s">
        <v>9632</v>
      </c>
      <c r="C4726" s="17" t="s">
        <v>6774</v>
      </c>
      <c r="D4726" s="18">
        <v>63.22</v>
      </c>
      <c r="E4726" s="18">
        <v>88.5</v>
      </c>
      <c r="F4726" s="18">
        <v>12.0</v>
      </c>
    </row>
    <row r="4727">
      <c r="A4727" s="15">
        <v>13.0</v>
      </c>
      <c r="B4727" s="16" t="s">
        <v>9633</v>
      </c>
      <c r="C4727" s="17" t="s">
        <v>5636</v>
      </c>
      <c r="D4727" s="18">
        <v>63.71</v>
      </c>
      <c r="E4727" s="18">
        <v>87.5</v>
      </c>
      <c r="F4727" s="18">
        <v>12.0</v>
      </c>
    </row>
    <row r="4728">
      <c r="A4728" s="15">
        <v>14.0</v>
      </c>
      <c r="B4728" s="16" t="s">
        <v>9634</v>
      </c>
      <c r="C4728" s="17" t="s">
        <v>9635</v>
      </c>
      <c r="D4728" s="18">
        <v>102.14</v>
      </c>
      <c r="E4728" s="18">
        <v>143.0</v>
      </c>
      <c r="F4728" s="18">
        <v>12.0</v>
      </c>
    </row>
    <row r="4729">
      <c r="A4729" s="15">
        <v>15.0</v>
      </c>
      <c r="B4729" s="16" t="s">
        <v>9634</v>
      </c>
      <c r="C4729" s="17" t="s">
        <v>9636</v>
      </c>
      <c r="D4729" s="18">
        <v>40.42</v>
      </c>
      <c r="E4729" s="18">
        <v>56.59</v>
      </c>
      <c r="F4729" s="18">
        <v>12.0</v>
      </c>
    </row>
    <row r="4730">
      <c r="A4730" s="15">
        <v>16.0</v>
      </c>
      <c r="B4730" s="16" t="s">
        <v>9637</v>
      </c>
      <c r="C4730" s="17" t="s">
        <v>5536</v>
      </c>
      <c r="D4730" s="18">
        <v>188.57</v>
      </c>
      <c r="E4730" s="18">
        <v>264.0</v>
      </c>
      <c r="F4730" s="18">
        <v>12.0</v>
      </c>
    </row>
    <row r="4731">
      <c r="A4731" s="15">
        <v>17.0</v>
      </c>
      <c r="B4731" s="16" t="s">
        <v>9638</v>
      </c>
      <c r="C4731" s="17" t="s">
        <v>5536</v>
      </c>
      <c r="D4731" s="18">
        <v>140.63</v>
      </c>
      <c r="E4731" s="18">
        <v>196.88</v>
      </c>
      <c r="F4731" s="18">
        <v>12.0</v>
      </c>
    </row>
    <row r="4732">
      <c r="A4732" s="15">
        <v>18.0</v>
      </c>
      <c r="B4732" s="16" t="s">
        <v>9639</v>
      </c>
      <c r="C4732" s="17" t="s">
        <v>9640</v>
      </c>
      <c r="D4732" s="18">
        <v>42.44</v>
      </c>
      <c r="E4732" s="18">
        <v>56.98</v>
      </c>
      <c r="F4732" s="18">
        <v>12.0</v>
      </c>
    </row>
    <row r="4733">
      <c r="A4733" s="15">
        <v>19.0</v>
      </c>
      <c r="B4733" s="16" t="s">
        <v>9639</v>
      </c>
      <c r="C4733" s="17" t="s">
        <v>6370</v>
      </c>
      <c r="D4733" s="18">
        <v>91.43</v>
      </c>
      <c r="E4733" s="18">
        <v>128.0</v>
      </c>
      <c r="F4733" s="18">
        <v>12.0</v>
      </c>
    </row>
    <row r="4734">
      <c r="A4734" s="15">
        <v>20.0</v>
      </c>
      <c r="B4734" s="16" t="s">
        <v>9634</v>
      </c>
      <c r="C4734" s="17" t="s">
        <v>6604</v>
      </c>
      <c r="D4734" s="18">
        <v>52.5</v>
      </c>
      <c r="E4734" s="18">
        <v>73.5</v>
      </c>
      <c r="F4734" s="18">
        <v>12.0</v>
      </c>
    </row>
    <row r="4735">
      <c r="A4735" s="15">
        <v>21.0</v>
      </c>
      <c r="B4735" s="16" t="s">
        <v>9641</v>
      </c>
      <c r="C4735" s="17" t="s">
        <v>9642</v>
      </c>
      <c r="D4735" s="18">
        <v>160.71</v>
      </c>
      <c r="E4735" s="18">
        <v>225.0</v>
      </c>
      <c r="F4735" s="18">
        <v>12.0</v>
      </c>
    </row>
    <row r="4736">
      <c r="A4736" s="15">
        <v>22.0</v>
      </c>
      <c r="B4736" s="16" t="s">
        <v>9641</v>
      </c>
      <c r="C4736" s="17" t="s">
        <v>9643</v>
      </c>
      <c r="D4736" s="18">
        <v>87.86</v>
      </c>
      <c r="E4736" s="18">
        <v>123.0</v>
      </c>
      <c r="F4736" s="18">
        <v>12.0</v>
      </c>
    </row>
    <row r="4737">
      <c r="A4737" s="15">
        <v>23.0</v>
      </c>
      <c r="B4737" s="16" t="s">
        <v>9641</v>
      </c>
      <c r="C4737" s="17" t="s">
        <v>9644</v>
      </c>
      <c r="D4737" s="18">
        <v>103.57</v>
      </c>
      <c r="E4737" s="18">
        <v>145.0</v>
      </c>
      <c r="F4737" s="18">
        <v>12.0</v>
      </c>
    </row>
    <row r="4738">
      <c r="A4738" s="15">
        <v>24.0</v>
      </c>
      <c r="B4738" s="16" t="s">
        <v>9645</v>
      </c>
      <c r="C4738" s="17" t="s">
        <v>9646</v>
      </c>
      <c r="D4738" s="18">
        <v>69.05</v>
      </c>
      <c r="E4738" s="18">
        <v>109.0</v>
      </c>
      <c r="F4738" s="18">
        <v>28.0</v>
      </c>
    </row>
    <row r="4739">
      <c r="A4739" s="15">
        <v>25.0</v>
      </c>
      <c r="B4739" s="16" t="s">
        <v>9647</v>
      </c>
      <c r="C4739" s="17" t="s">
        <v>9648</v>
      </c>
      <c r="D4739" s="18">
        <v>90.28</v>
      </c>
      <c r="E4739" s="18">
        <v>124.0</v>
      </c>
      <c r="F4739" s="18">
        <v>12.0</v>
      </c>
    </row>
    <row r="4740">
      <c r="A4740" s="15">
        <v>26.0</v>
      </c>
      <c r="B4740" s="16" t="s">
        <v>9647</v>
      </c>
      <c r="C4740" s="17" t="s">
        <v>9649</v>
      </c>
      <c r="D4740" s="18">
        <v>180.0</v>
      </c>
      <c r="E4740" s="18">
        <v>252.0</v>
      </c>
      <c r="F4740" s="18">
        <v>12.0</v>
      </c>
    </row>
    <row r="4741">
      <c r="A4741" s="15">
        <v>27.0</v>
      </c>
      <c r="B4741" s="16" t="s">
        <v>9647</v>
      </c>
      <c r="C4741" s="17" t="s">
        <v>5580</v>
      </c>
      <c r="D4741" s="18">
        <v>386.43</v>
      </c>
      <c r="E4741" s="18">
        <v>541.0</v>
      </c>
      <c r="F4741" s="18">
        <v>12.0</v>
      </c>
    </row>
    <row r="4742">
      <c r="A4742" s="15">
        <v>28.0</v>
      </c>
      <c r="B4742" s="16" t="s">
        <v>9647</v>
      </c>
      <c r="C4742" s="17" t="s">
        <v>5665</v>
      </c>
      <c r="D4742" s="18">
        <v>363.98</v>
      </c>
      <c r="E4742" s="18">
        <v>505.0</v>
      </c>
      <c r="F4742" s="18">
        <v>12.0</v>
      </c>
    </row>
    <row r="4743">
      <c r="A4743" s="15">
        <v>29.0</v>
      </c>
      <c r="B4743" s="16" t="s">
        <v>9650</v>
      </c>
      <c r="C4743" s="17" t="s">
        <v>9060</v>
      </c>
      <c r="D4743" s="18">
        <v>80.0</v>
      </c>
      <c r="E4743" s="18">
        <v>111.0</v>
      </c>
      <c r="F4743" s="18">
        <v>12.0</v>
      </c>
    </row>
    <row r="4744">
      <c r="A4744" s="15">
        <v>30.0</v>
      </c>
      <c r="B4744" s="16" t="s">
        <v>9651</v>
      </c>
      <c r="C4744" s="17" t="s">
        <v>5536</v>
      </c>
      <c r="D4744" s="18">
        <v>153.25</v>
      </c>
      <c r="E4744" s="18">
        <v>210.5</v>
      </c>
      <c r="F4744" s="18">
        <v>12.0</v>
      </c>
    </row>
    <row r="4745">
      <c r="A4745" s="15">
        <v>31.0</v>
      </c>
      <c r="B4745" s="16" t="s">
        <v>9652</v>
      </c>
      <c r="C4745" s="17" t="s">
        <v>5536</v>
      </c>
      <c r="D4745" s="18">
        <v>79.74</v>
      </c>
      <c r="E4745" s="18">
        <v>110.65</v>
      </c>
      <c r="F4745" s="18">
        <v>12.0</v>
      </c>
    </row>
    <row r="4746">
      <c r="A4746" s="15">
        <v>32.0</v>
      </c>
      <c r="B4746" s="16" t="s">
        <v>9653</v>
      </c>
      <c r="C4746" s="17" t="s">
        <v>5546</v>
      </c>
      <c r="D4746" s="18">
        <v>99.83</v>
      </c>
      <c r="E4746" s="18">
        <v>138.52</v>
      </c>
      <c r="F4746" s="18">
        <v>12.0</v>
      </c>
    </row>
    <row r="4747">
      <c r="A4747" s="15">
        <v>33.0</v>
      </c>
      <c r="B4747" s="16" t="s">
        <v>9654</v>
      </c>
      <c r="C4747" s="17" t="s">
        <v>5655</v>
      </c>
      <c r="D4747" s="18">
        <v>80.35</v>
      </c>
      <c r="E4747" s="18">
        <v>111.5</v>
      </c>
      <c r="F4747" s="18">
        <v>12.0</v>
      </c>
    </row>
    <row r="4748">
      <c r="A4748" s="15">
        <v>34.0</v>
      </c>
      <c r="B4748" s="16" t="s">
        <v>9655</v>
      </c>
      <c r="C4748" s="17" t="s">
        <v>5636</v>
      </c>
      <c r="D4748" s="18">
        <v>93.7</v>
      </c>
      <c r="E4748" s="18">
        <v>130.0</v>
      </c>
      <c r="F4748" s="18">
        <v>12.0</v>
      </c>
    </row>
    <row r="4749">
      <c r="A4749" s="15">
        <v>35.0</v>
      </c>
      <c r="B4749" s="16" t="s">
        <v>9656</v>
      </c>
      <c r="C4749" s="17" t="s">
        <v>5653</v>
      </c>
      <c r="D4749" s="18">
        <v>70.63</v>
      </c>
      <c r="E4749" s="18">
        <v>98.0</v>
      </c>
      <c r="F4749" s="18">
        <v>12.0</v>
      </c>
    </row>
    <row r="4750">
      <c r="A4750" s="15">
        <v>36.0</v>
      </c>
      <c r="B4750" s="16" t="s">
        <v>9656</v>
      </c>
      <c r="C4750" s="17" t="s">
        <v>5739</v>
      </c>
      <c r="D4750" s="18">
        <v>35.32</v>
      </c>
      <c r="E4750" s="18">
        <v>49.0</v>
      </c>
      <c r="F4750" s="18">
        <v>12.0</v>
      </c>
    </row>
    <row r="4751">
      <c r="A4751" s="15">
        <v>37.0</v>
      </c>
      <c r="B4751" s="16" t="s">
        <v>9656</v>
      </c>
      <c r="C4751" s="17" t="s">
        <v>5655</v>
      </c>
      <c r="D4751" s="18">
        <v>56.21</v>
      </c>
      <c r="E4751" s="18">
        <v>78.0</v>
      </c>
      <c r="F4751" s="18">
        <v>12.0</v>
      </c>
    </row>
    <row r="4752">
      <c r="A4752" s="15">
        <v>38.0</v>
      </c>
      <c r="B4752" s="16" t="s">
        <v>9657</v>
      </c>
      <c r="C4752" s="17" t="s">
        <v>9658</v>
      </c>
      <c r="D4752" s="18">
        <v>47.93</v>
      </c>
      <c r="E4752" s="18">
        <v>66.5</v>
      </c>
      <c r="F4752" s="18">
        <v>12.0</v>
      </c>
    </row>
    <row r="4753">
      <c r="A4753" s="15">
        <v>39.0</v>
      </c>
      <c r="B4753" s="16" t="s">
        <v>9659</v>
      </c>
      <c r="C4753" s="17" t="s">
        <v>9660</v>
      </c>
      <c r="D4753" s="18">
        <v>21.78</v>
      </c>
      <c r="E4753" s="18">
        <v>29.9</v>
      </c>
      <c r="F4753" s="18">
        <v>12.0</v>
      </c>
    </row>
    <row r="4754">
      <c r="A4754" s="15">
        <v>40.0</v>
      </c>
      <c r="B4754" s="16" t="s">
        <v>9659</v>
      </c>
      <c r="C4754" s="17" t="s">
        <v>9661</v>
      </c>
      <c r="D4754" s="18">
        <v>27.68</v>
      </c>
      <c r="E4754" s="18">
        <v>38.75</v>
      </c>
      <c r="F4754" s="18">
        <v>12.0</v>
      </c>
    </row>
    <row r="4755">
      <c r="A4755" s="15">
        <v>41.0</v>
      </c>
      <c r="B4755" s="16" t="s">
        <v>9659</v>
      </c>
      <c r="C4755" s="17" t="s">
        <v>9662</v>
      </c>
      <c r="D4755" s="18">
        <v>130.67</v>
      </c>
      <c r="E4755" s="18">
        <v>179.4</v>
      </c>
      <c r="F4755" s="18">
        <v>12.0</v>
      </c>
    </row>
    <row r="4756">
      <c r="A4756" s="15">
        <v>42.0</v>
      </c>
      <c r="B4756" s="16" t="s">
        <v>9663</v>
      </c>
      <c r="C4756" s="17" t="s">
        <v>6785</v>
      </c>
      <c r="D4756" s="18">
        <v>9.29</v>
      </c>
      <c r="E4756" s="18">
        <v>13.0</v>
      </c>
      <c r="F4756" s="18">
        <v>12.0</v>
      </c>
    </row>
    <row r="4757">
      <c r="A4757" s="15">
        <v>43.0</v>
      </c>
      <c r="B4757" s="16" t="s">
        <v>9664</v>
      </c>
      <c r="C4757" s="17" t="s">
        <v>5636</v>
      </c>
      <c r="D4757" s="18">
        <v>35.19</v>
      </c>
      <c r="E4757" s="18">
        <v>49.27</v>
      </c>
      <c r="F4757" s="18">
        <v>12.0</v>
      </c>
    </row>
    <row r="4758">
      <c r="A4758" s="15">
        <v>44.0</v>
      </c>
      <c r="B4758" s="16" t="s">
        <v>9665</v>
      </c>
      <c r="C4758" s="17" t="s">
        <v>9666</v>
      </c>
      <c r="D4758" s="18">
        <v>17.56</v>
      </c>
      <c r="E4758" s="18">
        <v>24.58</v>
      </c>
      <c r="F4758" s="18">
        <v>12.0</v>
      </c>
    </row>
    <row r="4759">
      <c r="A4759" s="15">
        <v>45.0</v>
      </c>
      <c r="B4759" s="16" t="s">
        <v>9667</v>
      </c>
      <c r="C4759" s="17" t="s">
        <v>5636</v>
      </c>
      <c r="D4759" s="18">
        <v>67.95</v>
      </c>
      <c r="E4759" s="18">
        <v>99.22</v>
      </c>
      <c r="F4759" s="18">
        <v>12.0</v>
      </c>
    </row>
    <row r="4760">
      <c r="A4760" s="15">
        <v>46.0</v>
      </c>
      <c r="B4760" s="16" t="s">
        <v>9668</v>
      </c>
      <c r="C4760" s="17" t="s">
        <v>5536</v>
      </c>
      <c r="D4760" s="18">
        <v>37.38</v>
      </c>
      <c r="E4760" s="18">
        <v>52.33</v>
      </c>
      <c r="F4760" s="18">
        <v>12.0</v>
      </c>
    </row>
    <row r="4761">
      <c r="A4761" s="6"/>
      <c r="B4761" s="7"/>
      <c r="C4761" s="7"/>
      <c r="D4761" s="7"/>
      <c r="E4761" s="8"/>
      <c r="F4761" s="16" t="s">
        <v>9669</v>
      </c>
    </row>
    <row r="4762">
      <c r="A4762" s="6"/>
      <c r="B4762" s="7"/>
      <c r="C4762" s="7"/>
      <c r="D4762" s="7"/>
      <c r="E4762" s="7"/>
      <c r="F4762" s="8"/>
    </row>
    <row r="4763">
      <c r="A4763" s="6"/>
      <c r="B4763" s="7"/>
      <c r="C4763" s="7"/>
      <c r="D4763" s="7"/>
      <c r="E4763" s="7"/>
      <c r="F4763" s="8"/>
    </row>
    <row r="4764">
      <c r="A4764" s="6"/>
      <c r="B4764" s="7"/>
      <c r="C4764" s="7"/>
      <c r="D4764" s="7"/>
      <c r="E4764" s="7"/>
      <c r="F4764" s="8"/>
    </row>
    <row r="4765">
      <c r="A4765" s="6"/>
      <c r="B4765" s="7"/>
      <c r="C4765" s="7"/>
      <c r="D4765" s="7"/>
      <c r="E4765" s="7"/>
      <c r="F4765" s="8"/>
    </row>
    <row r="4766">
      <c r="A4766" s="9" t="s">
        <v>5582</v>
      </c>
      <c r="B4766" s="10"/>
      <c r="C4766" s="10"/>
      <c r="D4766" s="10"/>
      <c r="E4766" s="10"/>
      <c r="F4766" s="10"/>
    </row>
    <row r="4767">
      <c r="A4767" s="19" t="s">
        <v>5583</v>
      </c>
    </row>
    <row r="4768">
      <c r="A4768" s="6"/>
      <c r="B4768" s="7"/>
      <c r="C4768" s="7"/>
      <c r="D4768" s="8"/>
      <c r="E4768" s="12" t="s">
        <v>5584</v>
      </c>
      <c r="F4768" s="12" t="s">
        <v>9670</v>
      </c>
    </row>
    <row r="4769">
      <c r="A4769" s="20" t="s">
        <v>5522</v>
      </c>
      <c r="B4769" s="16" t="s">
        <v>5523</v>
      </c>
      <c r="C4769" s="16" t="s">
        <v>5524</v>
      </c>
      <c r="D4769" s="16" t="s">
        <v>5525</v>
      </c>
      <c r="E4769" s="16" t="s">
        <v>5526</v>
      </c>
      <c r="F4769" s="16" t="s">
        <v>5586</v>
      </c>
    </row>
    <row r="4770">
      <c r="A4770" s="15">
        <v>47.0</v>
      </c>
      <c r="B4770" s="16" t="s">
        <v>9671</v>
      </c>
      <c r="C4770" s="17" t="s">
        <v>5536</v>
      </c>
      <c r="D4770" s="18">
        <v>76.4</v>
      </c>
      <c r="E4770" s="18">
        <v>106.96</v>
      </c>
      <c r="F4770" s="18">
        <v>12.0</v>
      </c>
    </row>
    <row r="4771">
      <c r="A4771" s="15">
        <v>48.0</v>
      </c>
      <c r="B4771" s="16" t="s">
        <v>9672</v>
      </c>
      <c r="C4771" s="16" t="s">
        <v>6854</v>
      </c>
      <c r="D4771" s="18">
        <v>26.67</v>
      </c>
      <c r="E4771" s="18">
        <v>37.34</v>
      </c>
      <c r="F4771" s="18">
        <v>12.0</v>
      </c>
    </row>
    <row r="4772">
      <c r="A4772" s="6"/>
      <c r="B4772" s="7"/>
      <c r="C4772" s="7"/>
      <c r="D4772" s="7"/>
      <c r="E4772" s="7"/>
      <c r="F4772" s="8"/>
    </row>
    <row r="4773">
      <c r="A4773" s="9" t="s">
        <v>9673</v>
      </c>
      <c r="B4773" s="10"/>
      <c r="C4773" s="10"/>
      <c r="D4773" s="10"/>
      <c r="E4773" s="10"/>
      <c r="F4773" s="10"/>
    </row>
    <row r="4774">
      <c r="A4774" s="11">
        <v>1.0</v>
      </c>
      <c r="B4774" s="12" t="s">
        <v>9674</v>
      </c>
      <c r="C4774" s="13" t="s">
        <v>5536</v>
      </c>
      <c r="D4774" s="14">
        <v>77.14</v>
      </c>
      <c r="E4774" s="14">
        <v>108.0</v>
      </c>
      <c r="F4774" s="14">
        <v>12.0</v>
      </c>
    </row>
    <row r="4775">
      <c r="A4775" s="15">
        <v>2.0</v>
      </c>
      <c r="B4775" s="16" t="s">
        <v>9675</v>
      </c>
      <c r="C4775" s="17" t="s">
        <v>5827</v>
      </c>
      <c r="D4775" s="18">
        <v>114.21</v>
      </c>
      <c r="E4775" s="18">
        <v>159.9</v>
      </c>
      <c r="F4775" s="18">
        <v>12.0</v>
      </c>
    </row>
    <row r="4776">
      <c r="A4776" s="15">
        <v>3.0</v>
      </c>
      <c r="B4776" s="16" t="s">
        <v>9676</v>
      </c>
      <c r="C4776" s="17" t="s">
        <v>9677</v>
      </c>
      <c r="D4776" s="18">
        <v>54.46</v>
      </c>
      <c r="E4776" s="18">
        <v>76.25</v>
      </c>
      <c r="F4776" s="18">
        <v>12.0</v>
      </c>
    </row>
    <row r="4777">
      <c r="A4777" s="15">
        <v>4.0</v>
      </c>
      <c r="B4777" s="16" t="s">
        <v>9678</v>
      </c>
      <c r="C4777" s="17" t="s">
        <v>6363</v>
      </c>
      <c r="D4777" s="18">
        <v>25.88</v>
      </c>
      <c r="E4777" s="18">
        <v>36.23</v>
      </c>
      <c r="F4777" s="18">
        <v>12.0</v>
      </c>
    </row>
    <row r="4778">
      <c r="A4778" s="15">
        <v>5.0</v>
      </c>
      <c r="B4778" s="16" t="s">
        <v>9678</v>
      </c>
      <c r="C4778" s="17" t="s">
        <v>9677</v>
      </c>
      <c r="D4778" s="18">
        <v>73.21</v>
      </c>
      <c r="E4778" s="18">
        <v>102.5</v>
      </c>
      <c r="F4778" s="18">
        <v>12.0</v>
      </c>
    </row>
    <row r="4779">
      <c r="A4779" s="15">
        <v>6.0</v>
      </c>
      <c r="B4779" s="16" t="s">
        <v>9679</v>
      </c>
      <c r="C4779" s="17" t="s">
        <v>6363</v>
      </c>
      <c r="D4779" s="18">
        <v>77.26</v>
      </c>
      <c r="E4779" s="18">
        <v>108.16</v>
      </c>
      <c r="F4779" s="18">
        <v>12.0</v>
      </c>
    </row>
    <row r="4780">
      <c r="A4780" s="15">
        <v>7.0</v>
      </c>
      <c r="B4780" s="16" t="s">
        <v>9680</v>
      </c>
      <c r="C4780" s="17" t="s">
        <v>6370</v>
      </c>
      <c r="D4780" s="18">
        <v>70.85</v>
      </c>
      <c r="E4780" s="18">
        <v>98.3</v>
      </c>
      <c r="F4780" s="18">
        <v>12.0</v>
      </c>
    </row>
    <row r="4781">
      <c r="A4781" s="15">
        <v>8.0</v>
      </c>
      <c r="B4781" s="16" t="s">
        <v>9681</v>
      </c>
      <c r="C4781" s="17" t="s">
        <v>5536</v>
      </c>
      <c r="D4781" s="18">
        <v>134.88</v>
      </c>
      <c r="E4781" s="18">
        <v>182.56</v>
      </c>
      <c r="F4781" s="18">
        <v>12.0</v>
      </c>
    </row>
    <row r="4782">
      <c r="A4782" s="15">
        <v>9.0</v>
      </c>
      <c r="B4782" s="16" t="s">
        <v>9682</v>
      </c>
      <c r="C4782" s="16" t="s">
        <v>9683</v>
      </c>
      <c r="D4782" s="18">
        <v>42.44</v>
      </c>
      <c r="E4782" s="18">
        <v>59.41</v>
      </c>
      <c r="F4782" s="18">
        <v>12.0</v>
      </c>
    </row>
    <row r="4783">
      <c r="A4783" s="15">
        <v>10.0</v>
      </c>
      <c r="B4783" s="16" t="s">
        <v>9684</v>
      </c>
      <c r="C4783" s="17" t="s">
        <v>9685</v>
      </c>
      <c r="D4783" s="18">
        <v>82.64</v>
      </c>
      <c r="E4783" s="18">
        <v>113.5</v>
      </c>
      <c r="F4783" s="18">
        <v>12.0</v>
      </c>
    </row>
    <row r="4784">
      <c r="A4784" s="15">
        <v>11.0</v>
      </c>
      <c r="B4784" s="16" t="s">
        <v>9686</v>
      </c>
      <c r="C4784" s="17" t="s">
        <v>5546</v>
      </c>
      <c r="D4784" s="18">
        <v>70.72</v>
      </c>
      <c r="E4784" s="18">
        <v>99.0</v>
      </c>
      <c r="F4784" s="18">
        <v>12.0</v>
      </c>
    </row>
    <row r="4785">
      <c r="A4785" s="15">
        <v>12.0</v>
      </c>
      <c r="B4785" s="16" t="s">
        <v>9687</v>
      </c>
      <c r="C4785" s="17" t="s">
        <v>5546</v>
      </c>
      <c r="D4785" s="18">
        <v>132.14</v>
      </c>
      <c r="E4785" s="18">
        <v>185.0</v>
      </c>
      <c r="F4785" s="18">
        <v>12.0</v>
      </c>
    </row>
    <row r="4786">
      <c r="A4786" s="15">
        <v>13.0</v>
      </c>
      <c r="B4786" s="16" t="s">
        <v>9688</v>
      </c>
      <c r="C4786" s="17" t="s">
        <v>9648</v>
      </c>
      <c r="D4786" s="18">
        <v>18.57</v>
      </c>
      <c r="E4786" s="18">
        <v>26.0</v>
      </c>
      <c r="F4786" s="18">
        <v>12.0</v>
      </c>
    </row>
    <row r="4787">
      <c r="A4787" s="15">
        <v>14.0</v>
      </c>
      <c r="B4787" s="16" t="s">
        <v>9688</v>
      </c>
      <c r="C4787" s="17" t="s">
        <v>9689</v>
      </c>
      <c r="D4787" s="18">
        <v>33.93</v>
      </c>
      <c r="E4787" s="18">
        <v>47.5</v>
      </c>
      <c r="F4787" s="18">
        <v>12.0</v>
      </c>
    </row>
    <row r="4788">
      <c r="A4788" s="15">
        <v>15.0</v>
      </c>
      <c r="B4788" s="16" t="s">
        <v>9688</v>
      </c>
      <c r="C4788" s="17" t="s">
        <v>9649</v>
      </c>
      <c r="D4788" s="18">
        <v>31.68</v>
      </c>
      <c r="E4788" s="18">
        <v>44.35</v>
      </c>
      <c r="F4788" s="18">
        <v>12.0</v>
      </c>
    </row>
    <row r="4789">
      <c r="A4789" s="15">
        <v>16.0</v>
      </c>
      <c r="B4789" s="16" t="s">
        <v>9688</v>
      </c>
      <c r="C4789" s="17" t="s">
        <v>9690</v>
      </c>
      <c r="D4789" s="18">
        <v>63.36</v>
      </c>
      <c r="E4789" s="18">
        <v>88.7</v>
      </c>
      <c r="F4789" s="18">
        <v>12.0</v>
      </c>
    </row>
    <row r="4790">
      <c r="A4790" s="15">
        <v>17.0</v>
      </c>
      <c r="B4790" s="16" t="s">
        <v>9688</v>
      </c>
      <c r="C4790" s="17" t="s">
        <v>6604</v>
      </c>
      <c r="D4790" s="18">
        <v>29.86</v>
      </c>
      <c r="E4790" s="18">
        <v>41.0</v>
      </c>
      <c r="F4790" s="18">
        <v>12.0</v>
      </c>
    </row>
    <row r="4791">
      <c r="A4791" s="15">
        <v>18.0</v>
      </c>
      <c r="B4791" s="16" t="s">
        <v>9645</v>
      </c>
      <c r="C4791" s="17" t="s">
        <v>6363</v>
      </c>
      <c r="D4791" s="18">
        <v>80.84</v>
      </c>
      <c r="E4791" s="18">
        <v>127.5</v>
      </c>
      <c r="F4791" s="18">
        <v>28.0</v>
      </c>
    </row>
    <row r="4792">
      <c r="A4792" s="15">
        <v>19.0</v>
      </c>
      <c r="B4792" s="16" t="s">
        <v>9691</v>
      </c>
      <c r="C4792" s="17" t="s">
        <v>9692</v>
      </c>
      <c r="D4792" s="18">
        <v>19.46</v>
      </c>
      <c r="E4792" s="18">
        <v>27.0</v>
      </c>
      <c r="F4792" s="18">
        <v>12.0</v>
      </c>
    </row>
    <row r="4793">
      <c r="A4793" s="15">
        <v>20.0</v>
      </c>
      <c r="B4793" s="16" t="s">
        <v>9693</v>
      </c>
      <c r="C4793" s="17" t="s">
        <v>5745</v>
      </c>
      <c r="D4793" s="18">
        <v>39.29</v>
      </c>
      <c r="E4793" s="18">
        <v>55.0</v>
      </c>
      <c r="F4793" s="18">
        <v>12.0</v>
      </c>
    </row>
    <row r="4794">
      <c r="A4794" s="15">
        <v>21.0</v>
      </c>
      <c r="B4794" s="16" t="s">
        <v>9693</v>
      </c>
      <c r="C4794" s="17" t="s">
        <v>8104</v>
      </c>
      <c r="D4794" s="18">
        <v>57.86</v>
      </c>
      <c r="E4794" s="18">
        <v>81.0</v>
      </c>
      <c r="F4794" s="18">
        <v>12.0</v>
      </c>
    </row>
    <row r="4795">
      <c r="A4795" s="15">
        <v>22.0</v>
      </c>
      <c r="B4795" s="16" t="s">
        <v>9694</v>
      </c>
      <c r="C4795" s="17" t="s">
        <v>5614</v>
      </c>
      <c r="D4795" s="18">
        <v>85.0</v>
      </c>
      <c r="E4795" s="18">
        <v>119.0</v>
      </c>
      <c r="F4795" s="18">
        <v>12.0</v>
      </c>
    </row>
    <row r="4796">
      <c r="A4796" s="15">
        <v>23.0</v>
      </c>
      <c r="B4796" s="16" t="s">
        <v>9695</v>
      </c>
      <c r="C4796" s="17" t="s">
        <v>5899</v>
      </c>
      <c r="D4796" s="18">
        <v>59.64</v>
      </c>
      <c r="E4796" s="18">
        <v>83.5</v>
      </c>
      <c r="F4796" s="18">
        <v>12.0</v>
      </c>
    </row>
    <row r="4797">
      <c r="A4797" s="15">
        <v>24.0</v>
      </c>
      <c r="B4797" s="16" t="s">
        <v>9696</v>
      </c>
      <c r="C4797" s="17" t="s">
        <v>5614</v>
      </c>
      <c r="D4797" s="18">
        <v>162.86</v>
      </c>
      <c r="E4797" s="18">
        <v>228.0</v>
      </c>
      <c r="F4797" s="18">
        <v>12.0</v>
      </c>
    </row>
    <row r="4798">
      <c r="A4798" s="15">
        <v>25.0</v>
      </c>
      <c r="B4798" s="16" t="s">
        <v>9697</v>
      </c>
      <c r="C4798" s="17" t="s">
        <v>5899</v>
      </c>
      <c r="D4798" s="18">
        <v>114.29</v>
      </c>
      <c r="E4798" s="18">
        <v>160.0</v>
      </c>
      <c r="F4798" s="18">
        <v>12.0</v>
      </c>
    </row>
    <row r="4799">
      <c r="A4799" s="15">
        <v>26.0</v>
      </c>
      <c r="B4799" s="16" t="s">
        <v>9698</v>
      </c>
      <c r="C4799" s="17" t="s">
        <v>8104</v>
      </c>
      <c r="D4799" s="18">
        <v>35.54</v>
      </c>
      <c r="E4799" s="18">
        <v>49.75</v>
      </c>
      <c r="F4799" s="18">
        <v>12.0</v>
      </c>
    </row>
    <row r="4800">
      <c r="A4800" s="6"/>
      <c r="B4800" s="7"/>
      <c r="C4800" s="7"/>
      <c r="D4800" s="7"/>
      <c r="E4800" s="7"/>
      <c r="F4800" s="8"/>
    </row>
    <row r="4801">
      <c r="A4801" s="9" t="s">
        <v>9699</v>
      </c>
      <c r="B4801" s="10"/>
      <c r="C4801" s="10"/>
      <c r="D4801" s="10"/>
      <c r="E4801" s="10"/>
      <c r="F4801" s="10"/>
    </row>
    <row r="4802">
      <c r="A4802" s="6"/>
      <c r="B4802" s="7"/>
      <c r="C4802" s="7"/>
      <c r="D4802" s="7"/>
      <c r="E4802" s="7"/>
      <c r="F4802" s="8"/>
    </row>
    <row r="4803">
      <c r="A4803" s="9" t="s">
        <v>9700</v>
      </c>
      <c r="B4803" s="10"/>
      <c r="C4803" s="10"/>
      <c r="D4803" s="10"/>
      <c r="E4803" s="10"/>
      <c r="F4803" s="10"/>
    </row>
    <row r="4804">
      <c r="A4804" s="11">
        <v>1.0</v>
      </c>
      <c r="B4804" s="12" t="s">
        <v>9701</v>
      </c>
      <c r="C4804" s="13" t="s">
        <v>5899</v>
      </c>
      <c r="D4804" s="14">
        <v>70.0</v>
      </c>
      <c r="E4804" s="14">
        <v>98.0</v>
      </c>
      <c r="F4804" s="14">
        <v>12.0</v>
      </c>
    </row>
    <row r="4805">
      <c r="A4805" s="15">
        <v>2.0</v>
      </c>
      <c r="B4805" s="16" t="s">
        <v>9702</v>
      </c>
      <c r="C4805" s="17" t="s">
        <v>5899</v>
      </c>
      <c r="D4805" s="18">
        <v>131.43</v>
      </c>
      <c r="E4805" s="18">
        <v>184.0</v>
      </c>
      <c r="F4805" s="18">
        <v>12.0</v>
      </c>
    </row>
    <row r="4806">
      <c r="A4806" s="15">
        <v>3.0</v>
      </c>
      <c r="B4806" s="16" t="s">
        <v>9703</v>
      </c>
      <c r="C4806" s="17" t="s">
        <v>5614</v>
      </c>
      <c r="D4806" s="18">
        <v>105.0</v>
      </c>
      <c r="E4806" s="18">
        <v>147.0</v>
      </c>
      <c r="F4806" s="18">
        <v>12.0</v>
      </c>
    </row>
    <row r="4807">
      <c r="A4807" s="15">
        <v>4.0</v>
      </c>
      <c r="B4807" s="16" t="s">
        <v>9704</v>
      </c>
      <c r="C4807" s="17" t="s">
        <v>5614</v>
      </c>
      <c r="D4807" s="18">
        <v>189.64</v>
      </c>
      <c r="E4807" s="18">
        <v>265.5</v>
      </c>
      <c r="F4807" s="18">
        <v>12.0</v>
      </c>
    </row>
    <row r="4808">
      <c r="A4808" s="15">
        <v>5.0</v>
      </c>
      <c r="B4808" s="16" t="s">
        <v>9705</v>
      </c>
      <c r="C4808" s="17" t="s">
        <v>5562</v>
      </c>
      <c r="D4808" s="18">
        <v>74.29</v>
      </c>
      <c r="E4808" s="18">
        <v>104.0</v>
      </c>
      <c r="F4808" s="18">
        <v>12.0</v>
      </c>
    </row>
    <row r="4809">
      <c r="A4809" s="15">
        <v>6.0</v>
      </c>
      <c r="B4809" s="16" t="s">
        <v>3908</v>
      </c>
      <c r="C4809" s="16" t="s">
        <v>5679</v>
      </c>
      <c r="D4809" s="18">
        <v>280.02</v>
      </c>
      <c r="E4809" s="18">
        <v>388.5</v>
      </c>
      <c r="F4809" s="18">
        <v>12.0</v>
      </c>
    </row>
    <row r="4810">
      <c r="A4810" s="15">
        <v>7.0</v>
      </c>
      <c r="B4810" s="16" t="s">
        <v>9706</v>
      </c>
      <c r="C4810" s="17" t="s">
        <v>5536</v>
      </c>
      <c r="D4810" s="18">
        <v>139.29</v>
      </c>
      <c r="E4810" s="18">
        <v>195.0</v>
      </c>
      <c r="F4810" s="18">
        <v>12.0</v>
      </c>
    </row>
    <row r="4811">
      <c r="A4811" s="15">
        <v>8.0</v>
      </c>
      <c r="B4811" s="16" t="s">
        <v>3910</v>
      </c>
      <c r="C4811" s="16" t="s">
        <v>5558</v>
      </c>
      <c r="D4811" s="18">
        <v>127.86</v>
      </c>
      <c r="E4811" s="18">
        <v>179.0</v>
      </c>
      <c r="F4811" s="18">
        <v>12.0</v>
      </c>
    </row>
    <row r="4812">
      <c r="A4812" s="15">
        <v>9.0</v>
      </c>
      <c r="B4812" s="16" t="s">
        <v>9707</v>
      </c>
      <c r="C4812" s="17" t="s">
        <v>5536</v>
      </c>
      <c r="D4812" s="18">
        <v>117.5</v>
      </c>
      <c r="E4812" s="18">
        <v>164.5</v>
      </c>
      <c r="F4812" s="18">
        <v>12.0</v>
      </c>
    </row>
    <row r="4813">
      <c r="A4813" s="15">
        <v>10.0</v>
      </c>
      <c r="B4813" s="16" t="s">
        <v>9708</v>
      </c>
      <c r="C4813" s="17" t="s">
        <v>5536</v>
      </c>
      <c r="D4813" s="18">
        <v>74.54</v>
      </c>
      <c r="E4813" s="18">
        <v>104.35</v>
      </c>
      <c r="F4813" s="18">
        <v>12.0</v>
      </c>
    </row>
    <row r="4814">
      <c r="A4814" s="15">
        <v>11.0</v>
      </c>
      <c r="B4814" s="16" t="s">
        <v>9709</v>
      </c>
      <c r="C4814" s="17" t="s">
        <v>5536</v>
      </c>
      <c r="D4814" s="18">
        <v>91.79</v>
      </c>
      <c r="E4814" s="18">
        <v>128.5</v>
      </c>
      <c r="F4814" s="18">
        <v>12.0</v>
      </c>
    </row>
    <row r="4815">
      <c r="A4815" s="15">
        <v>12.0</v>
      </c>
      <c r="B4815" s="16" t="s">
        <v>9710</v>
      </c>
      <c r="C4815" s="17" t="s">
        <v>5762</v>
      </c>
      <c r="D4815" s="18">
        <v>369.29</v>
      </c>
      <c r="E4815" s="18">
        <v>517.0</v>
      </c>
      <c r="F4815" s="18">
        <v>12.0</v>
      </c>
    </row>
    <row r="4816">
      <c r="A4816" s="15">
        <v>13.0</v>
      </c>
      <c r="B4816" s="16" t="s">
        <v>9711</v>
      </c>
      <c r="C4816" s="17" t="s">
        <v>5636</v>
      </c>
      <c r="D4816" s="18">
        <v>407.14</v>
      </c>
      <c r="E4816" s="18">
        <v>570.0</v>
      </c>
      <c r="F4816" s="18">
        <v>12.0</v>
      </c>
    </row>
    <row r="4817">
      <c r="A4817" s="15">
        <v>14.0</v>
      </c>
      <c r="B4817" s="16" t="s">
        <v>9712</v>
      </c>
      <c r="C4817" s="17" t="s">
        <v>9713</v>
      </c>
      <c r="D4817" s="18">
        <v>539.29</v>
      </c>
      <c r="E4817" s="18">
        <v>755.0</v>
      </c>
      <c r="F4817" s="18">
        <v>12.0</v>
      </c>
    </row>
    <row r="4818">
      <c r="A4818" s="15">
        <v>15.0</v>
      </c>
      <c r="B4818" s="16" t="s">
        <v>3917</v>
      </c>
      <c r="C4818" s="16" t="s">
        <v>9714</v>
      </c>
      <c r="D4818" s="18">
        <v>312.86</v>
      </c>
      <c r="E4818" s="18">
        <v>438.0</v>
      </c>
      <c r="F4818" s="18">
        <v>12.0</v>
      </c>
    </row>
    <row r="4819">
      <c r="A4819" s="15">
        <v>16.0</v>
      </c>
      <c r="B4819" s="16" t="s">
        <v>9715</v>
      </c>
      <c r="C4819" s="17" t="s">
        <v>5968</v>
      </c>
      <c r="D4819" s="18">
        <v>113.57</v>
      </c>
      <c r="E4819" s="18">
        <v>159.0</v>
      </c>
      <c r="F4819" s="18">
        <v>12.0</v>
      </c>
    </row>
    <row r="4820">
      <c r="A4820" s="15">
        <v>17.0</v>
      </c>
      <c r="B4820" s="16" t="s">
        <v>9716</v>
      </c>
      <c r="C4820" s="17" t="s">
        <v>5636</v>
      </c>
      <c r="D4820" s="18">
        <v>484.07</v>
      </c>
      <c r="E4820" s="18">
        <v>714.0</v>
      </c>
      <c r="F4820" s="18">
        <v>18.0</v>
      </c>
    </row>
    <row r="4821">
      <c r="A4821" s="15">
        <v>18.0</v>
      </c>
      <c r="B4821" s="16" t="s">
        <v>9717</v>
      </c>
      <c r="C4821" s="17" t="s">
        <v>5603</v>
      </c>
      <c r="D4821" s="18">
        <v>82.86</v>
      </c>
      <c r="E4821" s="18">
        <v>116.0</v>
      </c>
      <c r="F4821" s="18">
        <v>12.0</v>
      </c>
    </row>
    <row r="4822">
      <c r="A4822" s="15">
        <v>19.0</v>
      </c>
      <c r="B4822" s="16" t="s">
        <v>3921</v>
      </c>
      <c r="C4822" s="16" t="s">
        <v>5679</v>
      </c>
      <c r="D4822" s="18">
        <v>78.93</v>
      </c>
      <c r="E4822" s="18">
        <v>110.5</v>
      </c>
      <c r="F4822" s="18">
        <v>12.0</v>
      </c>
    </row>
    <row r="4823">
      <c r="A4823" s="15">
        <v>20.0</v>
      </c>
      <c r="B4823" s="16" t="s">
        <v>9718</v>
      </c>
      <c r="C4823" s="17" t="s">
        <v>6104</v>
      </c>
      <c r="D4823" s="18">
        <v>33.56</v>
      </c>
      <c r="E4823" s="18">
        <v>49.5</v>
      </c>
      <c r="F4823" s="18">
        <v>18.0</v>
      </c>
    </row>
    <row r="4824">
      <c r="A4824" s="15">
        <v>21.0</v>
      </c>
      <c r="B4824" s="16" t="s">
        <v>9719</v>
      </c>
      <c r="C4824" s="17" t="s">
        <v>5536</v>
      </c>
      <c r="D4824" s="18">
        <v>204.64</v>
      </c>
      <c r="E4824" s="18">
        <v>286.5</v>
      </c>
      <c r="F4824" s="18">
        <v>12.0</v>
      </c>
    </row>
    <row r="4825">
      <c r="A4825" s="15">
        <v>22.0</v>
      </c>
      <c r="B4825" s="16" t="s">
        <v>9720</v>
      </c>
      <c r="C4825" s="17" t="s">
        <v>5636</v>
      </c>
      <c r="D4825" s="18">
        <v>105.0</v>
      </c>
      <c r="E4825" s="18">
        <v>147.0</v>
      </c>
      <c r="F4825" s="18">
        <v>12.0</v>
      </c>
    </row>
    <row r="4826">
      <c r="A4826" s="15">
        <v>23.0</v>
      </c>
      <c r="B4826" s="16" t="s">
        <v>9721</v>
      </c>
      <c r="C4826" s="17" t="s">
        <v>9722</v>
      </c>
      <c r="D4826" s="18">
        <v>184.29</v>
      </c>
      <c r="E4826" s="18">
        <v>258.0</v>
      </c>
      <c r="F4826" s="18">
        <v>12.0</v>
      </c>
    </row>
    <row r="4827">
      <c r="A4827" s="15">
        <v>24.0</v>
      </c>
      <c r="B4827" s="21"/>
      <c r="C4827" s="17" t="s">
        <v>9723</v>
      </c>
      <c r="D4827" s="18">
        <v>121.43</v>
      </c>
      <c r="E4827" s="18">
        <v>170.0</v>
      </c>
      <c r="F4827" s="18">
        <v>12.0</v>
      </c>
    </row>
    <row r="4828">
      <c r="A4828" s="15">
        <v>25.0</v>
      </c>
      <c r="B4828" s="16" t="s">
        <v>9724</v>
      </c>
      <c r="C4828" s="17" t="s">
        <v>9607</v>
      </c>
      <c r="D4828" s="18">
        <v>82.14</v>
      </c>
      <c r="E4828" s="18">
        <v>115.0</v>
      </c>
      <c r="F4828" s="18">
        <v>12.0</v>
      </c>
    </row>
    <row r="4829">
      <c r="A4829" s="15">
        <v>26.0</v>
      </c>
      <c r="B4829" s="16" t="s">
        <v>9724</v>
      </c>
      <c r="C4829" s="17" t="s">
        <v>9725</v>
      </c>
      <c r="D4829" s="18">
        <v>116.79</v>
      </c>
      <c r="E4829" s="18">
        <v>163.5</v>
      </c>
      <c r="F4829" s="18">
        <v>12.0</v>
      </c>
    </row>
    <row r="4830">
      <c r="A4830" s="6"/>
      <c r="B4830" s="7"/>
      <c r="C4830" s="7"/>
      <c r="D4830" s="7"/>
      <c r="E4830" s="7"/>
      <c r="F4830" s="8"/>
    </row>
    <row r="4831">
      <c r="A4831" s="6"/>
      <c r="B4831" s="7"/>
      <c r="C4831" s="7"/>
      <c r="D4831" s="7"/>
      <c r="E4831" s="8"/>
      <c r="F4831" s="16" t="s">
        <v>9726</v>
      </c>
    </row>
    <row r="4832">
      <c r="A4832" s="6"/>
      <c r="B4832" s="7"/>
      <c r="C4832" s="7"/>
      <c r="D4832" s="7"/>
      <c r="E4832" s="7"/>
      <c r="F4832" s="8"/>
    </row>
    <row r="4833">
      <c r="A4833" s="6"/>
      <c r="B4833" s="7"/>
      <c r="C4833" s="7"/>
      <c r="D4833" s="7"/>
      <c r="E4833" s="7"/>
      <c r="F4833" s="8"/>
    </row>
    <row r="4834">
      <c r="A4834" s="6"/>
      <c r="B4834" s="7"/>
      <c r="C4834" s="7"/>
      <c r="D4834" s="7"/>
      <c r="E4834" s="7"/>
      <c r="F4834" s="8"/>
    </row>
    <row r="4835">
      <c r="A4835" s="6"/>
      <c r="B4835" s="7"/>
      <c r="C4835" s="7"/>
      <c r="D4835" s="7"/>
      <c r="E4835" s="7"/>
      <c r="F4835" s="8"/>
    </row>
    <row r="4836">
      <c r="A4836" s="9" t="s">
        <v>5582</v>
      </c>
      <c r="B4836" s="10"/>
      <c r="C4836" s="10"/>
      <c r="D4836" s="10"/>
      <c r="E4836" s="10"/>
      <c r="F4836" s="10"/>
    </row>
    <row r="4837">
      <c r="A4837" s="19" t="s">
        <v>5583</v>
      </c>
    </row>
    <row r="4838">
      <c r="A4838" s="6"/>
      <c r="B4838" s="7"/>
      <c r="C4838" s="7"/>
      <c r="D4838" s="8"/>
      <c r="E4838" s="12" t="s">
        <v>5584</v>
      </c>
      <c r="F4838" s="12" t="s">
        <v>9727</v>
      </c>
    </row>
    <row r="4839">
      <c r="A4839" s="20" t="s">
        <v>5522</v>
      </c>
      <c r="B4839" s="16" t="s">
        <v>5523</v>
      </c>
      <c r="C4839" s="16" t="s">
        <v>5524</v>
      </c>
      <c r="D4839" s="16" t="s">
        <v>5525</v>
      </c>
      <c r="E4839" s="16" t="s">
        <v>5526</v>
      </c>
      <c r="F4839" s="16" t="s">
        <v>5586</v>
      </c>
    </row>
    <row r="4840">
      <c r="A4840" s="9" t="s">
        <v>9728</v>
      </c>
      <c r="B4840" s="10"/>
      <c r="C4840" s="10"/>
      <c r="D4840" s="10"/>
      <c r="E4840" s="10"/>
      <c r="F4840" s="10"/>
    </row>
    <row r="4841">
      <c r="A4841" s="6"/>
      <c r="B4841" s="7"/>
      <c r="C4841" s="7"/>
      <c r="D4841" s="7"/>
      <c r="E4841" s="7"/>
      <c r="F4841" s="8"/>
    </row>
    <row r="4842">
      <c r="A4842" s="9" t="s">
        <v>9729</v>
      </c>
      <c r="B4842" s="10"/>
      <c r="C4842" s="10"/>
      <c r="D4842" s="10"/>
      <c r="E4842" s="10"/>
      <c r="F4842" s="10"/>
    </row>
    <row r="4843">
      <c r="A4843" s="6"/>
      <c r="B4843" s="7"/>
      <c r="C4843" s="7"/>
      <c r="D4843" s="7"/>
      <c r="E4843" s="7"/>
      <c r="F4843" s="8"/>
    </row>
    <row r="4844">
      <c r="A4844" s="9" t="s">
        <v>9730</v>
      </c>
      <c r="B4844" s="10"/>
      <c r="C4844" s="10"/>
      <c r="D4844" s="10"/>
      <c r="E4844" s="10"/>
      <c r="F4844" s="10"/>
    </row>
    <row r="4845">
      <c r="A4845" s="6"/>
      <c r="B4845" s="7"/>
      <c r="C4845" s="7"/>
      <c r="D4845" s="7"/>
      <c r="E4845" s="7"/>
      <c r="F4845" s="8"/>
    </row>
    <row r="4846">
      <c r="A4846" s="9" t="s">
        <v>9731</v>
      </c>
      <c r="B4846" s="10"/>
      <c r="C4846" s="10"/>
      <c r="D4846" s="10"/>
      <c r="E4846" s="10"/>
      <c r="F4846" s="10"/>
    </row>
    <row r="4847">
      <c r="A4847" s="6"/>
      <c r="B4847" s="7"/>
      <c r="C4847" s="7"/>
      <c r="D4847" s="7"/>
      <c r="E4847" s="7"/>
      <c r="F4847" s="8"/>
    </row>
    <row r="4848">
      <c r="A4848" s="9" t="s">
        <v>9732</v>
      </c>
      <c r="B4848" s="10"/>
      <c r="C4848" s="10"/>
      <c r="D4848" s="10"/>
      <c r="E4848" s="10"/>
      <c r="F4848" s="10"/>
    </row>
    <row r="4849">
      <c r="A4849" s="11">
        <v>1.0</v>
      </c>
      <c r="B4849" s="12" t="s">
        <v>9733</v>
      </c>
      <c r="C4849" s="13" t="s">
        <v>5636</v>
      </c>
      <c r="D4849" s="14">
        <v>117.86</v>
      </c>
      <c r="E4849" s="14">
        <v>160.0</v>
      </c>
      <c r="F4849" s="14">
        <v>12.0</v>
      </c>
    </row>
    <row r="4850">
      <c r="A4850" s="15">
        <v>2.0</v>
      </c>
      <c r="B4850" s="16" t="s">
        <v>9734</v>
      </c>
      <c r="C4850" s="17" t="s">
        <v>5620</v>
      </c>
      <c r="D4850" s="18">
        <v>196.43</v>
      </c>
      <c r="E4850" s="18">
        <v>275.0</v>
      </c>
      <c r="F4850" s="18">
        <v>12.0</v>
      </c>
    </row>
    <row r="4851">
      <c r="A4851" s="15">
        <v>3.0</v>
      </c>
      <c r="B4851" s="16" t="s">
        <v>9735</v>
      </c>
      <c r="C4851" s="17" t="s">
        <v>5620</v>
      </c>
      <c r="D4851" s="18">
        <v>237.86</v>
      </c>
      <c r="E4851" s="18">
        <v>333.0</v>
      </c>
      <c r="F4851" s="18">
        <v>12.0</v>
      </c>
    </row>
    <row r="4852">
      <c r="A4852" s="15">
        <v>4.0</v>
      </c>
      <c r="B4852" s="16" t="s">
        <v>9736</v>
      </c>
      <c r="C4852" s="17" t="s">
        <v>5536</v>
      </c>
      <c r="D4852" s="18">
        <v>82.14</v>
      </c>
      <c r="E4852" s="18">
        <v>115.0</v>
      </c>
      <c r="F4852" s="18">
        <v>12.0</v>
      </c>
    </row>
    <row r="4853">
      <c r="A4853" s="15">
        <v>5.0</v>
      </c>
      <c r="B4853" s="16" t="s">
        <v>9737</v>
      </c>
      <c r="C4853" s="17" t="s">
        <v>5536</v>
      </c>
      <c r="D4853" s="18">
        <v>96.43</v>
      </c>
      <c r="E4853" s="18">
        <v>135.0</v>
      </c>
      <c r="F4853" s="18">
        <v>12.0</v>
      </c>
    </row>
    <row r="4854">
      <c r="A4854" s="15">
        <v>6.0</v>
      </c>
      <c r="B4854" s="16" t="s">
        <v>9738</v>
      </c>
      <c r="C4854" s="17" t="s">
        <v>5536</v>
      </c>
      <c r="D4854" s="18">
        <v>121.43</v>
      </c>
      <c r="E4854" s="18">
        <v>170.0</v>
      </c>
      <c r="F4854" s="18">
        <v>12.0</v>
      </c>
    </row>
    <row r="4855">
      <c r="A4855" s="15">
        <v>7.0</v>
      </c>
      <c r="B4855" s="16" t="s">
        <v>9739</v>
      </c>
      <c r="C4855" s="17" t="s">
        <v>9740</v>
      </c>
      <c r="D4855" s="18">
        <v>125.0</v>
      </c>
      <c r="E4855" s="18">
        <v>175.0</v>
      </c>
      <c r="F4855" s="18">
        <v>12.0</v>
      </c>
    </row>
    <row r="4856">
      <c r="A4856" s="15">
        <v>8.0</v>
      </c>
      <c r="B4856" s="16" t="s">
        <v>9739</v>
      </c>
      <c r="C4856" s="17" t="s">
        <v>9741</v>
      </c>
      <c r="D4856" s="18">
        <v>121.43</v>
      </c>
      <c r="E4856" s="18">
        <v>170.0</v>
      </c>
      <c r="F4856" s="18">
        <v>12.0</v>
      </c>
    </row>
    <row r="4857">
      <c r="A4857" s="15">
        <v>9.0</v>
      </c>
      <c r="B4857" s="16" t="s">
        <v>9739</v>
      </c>
      <c r="C4857" s="17" t="s">
        <v>9742</v>
      </c>
      <c r="D4857" s="18">
        <v>132.86</v>
      </c>
      <c r="E4857" s="18">
        <v>186.0</v>
      </c>
      <c r="F4857" s="18">
        <v>12.0</v>
      </c>
    </row>
    <row r="4858">
      <c r="A4858" s="15">
        <v>10.0</v>
      </c>
      <c r="B4858" s="16" t="s">
        <v>9739</v>
      </c>
      <c r="C4858" s="17" t="s">
        <v>9743</v>
      </c>
      <c r="D4858" s="18">
        <v>131.43</v>
      </c>
      <c r="E4858" s="18">
        <v>184.0</v>
      </c>
      <c r="F4858" s="18">
        <v>12.0</v>
      </c>
    </row>
    <row r="4859">
      <c r="A4859" s="15">
        <v>11.0</v>
      </c>
      <c r="B4859" s="16" t="s">
        <v>9744</v>
      </c>
      <c r="C4859" s="17" t="s">
        <v>9745</v>
      </c>
      <c r="D4859" s="18">
        <v>135.71</v>
      </c>
      <c r="E4859" s="18">
        <v>190.0</v>
      </c>
      <c r="F4859" s="18">
        <v>12.0</v>
      </c>
    </row>
    <row r="4860">
      <c r="A4860" s="15">
        <v>12.0</v>
      </c>
      <c r="B4860" s="16" t="s">
        <v>9744</v>
      </c>
      <c r="C4860" s="17" t="s">
        <v>5657</v>
      </c>
      <c r="D4860" s="18">
        <v>125.0</v>
      </c>
      <c r="E4860" s="18">
        <v>175.0</v>
      </c>
      <c r="F4860" s="18">
        <v>12.0</v>
      </c>
    </row>
    <row r="4861">
      <c r="A4861" s="15">
        <v>13.0</v>
      </c>
      <c r="B4861" s="16" t="s">
        <v>9746</v>
      </c>
      <c r="C4861" s="17" t="s">
        <v>5536</v>
      </c>
      <c r="D4861" s="18">
        <v>142.86</v>
      </c>
      <c r="E4861" s="18">
        <v>200.0</v>
      </c>
      <c r="F4861" s="18">
        <v>12.0</v>
      </c>
    </row>
    <row r="4862">
      <c r="A4862" s="15">
        <v>14.0</v>
      </c>
      <c r="B4862" s="16" t="s">
        <v>9747</v>
      </c>
      <c r="C4862" s="17" t="s">
        <v>5536</v>
      </c>
      <c r="D4862" s="18">
        <v>89.29</v>
      </c>
      <c r="E4862" s="18">
        <v>125.0</v>
      </c>
      <c r="F4862" s="18">
        <v>12.0</v>
      </c>
    </row>
    <row r="4863">
      <c r="A4863" s="15">
        <v>15.0</v>
      </c>
      <c r="B4863" s="16" t="s">
        <v>9748</v>
      </c>
      <c r="C4863" s="17" t="s">
        <v>8632</v>
      </c>
      <c r="D4863" s="18">
        <v>57.14</v>
      </c>
      <c r="E4863" s="18">
        <v>80.0</v>
      </c>
      <c r="F4863" s="18">
        <v>12.0</v>
      </c>
    </row>
    <row r="4864">
      <c r="A4864" s="15">
        <v>16.0</v>
      </c>
      <c r="B4864" s="16" t="s">
        <v>9748</v>
      </c>
      <c r="C4864" s="17" t="s">
        <v>5636</v>
      </c>
      <c r="D4864" s="18">
        <v>50.0</v>
      </c>
      <c r="E4864" s="18">
        <v>70.0</v>
      </c>
      <c r="F4864" s="18">
        <v>12.0</v>
      </c>
    </row>
    <row r="4865">
      <c r="A4865" s="15">
        <v>17.0</v>
      </c>
      <c r="B4865" s="16" t="s">
        <v>9748</v>
      </c>
      <c r="C4865" s="17" t="s">
        <v>9749</v>
      </c>
      <c r="D4865" s="18">
        <v>135.0</v>
      </c>
      <c r="E4865" s="18">
        <v>189.0</v>
      </c>
      <c r="F4865" s="18">
        <v>12.0</v>
      </c>
    </row>
    <row r="4866">
      <c r="A4866" s="15">
        <v>18.0</v>
      </c>
      <c r="B4866" s="16" t="s">
        <v>9748</v>
      </c>
      <c r="C4866" s="17" t="s">
        <v>9750</v>
      </c>
      <c r="D4866" s="18">
        <v>155.0</v>
      </c>
      <c r="E4866" s="18">
        <v>217.0</v>
      </c>
      <c r="F4866" s="18">
        <v>12.0</v>
      </c>
    </row>
    <row r="4867">
      <c r="A4867" s="15">
        <v>19.0</v>
      </c>
      <c r="B4867" s="16" t="s">
        <v>9751</v>
      </c>
      <c r="C4867" s="17" t="s">
        <v>5636</v>
      </c>
      <c r="D4867" s="18">
        <v>85.0</v>
      </c>
      <c r="E4867" s="18">
        <v>119.0</v>
      </c>
      <c r="F4867" s="18">
        <v>12.0</v>
      </c>
    </row>
    <row r="4868">
      <c r="A4868" s="15">
        <v>20.0</v>
      </c>
      <c r="B4868" s="16" t="s">
        <v>9752</v>
      </c>
      <c r="C4868" s="17" t="s">
        <v>5536</v>
      </c>
      <c r="D4868" s="18">
        <v>89.29</v>
      </c>
      <c r="E4868" s="18">
        <v>125.0</v>
      </c>
      <c r="F4868" s="18">
        <v>12.0</v>
      </c>
    </row>
    <row r="4869">
      <c r="A4869" s="15">
        <v>21.0</v>
      </c>
      <c r="B4869" s="16" t="s">
        <v>9753</v>
      </c>
      <c r="C4869" s="17" t="s">
        <v>5833</v>
      </c>
      <c r="D4869" s="18">
        <v>78.57</v>
      </c>
      <c r="E4869" s="18">
        <v>110.0</v>
      </c>
      <c r="F4869" s="18">
        <v>12.0</v>
      </c>
    </row>
    <row r="4870">
      <c r="A4870" s="15">
        <v>22.0</v>
      </c>
      <c r="B4870" s="16" t="s">
        <v>9754</v>
      </c>
      <c r="C4870" s="17" t="s">
        <v>5536</v>
      </c>
      <c r="D4870" s="18">
        <v>87.14</v>
      </c>
      <c r="E4870" s="18">
        <v>122.0</v>
      </c>
      <c r="F4870" s="18">
        <v>12.0</v>
      </c>
    </row>
    <row r="4871">
      <c r="A4871" s="15">
        <v>23.0</v>
      </c>
      <c r="B4871" s="16" t="s">
        <v>9755</v>
      </c>
      <c r="C4871" s="17" t="s">
        <v>5636</v>
      </c>
      <c r="D4871" s="18">
        <v>77.86</v>
      </c>
      <c r="E4871" s="18">
        <v>109.0</v>
      </c>
      <c r="F4871" s="18">
        <v>12.0</v>
      </c>
    </row>
    <row r="4872">
      <c r="A4872" s="15">
        <v>24.0</v>
      </c>
      <c r="B4872" s="16" t="s">
        <v>3953</v>
      </c>
      <c r="C4872" s="16" t="s">
        <v>5558</v>
      </c>
      <c r="D4872" s="18">
        <v>75.0</v>
      </c>
      <c r="E4872" s="18">
        <v>105.0</v>
      </c>
      <c r="F4872" s="18">
        <v>12.0</v>
      </c>
    </row>
    <row r="4873">
      <c r="A4873" s="15">
        <v>25.0</v>
      </c>
      <c r="B4873" s="16" t="s">
        <v>9756</v>
      </c>
      <c r="C4873" s="17" t="s">
        <v>5636</v>
      </c>
      <c r="D4873" s="18">
        <v>125.0</v>
      </c>
      <c r="E4873" s="18">
        <v>175.0</v>
      </c>
      <c r="F4873" s="18">
        <v>12.0</v>
      </c>
    </row>
    <row r="4874">
      <c r="A4874" s="15">
        <v>26.0</v>
      </c>
      <c r="B4874" s="16" t="s">
        <v>9757</v>
      </c>
      <c r="C4874" s="17" t="s">
        <v>9758</v>
      </c>
      <c r="D4874" s="18">
        <v>150.0</v>
      </c>
      <c r="E4874" s="18">
        <v>210.0</v>
      </c>
      <c r="F4874" s="18">
        <v>12.0</v>
      </c>
    </row>
    <row r="4875">
      <c r="A4875" s="6"/>
      <c r="B4875" s="7"/>
      <c r="C4875" s="7"/>
      <c r="D4875" s="7"/>
      <c r="E4875" s="7"/>
      <c r="F4875" s="8"/>
    </row>
    <row r="4876">
      <c r="A4876" s="9" t="s">
        <v>9759</v>
      </c>
      <c r="B4876" s="10"/>
      <c r="C4876" s="10"/>
      <c r="D4876" s="10"/>
      <c r="E4876" s="10"/>
      <c r="F4876" s="10"/>
    </row>
    <row r="4877">
      <c r="A4877" s="11">
        <v>1.0</v>
      </c>
      <c r="B4877" s="12" t="s">
        <v>9760</v>
      </c>
      <c r="C4877" s="13" t="s">
        <v>5788</v>
      </c>
      <c r="D4877" s="14">
        <v>42.48</v>
      </c>
      <c r="E4877" s="14">
        <v>59.0</v>
      </c>
      <c r="F4877" s="14">
        <v>12.0</v>
      </c>
    </row>
    <row r="4878">
      <c r="A4878" s="15">
        <v>2.0</v>
      </c>
      <c r="B4878" s="16" t="s">
        <v>9761</v>
      </c>
      <c r="C4878" s="17" t="s">
        <v>5536</v>
      </c>
      <c r="D4878" s="18">
        <v>30.17</v>
      </c>
      <c r="E4878" s="18">
        <v>40.35</v>
      </c>
      <c r="F4878" s="18">
        <v>12.0</v>
      </c>
    </row>
    <row r="4879">
      <c r="A4879" s="15">
        <v>3.0</v>
      </c>
      <c r="B4879" s="16" t="s">
        <v>9762</v>
      </c>
      <c r="C4879" s="17" t="s">
        <v>5788</v>
      </c>
      <c r="D4879" s="18">
        <v>54.0</v>
      </c>
      <c r="E4879" s="18">
        <v>75.0</v>
      </c>
      <c r="F4879" s="18">
        <v>12.0</v>
      </c>
    </row>
    <row r="4880">
      <c r="A4880" s="15">
        <v>4.0</v>
      </c>
      <c r="B4880" s="16" t="s">
        <v>9763</v>
      </c>
      <c r="C4880" s="17" t="s">
        <v>5536</v>
      </c>
      <c r="D4880" s="18">
        <v>35.29</v>
      </c>
      <c r="E4880" s="18">
        <v>47.2</v>
      </c>
      <c r="F4880" s="18">
        <v>12.0</v>
      </c>
    </row>
    <row r="4881">
      <c r="A4881" s="15">
        <v>5.0</v>
      </c>
      <c r="B4881" s="16" t="s">
        <v>9764</v>
      </c>
      <c r="C4881" s="17" t="s">
        <v>9765</v>
      </c>
      <c r="D4881" s="18">
        <v>33.65</v>
      </c>
      <c r="E4881" s="18">
        <v>45.0</v>
      </c>
      <c r="F4881" s="18">
        <v>12.0</v>
      </c>
    </row>
    <row r="4882">
      <c r="A4882" s="15">
        <v>6.0</v>
      </c>
      <c r="B4882" s="16" t="s">
        <v>9766</v>
      </c>
      <c r="C4882" s="17" t="s">
        <v>9765</v>
      </c>
      <c r="D4882" s="18">
        <v>48.6</v>
      </c>
      <c r="E4882" s="18">
        <v>65.0</v>
      </c>
      <c r="F4882" s="18">
        <v>12.0</v>
      </c>
    </row>
    <row r="4883">
      <c r="A4883" s="15">
        <v>7.0</v>
      </c>
      <c r="B4883" s="16" t="s">
        <v>9767</v>
      </c>
      <c r="C4883" s="17" t="s">
        <v>5536</v>
      </c>
      <c r="D4883" s="18">
        <v>54.0</v>
      </c>
      <c r="E4883" s="18">
        <v>75.0</v>
      </c>
      <c r="F4883" s="18">
        <v>12.0</v>
      </c>
    </row>
    <row r="4884">
      <c r="A4884" s="15">
        <v>8.0</v>
      </c>
      <c r="B4884" s="16" t="s">
        <v>9768</v>
      </c>
      <c r="C4884" s="17" t="s">
        <v>5536</v>
      </c>
      <c r="D4884" s="18">
        <v>71.03</v>
      </c>
      <c r="E4884" s="18">
        <v>95.0</v>
      </c>
      <c r="F4884" s="18">
        <v>12.0</v>
      </c>
    </row>
    <row r="4885">
      <c r="A4885" s="15">
        <v>9.0</v>
      </c>
      <c r="B4885" s="16" t="s">
        <v>9769</v>
      </c>
      <c r="C4885" s="17" t="s">
        <v>7142</v>
      </c>
      <c r="D4885" s="18">
        <v>33.65</v>
      </c>
      <c r="E4885" s="18">
        <v>45.0</v>
      </c>
      <c r="F4885" s="18">
        <v>12.0</v>
      </c>
    </row>
    <row r="4886">
      <c r="A4886" s="15">
        <v>10.0</v>
      </c>
      <c r="B4886" s="16" t="s">
        <v>9769</v>
      </c>
      <c r="C4886" s="17" t="s">
        <v>7143</v>
      </c>
      <c r="D4886" s="18">
        <v>44.86</v>
      </c>
      <c r="E4886" s="18">
        <v>60.0</v>
      </c>
      <c r="F4886" s="18">
        <v>12.0</v>
      </c>
    </row>
    <row r="4887">
      <c r="A4887" s="15">
        <v>11.0</v>
      </c>
      <c r="B4887" s="16" t="s">
        <v>9770</v>
      </c>
      <c r="C4887" s="17" t="s">
        <v>8817</v>
      </c>
      <c r="D4887" s="18">
        <v>71.03</v>
      </c>
      <c r="E4887" s="18">
        <v>95.0</v>
      </c>
      <c r="F4887" s="18">
        <v>12.0</v>
      </c>
    </row>
    <row r="4888">
      <c r="A4888" s="15">
        <v>12.0</v>
      </c>
      <c r="B4888" s="16" t="s">
        <v>9770</v>
      </c>
      <c r="C4888" s="17" t="s">
        <v>6235</v>
      </c>
      <c r="D4888" s="18">
        <v>93.6</v>
      </c>
      <c r="E4888" s="18">
        <v>130.0</v>
      </c>
      <c r="F4888" s="18">
        <v>12.0</v>
      </c>
    </row>
    <row r="4889">
      <c r="A4889" s="15">
        <v>13.0</v>
      </c>
      <c r="B4889" s="16" t="s">
        <v>9771</v>
      </c>
      <c r="C4889" s="17" t="s">
        <v>5653</v>
      </c>
      <c r="D4889" s="18">
        <v>47.52</v>
      </c>
      <c r="E4889" s="18">
        <v>66.0</v>
      </c>
      <c r="F4889" s="18">
        <v>12.0</v>
      </c>
    </row>
    <row r="4890">
      <c r="A4890" s="15">
        <v>14.0</v>
      </c>
      <c r="B4890" s="16" t="s">
        <v>9771</v>
      </c>
      <c r="C4890" s="17" t="s">
        <v>5654</v>
      </c>
      <c r="D4890" s="18">
        <v>79.2</v>
      </c>
      <c r="E4890" s="18">
        <v>110.0</v>
      </c>
      <c r="F4890" s="18">
        <v>12.0</v>
      </c>
    </row>
    <row r="4891">
      <c r="A4891" s="15">
        <v>15.0</v>
      </c>
      <c r="B4891" s="16" t="s">
        <v>9772</v>
      </c>
      <c r="C4891" s="17" t="s">
        <v>5636</v>
      </c>
      <c r="D4891" s="18">
        <v>31.82</v>
      </c>
      <c r="E4891" s="18">
        <v>44.2</v>
      </c>
      <c r="F4891" s="18">
        <v>12.0</v>
      </c>
    </row>
    <row r="4892">
      <c r="A4892" s="15">
        <v>16.0</v>
      </c>
      <c r="B4892" s="16" t="s">
        <v>9771</v>
      </c>
      <c r="C4892" s="17" t="s">
        <v>6284</v>
      </c>
      <c r="D4892" s="18">
        <v>74.88</v>
      </c>
      <c r="E4892" s="18">
        <v>104.0</v>
      </c>
      <c r="F4892" s="18">
        <v>12.0</v>
      </c>
    </row>
    <row r="4893">
      <c r="A4893" s="15">
        <v>17.0</v>
      </c>
      <c r="B4893" s="16" t="s">
        <v>9773</v>
      </c>
      <c r="C4893" s="17" t="s">
        <v>5536</v>
      </c>
      <c r="D4893" s="18">
        <v>32.4</v>
      </c>
      <c r="E4893" s="18">
        <v>45.0</v>
      </c>
      <c r="F4893" s="18">
        <v>12.0</v>
      </c>
    </row>
    <row r="4894">
      <c r="A4894" s="15">
        <v>18.0</v>
      </c>
      <c r="B4894" s="16" t="s">
        <v>9774</v>
      </c>
      <c r="C4894" s="17" t="s">
        <v>5536</v>
      </c>
      <c r="D4894" s="18">
        <v>58.32</v>
      </c>
      <c r="E4894" s="18">
        <v>78.0</v>
      </c>
      <c r="F4894" s="18">
        <v>12.0</v>
      </c>
    </row>
    <row r="4895">
      <c r="A4895" s="15">
        <v>19.0</v>
      </c>
      <c r="B4895" s="16" t="s">
        <v>9775</v>
      </c>
      <c r="C4895" s="17" t="s">
        <v>5636</v>
      </c>
      <c r="D4895" s="18">
        <v>37.44</v>
      </c>
      <c r="E4895" s="18">
        <v>52.0</v>
      </c>
      <c r="F4895" s="18">
        <v>12.0</v>
      </c>
    </row>
    <row r="4896">
      <c r="A4896" s="15">
        <v>20.0</v>
      </c>
      <c r="B4896" s="16" t="s">
        <v>9776</v>
      </c>
      <c r="C4896" s="17" t="s">
        <v>5636</v>
      </c>
      <c r="D4896" s="18">
        <v>53.64</v>
      </c>
      <c r="E4896" s="18">
        <v>74.5</v>
      </c>
      <c r="F4896" s="18">
        <v>12.0</v>
      </c>
    </row>
    <row r="4897">
      <c r="A4897" s="15">
        <v>21.0</v>
      </c>
      <c r="B4897" s="16" t="s">
        <v>9777</v>
      </c>
      <c r="C4897" s="17" t="s">
        <v>6046</v>
      </c>
      <c r="D4897" s="18">
        <v>56.16</v>
      </c>
      <c r="E4897" s="18">
        <v>78.0</v>
      </c>
      <c r="F4897" s="18">
        <v>12.0</v>
      </c>
    </row>
    <row r="4898">
      <c r="A4898" s="6"/>
      <c r="B4898" s="7"/>
      <c r="C4898" s="7"/>
      <c r="D4898" s="7"/>
      <c r="E4898" s="7"/>
      <c r="F4898" s="8"/>
    </row>
    <row r="4899">
      <c r="A4899" s="9" t="s">
        <v>9778</v>
      </c>
      <c r="B4899" s="10"/>
      <c r="C4899" s="10"/>
      <c r="D4899" s="10"/>
      <c r="E4899" s="10"/>
      <c r="F4899" s="10"/>
    </row>
    <row r="4900">
      <c r="A4900" s="6"/>
      <c r="B4900" s="7"/>
      <c r="C4900" s="7"/>
      <c r="D4900" s="7"/>
      <c r="E4900" s="7"/>
      <c r="F4900" s="8"/>
    </row>
    <row r="4901">
      <c r="A4901" s="6"/>
      <c r="B4901" s="7"/>
      <c r="C4901" s="7"/>
      <c r="D4901" s="7"/>
      <c r="E4901" s="8"/>
      <c r="F4901" s="16" t="s">
        <v>9779</v>
      </c>
    </row>
    <row r="4902">
      <c r="A4902" s="6"/>
      <c r="B4902" s="7"/>
      <c r="C4902" s="7"/>
      <c r="D4902" s="7"/>
      <c r="E4902" s="7"/>
      <c r="F4902" s="8"/>
    </row>
    <row r="4903">
      <c r="A4903" s="6"/>
      <c r="B4903" s="7"/>
      <c r="C4903" s="7"/>
      <c r="D4903" s="7"/>
      <c r="E4903" s="7"/>
      <c r="F4903" s="8"/>
    </row>
    <row r="4904">
      <c r="A4904" s="6"/>
      <c r="B4904" s="7"/>
      <c r="C4904" s="7"/>
      <c r="D4904" s="7"/>
      <c r="E4904" s="7"/>
      <c r="F4904" s="8"/>
    </row>
    <row r="4905">
      <c r="A4905" s="6"/>
      <c r="B4905" s="7"/>
      <c r="C4905" s="7"/>
      <c r="D4905" s="7"/>
      <c r="E4905" s="7"/>
      <c r="F4905" s="8"/>
    </row>
    <row r="4906">
      <c r="A4906" s="9" t="s">
        <v>5582</v>
      </c>
      <c r="B4906" s="10"/>
      <c r="C4906" s="10"/>
      <c r="D4906" s="10"/>
      <c r="E4906" s="10"/>
      <c r="F4906" s="10"/>
    </row>
    <row r="4907">
      <c r="A4907" s="19" t="s">
        <v>5583</v>
      </c>
    </row>
    <row r="4908">
      <c r="A4908" s="6"/>
      <c r="B4908" s="7"/>
      <c r="C4908" s="7"/>
      <c r="D4908" s="8"/>
      <c r="E4908" s="12" t="s">
        <v>5584</v>
      </c>
      <c r="F4908" s="12" t="s">
        <v>9780</v>
      </c>
    </row>
    <row r="4909">
      <c r="A4909" s="20" t="s">
        <v>5522</v>
      </c>
      <c r="B4909" s="16" t="s">
        <v>5523</v>
      </c>
      <c r="C4909" s="16" t="s">
        <v>5524</v>
      </c>
      <c r="D4909" s="16" t="s">
        <v>5525</v>
      </c>
      <c r="E4909" s="16" t="s">
        <v>5526</v>
      </c>
      <c r="F4909" s="16" t="s">
        <v>5586</v>
      </c>
    </row>
    <row r="4910">
      <c r="A4910" s="9" t="s">
        <v>9781</v>
      </c>
      <c r="B4910" s="10"/>
      <c r="C4910" s="10"/>
      <c r="D4910" s="10"/>
      <c r="E4910" s="10"/>
      <c r="F4910" s="10"/>
    </row>
    <row r="4911">
      <c r="A4911" s="11">
        <v>1.0</v>
      </c>
      <c r="B4911" s="12" t="s">
        <v>9782</v>
      </c>
      <c r="C4911" s="13" t="s">
        <v>9783</v>
      </c>
      <c r="D4911" s="14">
        <v>3547.35</v>
      </c>
      <c r="E4911" s="14">
        <v>4950.0</v>
      </c>
      <c r="F4911" s="14">
        <v>12.0</v>
      </c>
    </row>
    <row r="4912">
      <c r="A4912" s="6"/>
      <c r="B4912" s="7"/>
      <c r="C4912" s="7"/>
      <c r="D4912" s="7"/>
      <c r="E4912" s="7"/>
      <c r="F4912" s="8"/>
    </row>
    <row r="4913">
      <c r="A4913" s="9" t="s">
        <v>9784</v>
      </c>
      <c r="B4913" s="10"/>
      <c r="C4913" s="10"/>
      <c r="D4913" s="10"/>
      <c r="E4913" s="10"/>
      <c r="F4913" s="10"/>
    </row>
    <row r="4914">
      <c r="A4914" s="11">
        <v>1.0</v>
      </c>
      <c r="B4914" s="12" t="s">
        <v>3980</v>
      </c>
      <c r="C4914" s="12" t="s">
        <v>5558</v>
      </c>
      <c r="D4914" s="14">
        <v>156.44</v>
      </c>
      <c r="E4914" s="14">
        <v>219.0</v>
      </c>
      <c r="F4914" s="14">
        <v>12.0</v>
      </c>
    </row>
    <row r="4915">
      <c r="A4915" s="15">
        <v>2.0</v>
      </c>
      <c r="B4915" s="16" t="s">
        <v>9785</v>
      </c>
      <c r="C4915" s="17" t="s">
        <v>5614</v>
      </c>
      <c r="D4915" s="18">
        <v>50.47</v>
      </c>
      <c r="E4915" s="18">
        <v>70.0</v>
      </c>
      <c r="F4915" s="18">
        <v>12.0</v>
      </c>
    </row>
    <row r="4916">
      <c r="A4916" s="15">
        <v>3.0</v>
      </c>
      <c r="B4916" s="16" t="s">
        <v>9786</v>
      </c>
      <c r="C4916" s="17" t="s">
        <v>5614</v>
      </c>
      <c r="D4916" s="18">
        <v>105.95</v>
      </c>
      <c r="E4916" s="18">
        <v>147.0</v>
      </c>
      <c r="F4916" s="18">
        <v>12.0</v>
      </c>
    </row>
    <row r="4917">
      <c r="A4917" s="15">
        <v>4.0</v>
      </c>
      <c r="B4917" s="16" t="s">
        <v>9787</v>
      </c>
      <c r="C4917" s="17" t="s">
        <v>5562</v>
      </c>
      <c r="D4917" s="18">
        <v>75.64</v>
      </c>
      <c r="E4917" s="18">
        <v>108.0</v>
      </c>
      <c r="F4917" s="18">
        <v>18.0</v>
      </c>
    </row>
    <row r="4918">
      <c r="A4918" s="15">
        <v>5.0</v>
      </c>
      <c r="B4918" s="16" t="s">
        <v>9788</v>
      </c>
      <c r="C4918" s="17" t="s">
        <v>5536</v>
      </c>
      <c r="D4918" s="18">
        <v>43.97</v>
      </c>
      <c r="E4918" s="18">
        <v>61.55</v>
      </c>
      <c r="F4918" s="18">
        <v>12.0</v>
      </c>
    </row>
    <row r="4919">
      <c r="A4919" s="15">
        <v>6.0</v>
      </c>
      <c r="B4919" s="16" t="s">
        <v>9789</v>
      </c>
      <c r="C4919" s="17" t="s">
        <v>5536</v>
      </c>
      <c r="D4919" s="18">
        <v>18.93</v>
      </c>
      <c r="E4919" s="18">
        <v>26.5</v>
      </c>
      <c r="F4919" s="18">
        <v>12.0</v>
      </c>
    </row>
    <row r="4920">
      <c r="A4920" s="15">
        <v>7.0</v>
      </c>
      <c r="B4920" s="16" t="s">
        <v>9790</v>
      </c>
      <c r="C4920" s="17" t="s">
        <v>5636</v>
      </c>
      <c r="D4920" s="18">
        <v>23.97</v>
      </c>
      <c r="E4920" s="18">
        <v>33.55</v>
      </c>
      <c r="F4920" s="18">
        <v>12.0</v>
      </c>
    </row>
    <row r="4921">
      <c r="A4921" s="15">
        <v>8.0</v>
      </c>
      <c r="B4921" s="16" t="s">
        <v>9791</v>
      </c>
      <c r="C4921" s="17" t="s">
        <v>5536</v>
      </c>
      <c r="D4921" s="18">
        <v>46.12</v>
      </c>
      <c r="E4921" s="18">
        <v>64.0</v>
      </c>
      <c r="F4921" s="18">
        <v>12.0</v>
      </c>
    </row>
    <row r="4922">
      <c r="A4922" s="15">
        <v>9.0</v>
      </c>
      <c r="B4922" s="16" t="s">
        <v>9792</v>
      </c>
      <c r="C4922" s="17" t="s">
        <v>5653</v>
      </c>
      <c r="D4922" s="18">
        <v>85.72</v>
      </c>
      <c r="E4922" s="18">
        <v>120.0</v>
      </c>
      <c r="F4922" s="18">
        <v>12.0</v>
      </c>
    </row>
    <row r="4923">
      <c r="A4923" s="15">
        <v>10.0</v>
      </c>
      <c r="B4923" s="16" t="s">
        <v>9792</v>
      </c>
      <c r="C4923" s="17" t="s">
        <v>5655</v>
      </c>
      <c r="D4923" s="18">
        <v>63.58</v>
      </c>
      <c r="E4923" s="18">
        <v>89.0</v>
      </c>
      <c r="F4923" s="18">
        <v>12.0</v>
      </c>
    </row>
    <row r="4924">
      <c r="A4924" s="15">
        <v>11.0</v>
      </c>
      <c r="B4924" s="16" t="s">
        <v>9793</v>
      </c>
      <c r="C4924" s="17" t="s">
        <v>5536</v>
      </c>
      <c r="D4924" s="18">
        <v>75.68</v>
      </c>
      <c r="E4924" s="18">
        <v>105.0</v>
      </c>
      <c r="F4924" s="18">
        <v>12.0</v>
      </c>
    </row>
    <row r="4925">
      <c r="A4925" s="15">
        <v>12.0</v>
      </c>
      <c r="B4925" s="16" t="s">
        <v>9794</v>
      </c>
      <c r="C4925" s="17" t="s">
        <v>5536</v>
      </c>
      <c r="D4925" s="18">
        <v>46.84</v>
      </c>
      <c r="E4925" s="18">
        <v>65.0</v>
      </c>
      <c r="F4925" s="18">
        <v>12.0</v>
      </c>
    </row>
    <row r="4926">
      <c r="A4926" s="15">
        <v>13.0</v>
      </c>
      <c r="B4926" s="16" t="s">
        <v>9795</v>
      </c>
      <c r="C4926" s="17" t="s">
        <v>7603</v>
      </c>
      <c r="D4926" s="18">
        <v>106.07</v>
      </c>
      <c r="E4926" s="18">
        <v>148.5</v>
      </c>
      <c r="F4926" s="18">
        <v>12.0</v>
      </c>
    </row>
    <row r="4927">
      <c r="A4927" s="15">
        <v>14.0</v>
      </c>
      <c r="B4927" s="16" t="s">
        <v>9796</v>
      </c>
      <c r="C4927" s="17" t="s">
        <v>6308</v>
      </c>
      <c r="D4927" s="18">
        <v>208.14</v>
      </c>
      <c r="E4927" s="18">
        <v>307.0</v>
      </c>
      <c r="F4927" s="18">
        <v>18.0</v>
      </c>
    </row>
    <row r="4928">
      <c r="A4928" s="15">
        <v>15.0</v>
      </c>
      <c r="B4928" s="16" t="s">
        <v>9797</v>
      </c>
      <c r="C4928" s="17" t="s">
        <v>5536</v>
      </c>
      <c r="D4928" s="18">
        <v>85.36</v>
      </c>
      <c r="E4928" s="18">
        <v>119.5</v>
      </c>
      <c r="F4928" s="18">
        <v>12.0</v>
      </c>
    </row>
    <row r="4929">
      <c r="A4929" s="15">
        <v>16.0</v>
      </c>
      <c r="B4929" s="16" t="s">
        <v>9798</v>
      </c>
      <c r="C4929" s="17" t="s">
        <v>5614</v>
      </c>
      <c r="D4929" s="18">
        <v>67.86</v>
      </c>
      <c r="E4929" s="18">
        <v>95.0</v>
      </c>
      <c r="F4929" s="18">
        <v>12.0</v>
      </c>
    </row>
    <row r="4930">
      <c r="A4930" s="15">
        <v>17.0</v>
      </c>
      <c r="B4930" s="16" t="s">
        <v>9799</v>
      </c>
      <c r="C4930" s="17" t="s">
        <v>5536</v>
      </c>
      <c r="D4930" s="18">
        <v>71.07</v>
      </c>
      <c r="E4930" s="18">
        <v>99.5</v>
      </c>
      <c r="F4930" s="18">
        <v>12.0</v>
      </c>
    </row>
    <row r="4931">
      <c r="A4931" s="15">
        <v>18.0</v>
      </c>
      <c r="B4931" s="16" t="s">
        <v>9800</v>
      </c>
      <c r="C4931" s="17" t="s">
        <v>5536</v>
      </c>
      <c r="D4931" s="18">
        <v>34.29</v>
      </c>
      <c r="E4931" s="18">
        <v>48.0</v>
      </c>
      <c r="F4931" s="18">
        <v>12.0</v>
      </c>
    </row>
    <row r="4932">
      <c r="A4932" s="15">
        <v>19.0</v>
      </c>
      <c r="B4932" s="16" t="s">
        <v>9801</v>
      </c>
      <c r="C4932" s="17" t="s">
        <v>5536</v>
      </c>
      <c r="D4932" s="18">
        <v>51.07</v>
      </c>
      <c r="E4932" s="18">
        <v>71.5</v>
      </c>
      <c r="F4932" s="18">
        <v>12.0</v>
      </c>
    </row>
    <row r="4933">
      <c r="A4933" s="15">
        <v>20.0</v>
      </c>
      <c r="B4933" s="16" t="s">
        <v>9802</v>
      </c>
      <c r="C4933" s="17" t="s">
        <v>5536</v>
      </c>
      <c r="D4933" s="18">
        <v>58.8</v>
      </c>
      <c r="E4933" s="18">
        <v>82.32</v>
      </c>
      <c r="F4933" s="18">
        <v>12.0</v>
      </c>
    </row>
    <row r="4934">
      <c r="A4934" s="15">
        <v>21.0</v>
      </c>
      <c r="B4934" s="16" t="s">
        <v>9803</v>
      </c>
      <c r="C4934" s="17" t="s">
        <v>5536</v>
      </c>
      <c r="D4934" s="18">
        <v>37.76</v>
      </c>
      <c r="E4934" s="18">
        <v>52.39</v>
      </c>
      <c r="F4934" s="18">
        <v>12.0</v>
      </c>
    </row>
    <row r="4935">
      <c r="A4935" s="15">
        <v>22.0</v>
      </c>
      <c r="B4935" s="16" t="s">
        <v>9804</v>
      </c>
      <c r="C4935" s="17" t="s">
        <v>5536</v>
      </c>
      <c r="D4935" s="18">
        <v>193.58</v>
      </c>
      <c r="E4935" s="18">
        <v>271.0</v>
      </c>
      <c r="F4935" s="18">
        <v>12.0</v>
      </c>
    </row>
    <row r="4936">
      <c r="A4936" s="15">
        <v>23.0</v>
      </c>
      <c r="B4936" s="16" t="s">
        <v>9805</v>
      </c>
      <c r="C4936" s="17" t="s">
        <v>5536</v>
      </c>
      <c r="D4936" s="18">
        <v>105.01</v>
      </c>
      <c r="E4936" s="18">
        <v>147.0</v>
      </c>
      <c r="F4936" s="18">
        <v>12.0</v>
      </c>
    </row>
    <row r="4937">
      <c r="A4937" s="15">
        <v>24.0</v>
      </c>
      <c r="B4937" s="16" t="s">
        <v>9806</v>
      </c>
      <c r="C4937" s="17" t="s">
        <v>5614</v>
      </c>
      <c r="D4937" s="18">
        <v>35.36</v>
      </c>
      <c r="E4937" s="18">
        <v>49.5</v>
      </c>
      <c r="F4937" s="18">
        <v>12.0</v>
      </c>
    </row>
    <row r="4938">
      <c r="A4938" s="15">
        <v>25.0</v>
      </c>
      <c r="B4938" s="16" t="s">
        <v>9807</v>
      </c>
      <c r="C4938" s="17" t="s">
        <v>5614</v>
      </c>
      <c r="D4938" s="18">
        <v>57.5</v>
      </c>
      <c r="E4938" s="18">
        <v>80.5</v>
      </c>
      <c r="F4938" s="18">
        <v>12.0</v>
      </c>
    </row>
    <row r="4939">
      <c r="A4939" s="15">
        <v>26.0</v>
      </c>
      <c r="B4939" s="16" t="s">
        <v>9808</v>
      </c>
      <c r="C4939" s="17" t="s">
        <v>5614</v>
      </c>
      <c r="D4939" s="18">
        <v>82.86</v>
      </c>
      <c r="E4939" s="18">
        <v>116.0</v>
      </c>
      <c r="F4939" s="18">
        <v>12.0</v>
      </c>
    </row>
    <row r="4940">
      <c r="A4940" s="15">
        <v>27.0</v>
      </c>
      <c r="B4940" s="16" t="s">
        <v>9809</v>
      </c>
      <c r="C4940" s="17" t="s">
        <v>5632</v>
      </c>
      <c r="D4940" s="18">
        <v>91.79</v>
      </c>
      <c r="E4940" s="18">
        <v>128.5</v>
      </c>
      <c r="F4940" s="18">
        <v>12.0</v>
      </c>
    </row>
    <row r="4941">
      <c r="A4941" s="15">
        <v>28.0</v>
      </c>
      <c r="B4941" s="16" t="s">
        <v>9809</v>
      </c>
      <c r="C4941" s="17" t="s">
        <v>6669</v>
      </c>
      <c r="D4941" s="18">
        <v>23.58</v>
      </c>
      <c r="E4941" s="18">
        <v>33.0</v>
      </c>
      <c r="F4941" s="18">
        <v>12.0</v>
      </c>
    </row>
    <row r="4942">
      <c r="A4942" s="15">
        <v>29.0</v>
      </c>
      <c r="B4942" s="16" t="s">
        <v>9810</v>
      </c>
      <c r="C4942" s="17" t="s">
        <v>5614</v>
      </c>
      <c r="D4942" s="18">
        <v>47.14</v>
      </c>
      <c r="E4942" s="18">
        <v>66.0</v>
      </c>
      <c r="F4942" s="18">
        <v>12.0</v>
      </c>
    </row>
    <row r="4943">
      <c r="A4943" s="15">
        <v>30.0</v>
      </c>
      <c r="B4943" s="16" t="s">
        <v>9811</v>
      </c>
      <c r="C4943" s="17" t="s">
        <v>5536</v>
      </c>
      <c r="D4943" s="18">
        <v>157.49</v>
      </c>
      <c r="E4943" s="18">
        <v>218.5</v>
      </c>
      <c r="F4943" s="18">
        <v>12.0</v>
      </c>
    </row>
    <row r="4944">
      <c r="A4944" s="15">
        <v>31.0</v>
      </c>
      <c r="B4944" s="16" t="s">
        <v>9812</v>
      </c>
      <c r="C4944" s="17" t="s">
        <v>5536</v>
      </c>
      <c r="D4944" s="18">
        <v>234.23</v>
      </c>
      <c r="E4944" s="18">
        <v>325.0</v>
      </c>
      <c r="F4944" s="18">
        <v>12.0</v>
      </c>
    </row>
    <row r="4945">
      <c r="A4945" s="6"/>
      <c r="B4945" s="7"/>
      <c r="C4945" s="7"/>
      <c r="D4945" s="7"/>
      <c r="E4945" s="7"/>
      <c r="F4945" s="8"/>
    </row>
    <row r="4946">
      <c r="A4946" s="9" t="s">
        <v>9813</v>
      </c>
      <c r="B4946" s="10"/>
      <c r="C4946" s="10"/>
      <c r="D4946" s="10"/>
      <c r="E4946" s="10"/>
      <c r="F4946" s="10"/>
    </row>
    <row r="4947">
      <c r="A4947" s="11">
        <v>1.0</v>
      </c>
      <c r="B4947" s="12" t="s">
        <v>9814</v>
      </c>
      <c r="C4947" s="13" t="s">
        <v>9815</v>
      </c>
      <c r="D4947" s="14">
        <v>252.51</v>
      </c>
      <c r="E4947" s="14">
        <v>353.5</v>
      </c>
      <c r="F4947" s="14">
        <v>12.0</v>
      </c>
    </row>
    <row r="4948">
      <c r="A4948" s="15">
        <v>2.0</v>
      </c>
      <c r="B4948" s="16" t="s">
        <v>9816</v>
      </c>
      <c r="C4948" s="17" t="s">
        <v>5536</v>
      </c>
      <c r="D4948" s="18">
        <v>40.72</v>
      </c>
      <c r="E4948" s="18">
        <v>57.0</v>
      </c>
      <c r="F4948" s="18">
        <v>12.0</v>
      </c>
    </row>
    <row r="4949">
      <c r="A4949" s="15">
        <v>3.0</v>
      </c>
      <c r="B4949" s="16" t="s">
        <v>9817</v>
      </c>
      <c r="C4949" s="17" t="s">
        <v>5536</v>
      </c>
      <c r="D4949" s="18">
        <v>82.14</v>
      </c>
      <c r="E4949" s="18">
        <v>115.0</v>
      </c>
      <c r="F4949" s="18">
        <v>12.0</v>
      </c>
    </row>
    <row r="4950">
      <c r="A4950" s="15">
        <v>4.0</v>
      </c>
      <c r="B4950" s="16" t="s">
        <v>9814</v>
      </c>
      <c r="C4950" s="17" t="s">
        <v>5907</v>
      </c>
      <c r="D4950" s="18">
        <v>251.53</v>
      </c>
      <c r="E4950" s="18">
        <v>349.0</v>
      </c>
      <c r="F4950" s="18">
        <v>12.0</v>
      </c>
    </row>
    <row r="4951">
      <c r="A4951" s="15">
        <v>5.0</v>
      </c>
      <c r="B4951" s="16" t="s">
        <v>9818</v>
      </c>
      <c r="C4951" s="17" t="s">
        <v>5614</v>
      </c>
      <c r="D4951" s="18">
        <v>71.36</v>
      </c>
      <c r="E4951" s="18">
        <v>99.0</v>
      </c>
      <c r="F4951" s="18">
        <v>12.0</v>
      </c>
    </row>
    <row r="4952">
      <c r="A4952" s="15">
        <v>6.0</v>
      </c>
      <c r="B4952" s="16" t="s">
        <v>9819</v>
      </c>
      <c r="C4952" s="17" t="s">
        <v>5562</v>
      </c>
      <c r="D4952" s="18">
        <v>80.35</v>
      </c>
      <c r="E4952" s="18">
        <v>111.5</v>
      </c>
      <c r="F4952" s="18">
        <v>12.0</v>
      </c>
    </row>
    <row r="4953">
      <c r="A4953" s="15">
        <v>7.0</v>
      </c>
      <c r="B4953" s="16" t="s">
        <v>9820</v>
      </c>
      <c r="C4953" s="17" t="s">
        <v>5636</v>
      </c>
      <c r="D4953" s="18">
        <v>58.75</v>
      </c>
      <c r="E4953" s="18">
        <v>81.5</v>
      </c>
      <c r="F4953" s="18">
        <v>12.0</v>
      </c>
    </row>
    <row r="4954">
      <c r="A4954" s="15">
        <v>8.0</v>
      </c>
      <c r="B4954" s="16" t="s">
        <v>9821</v>
      </c>
      <c r="C4954" s="17" t="s">
        <v>5653</v>
      </c>
      <c r="D4954" s="18">
        <v>43.37</v>
      </c>
      <c r="E4954" s="18">
        <v>55.86</v>
      </c>
      <c r="F4954" s="18">
        <v>12.0</v>
      </c>
    </row>
    <row r="4955">
      <c r="A4955" s="15">
        <v>9.0</v>
      </c>
      <c r="B4955" s="16" t="s">
        <v>9822</v>
      </c>
      <c r="C4955" s="17" t="s">
        <v>5536</v>
      </c>
      <c r="D4955" s="18">
        <v>23.66</v>
      </c>
      <c r="E4955" s="18">
        <v>30.45</v>
      </c>
      <c r="F4955" s="18">
        <v>12.0</v>
      </c>
    </row>
    <row r="4956">
      <c r="A4956" s="15">
        <v>10.0</v>
      </c>
      <c r="B4956" s="16" t="s">
        <v>9823</v>
      </c>
      <c r="C4956" s="17" t="s">
        <v>5536</v>
      </c>
      <c r="D4956" s="18">
        <v>35.71</v>
      </c>
      <c r="E4956" s="18">
        <v>50.0</v>
      </c>
      <c r="F4956" s="18">
        <v>12.0</v>
      </c>
    </row>
    <row r="4957">
      <c r="A4957" s="15">
        <v>11.0</v>
      </c>
      <c r="B4957" s="16" t="s">
        <v>9824</v>
      </c>
      <c r="C4957" s="17" t="s">
        <v>5536</v>
      </c>
      <c r="D4957" s="18">
        <v>66.07</v>
      </c>
      <c r="E4957" s="18">
        <v>92.5</v>
      </c>
      <c r="F4957" s="18">
        <v>12.0</v>
      </c>
    </row>
    <row r="4958">
      <c r="A4958" s="15">
        <v>12.0</v>
      </c>
      <c r="B4958" s="16" t="s">
        <v>9825</v>
      </c>
      <c r="C4958" s="17" t="s">
        <v>5536</v>
      </c>
      <c r="D4958" s="18">
        <v>90.1</v>
      </c>
      <c r="E4958" s="18">
        <v>125.0</v>
      </c>
      <c r="F4958" s="18">
        <v>12.0</v>
      </c>
    </row>
    <row r="4959">
      <c r="A4959" s="15">
        <v>13.0</v>
      </c>
      <c r="B4959" s="16" t="s">
        <v>9826</v>
      </c>
      <c r="C4959" s="17" t="s">
        <v>5536</v>
      </c>
      <c r="D4959" s="18">
        <v>113.94</v>
      </c>
      <c r="E4959" s="18">
        <v>159.5</v>
      </c>
      <c r="F4959" s="18">
        <v>12.0</v>
      </c>
    </row>
    <row r="4960">
      <c r="A4960" s="15">
        <v>14.0</v>
      </c>
      <c r="B4960" s="16" t="s">
        <v>9827</v>
      </c>
      <c r="C4960" s="17" t="s">
        <v>5966</v>
      </c>
      <c r="D4960" s="18">
        <v>35.71</v>
      </c>
      <c r="E4960" s="18">
        <v>50.0</v>
      </c>
      <c r="F4960" s="18">
        <v>12.0</v>
      </c>
    </row>
    <row r="4961">
      <c r="A4961" s="15">
        <v>15.0</v>
      </c>
      <c r="B4961" s="16" t="s">
        <v>9827</v>
      </c>
      <c r="C4961" s="17" t="s">
        <v>5967</v>
      </c>
      <c r="D4961" s="18">
        <v>76.43</v>
      </c>
      <c r="E4961" s="18">
        <v>107.0</v>
      </c>
      <c r="F4961" s="18">
        <v>12.0</v>
      </c>
    </row>
    <row r="4962">
      <c r="A4962" s="15">
        <v>16.0</v>
      </c>
      <c r="B4962" s="16" t="s">
        <v>9827</v>
      </c>
      <c r="C4962" s="17" t="s">
        <v>5968</v>
      </c>
      <c r="D4962" s="18">
        <v>93.7</v>
      </c>
      <c r="E4962" s="18">
        <v>130.0</v>
      </c>
      <c r="F4962" s="18">
        <v>12.0</v>
      </c>
    </row>
    <row r="4963">
      <c r="A4963" s="15">
        <v>17.0</v>
      </c>
      <c r="B4963" s="16" t="s">
        <v>9827</v>
      </c>
      <c r="C4963" s="17" t="s">
        <v>5969</v>
      </c>
      <c r="D4963" s="18">
        <v>129.65</v>
      </c>
      <c r="E4963" s="18">
        <v>181.5</v>
      </c>
      <c r="F4963" s="18">
        <v>12.0</v>
      </c>
    </row>
    <row r="4964">
      <c r="A4964" s="15">
        <v>18.0</v>
      </c>
      <c r="B4964" s="16" t="s">
        <v>9827</v>
      </c>
      <c r="C4964" s="17" t="s">
        <v>9828</v>
      </c>
      <c r="D4964" s="18">
        <v>169.38</v>
      </c>
      <c r="E4964" s="18">
        <v>235.0</v>
      </c>
      <c r="F4964" s="18">
        <v>12.0</v>
      </c>
    </row>
    <row r="4965">
      <c r="A4965" s="15">
        <v>19.0</v>
      </c>
      <c r="B4965" s="16" t="s">
        <v>9829</v>
      </c>
      <c r="C4965" s="17" t="s">
        <v>5536</v>
      </c>
      <c r="D4965" s="18">
        <v>45.36</v>
      </c>
      <c r="E4965" s="18">
        <v>62.94</v>
      </c>
      <c r="F4965" s="18">
        <v>12.0</v>
      </c>
    </row>
    <row r="4966">
      <c r="A4966" s="15">
        <v>20.0</v>
      </c>
      <c r="B4966" s="16" t="s">
        <v>9830</v>
      </c>
      <c r="C4966" s="17" t="s">
        <v>5636</v>
      </c>
      <c r="D4966" s="18">
        <v>36.09</v>
      </c>
      <c r="E4966" s="18">
        <v>50.05</v>
      </c>
      <c r="F4966" s="18">
        <v>12.0</v>
      </c>
    </row>
    <row r="4967">
      <c r="A4967" s="15">
        <v>21.0</v>
      </c>
      <c r="B4967" s="16" t="s">
        <v>9831</v>
      </c>
      <c r="C4967" s="17" t="s">
        <v>5653</v>
      </c>
      <c r="D4967" s="18">
        <v>63.42</v>
      </c>
      <c r="E4967" s="18">
        <v>87.99</v>
      </c>
      <c r="F4967" s="18">
        <v>12.0</v>
      </c>
    </row>
    <row r="4968">
      <c r="A4968" s="15">
        <v>22.0</v>
      </c>
      <c r="B4968" s="16" t="s">
        <v>9832</v>
      </c>
      <c r="C4968" s="17" t="s">
        <v>5536</v>
      </c>
      <c r="D4968" s="18">
        <v>36.05</v>
      </c>
      <c r="E4968" s="18">
        <v>50.0</v>
      </c>
      <c r="F4968" s="18">
        <v>12.0</v>
      </c>
    </row>
    <row r="4969">
      <c r="A4969" s="6"/>
      <c r="B4969" s="7"/>
      <c r="C4969" s="7"/>
      <c r="D4969" s="7"/>
      <c r="E4969" s="7"/>
      <c r="F4969" s="8"/>
    </row>
    <row r="4970">
      <c r="A4970" s="9" t="s">
        <v>9833</v>
      </c>
      <c r="B4970" s="10"/>
      <c r="C4970" s="10"/>
      <c r="D4970" s="10"/>
      <c r="E4970" s="10"/>
      <c r="F4970" s="10"/>
    </row>
    <row r="4971">
      <c r="A4971" s="6"/>
      <c r="B4971" s="7"/>
      <c r="C4971" s="7"/>
      <c r="D4971" s="7"/>
      <c r="E4971" s="8"/>
      <c r="F4971" s="12" t="s">
        <v>9834</v>
      </c>
    </row>
    <row r="4972">
      <c r="A4972" s="6"/>
      <c r="B4972" s="7"/>
      <c r="C4972" s="7"/>
      <c r="D4972" s="7"/>
      <c r="E4972" s="7"/>
      <c r="F4972" s="8"/>
    </row>
    <row r="4973">
      <c r="A4973" s="6"/>
      <c r="B4973" s="7"/>
      <c r="C4973" s="7"/>
      <c r="D4973" s="7"/>
      <c r="E4973" s="7"/>
      <c r="F4973" s="8"/>
    </row>
    <row r="4974">
      <c r="A4974" s="6"/>
      <c r="B4974" s="7"/>
      <c r="C4974" s="7"/>
      <c r="D4974" s="7"/>
      <c r="E4974" s="7"/>
      <c r="F4974" s="8"/>
    </row>
    <row r="4975">
      <c r="A4975" s="6"/>
      <c r="B4975" s="7"/>
      <c r="C4975" s="7"/>
      <c r="D4975" s="7"/>
      <c r="E4975" s="7"/>
      <c r="F4975" s="8"/>
    </row>
    <row r="4976">
      <c r="A4976" s="9" t="s">
        <v>5582</v>
      </c>
      <c r="B4976" s="10"/>
      <c r="C4976" s="10"/>
      <c r="D4976" s="10"/>
      <c r="E4976" s="10"/>
      <c r="F4976" s="10"/>
    </row>
    <row r="4977">
      <c r="A4977" s="19" t="s">
        <v>5583</v>
      </c>
    </row>
    <row r="4978">
      <c r="A4978" s="6"/>
      <c r="B4978" s="7"/>
      <c r="C4978" s="7"/>
      <c r="D4978" s="8"/>
      <c r="E4978" s="12" t="s">
        <v>5584</v>
      </c>
      <c r="F4978" s="12" t="s">
        <v>9835</v>
      </c>
    </row>
    <row r="4979">
      <c r="A4979" s="20" t="s">
        <v>5522</v>
      </c>
      <c r="B4979" s="16" t="s">
        <v>5523</v>
      </c>
      <c r="C4979" s="16" t="s">
        <v>5524</v>
      </c>
      <c r="D4979" s="16" t="s">
        <v>5525</v>
      </c>
      <c r="E4979" s="16" t="s">
        <v>5526</v>
      </c>
      <c r="F4979" s="16" t="s">
        <v>5586</v>
      </c>
    </row>
    <row r="4980">
      <c r="A4980" s="15">
        <v>1.0</v>
      </c>
      <c r="B4980" s="16" t="s">
        <v>9836</v>
      </c>
      <c r="C4980" s="17" t="s">
        <v>5704</v>
      </c>
      <c r="D4980" s="18">
        <v>261.43</v>
      </c>
      <c r="E4980" s="18">
        <v>366.0</v>
      </c>
      <c r="F4980" s="18">
        <v>12.0</v>
      </c>
    </row>
    <row r="4981">
      <c r="A4981" s="15">
        <v>2.0</v>
      </c>
      <c r="B4981" s="16" t="s">
        <v>9837</v>
      </c>
      <c r="C4981" s="17" t="s">
        <v>5704</v>
      </c>
      <c r="D4981" s="18">
        <v>272.14</v>
      </c>
      <c r="E4981" s="18">
        <v>381.0</v>
      </c>
      <c r="F4981" s="18">
        <v>12.0</v>
      </c>
    </row>
    <row r="4982">
      <c r="A4982" s="15">
        <v>3.0</v>
      </c>
      <c r="B4982" s="16" t="s">
        <v>9838</v>
      </c>
      <c r="C4982" s="17" t="s">
        <v>6596</v>
      </c>
      <c r="D4982" s="18">
        <v>273.76</v>
      </c>
      <c r="E4982" s="18">
        <v>376.0</v>
      </c>
      <c r="F4982" s="18">
        <v>12.0</v>
      </c>
    </row>
    <row r="4983">
      <c r="A4983" s="15">
        <v>4.0</v>
      </c>
      <c r="B4983" s="16" t="s">
        <v>9838</v>
      </c>
      <c r="C4983" s="17" t="s">
        <v>9839</v>
      </c>
      <c r="D4983" s="18">
        <v>319.63</v>
      </c>
      <c r="E4983" s="18">
        <v>439.0</v>
      </c>
      <c r="F4983" s="18">
        <v>12.0</v>
      </c>
    </row>
    <row r="4984">
      <c r="A4984" s="15">
        <v>5.0</v>
      </c>
      <c r="B4984" s="16" t="s">
        <v>9840</v>
      </c>
      <c r="C4984" s="17" t="s">
        <v>9841</v>
      </c>
      <c r="D4984" s="18">
        <v>97.14</v>
      </c>
      <c r="E4984" s="18">
        <v>136.0</v>
      </c>
      <c r="F4984" s="18">
        <v>12.0</v>
      </c>
    </row>
    <row r="4985">
      <c r="A4985" s="15">
        <v>6.0</v>
      </c>
      <c r="B4985" s="16" t="s">
        <v>9842</v>
      </c>
      <c r="C4985" s="17" t="s">
        <v>9843</v>
      </c>
      <c r="D4985" s="18">
        <v>269.55</v>
      </c>
      <c r="E4985" s="18">
        <v>374.0</v>
      </c>
      <c r="F4985" s="18">
        <v>12.0</v>
      </c>
    </row>
    <row r="4986">
      <c r="A4986" s="15">
        <v>7.0</v>
      </c>
      <c r="B4986" s="16" t="s">
        <v>9842</v>
      </c>
      <c r="C4986" s="17" t="s">
        <v>6596</v>
      </c>
      <c r="D4986" s="18">
        <v>263.08</v>
      </c>
      <c r="E4986" s="18">
        <v>365.0</v>
      </c>
      <c r="F4986" s="18">
        <v>12.0</v>
      </c>
    </row>
    <row r="4987">
      <c r="A4987" s="15">
        <v>8.0</v>
      </c>
      <c r="B4987" s="16" t="s">
        <v>9844</v>
      </c>
      <c r="C4987" s="17" t="s">
        <v>6626</v>
      </c>
      <c r="D4987" s="18">
        <v>109.29</v>
      </c>
      <c r="E4987" s="18">
        <v>153.0</v>
      </c>
      <c r="F4987" s="18">
        <v>12.0</v>
      </c>
    </row>
    <row r="4988">
      <c r="A4988" s="15">
        <v>9.0</v>
      </c>
      <c r="B4988" s="16" t="s">
        <v>9845</v>
      </c>
      <c r="C4988" s="17" t="s">
        <v>9846</v>
      </c>
      <c r="D4988" s="18">
        <v>127.14</v>
      </c>
      <c r="E4988" s="18">
        <v>178.0</v>
      </c>
      <c r="F4988" s="18">
        <v>12.0</v>
      </c>
    </row>
    <row r="4989">
      <c r="A4989" s="15">
        <v>10.0</v>
      </c>
      <c r="B4989" s="16" t="s">
        <v>9847</v>
      </c>
      <c r="C4989" s="16" t="s">
        <v>1124</v>
      </c>
      <c r="D4989" s="18">
        <v>250.0</v>
      </c>
      <c r="E4989" s="18">
        <v>350.0</v>
      </c>
      <c r="F4989" s="18">
        <v>12.0</v>
      </c>
    </row>
    <row r="4990">
      <c r="A4990" s="15">
        <v>11.0</v>
      </c>
      <c r="B4990" s="16" t="s">
        <v>9848</v>
      </c>
      <c r="C4990" s="17" t="s">
        <v>6614</v>
      </c>
      <c r="D4990" s="18">
        <v>125.0</v>
      </c>
      <c r="E4990" s="18">
        <v>175.0</v>
      </c>
      <c r="F4990" s="18">
        <v>12.0</v>
      </c>
    </row>
    <row r="4991">
      <c r="A4991" s="15">
        <v>12.0</v>
      </c>
      <c r="B4991" s="16" t="s">
        <v>9849</v>
      </c>
      <c r="C4991" s="17" t="s">
        <v>5562</v>
      </c>
      <c r="D4991" s="18">
        <v>153.22</v>
      </c>
      <c r="E4991" s="18">
        <v>226.0</v>
      </c>
      <c r="F4991" s="18">
        <v>18.0</v>
      </c>
    </row>
    <row r="4992">
      <c r="A4992" s="15">
        <v>13.0</v>
      </c>
      <c r="B4992" s="16" t="s">
        <v>9850</v>
      </c>
      <c r="C4992" s="16" t="s">
        <v>6287</v>
      </c>
      <c r="D4992" s="18">
        <v>47.33</v>
      </c>
      <c r="E4992" s="18">
        <v>65.0</v>
      </c>
      <c r="F4992" s="18">
        <v>12.0</v>
      </c>
    </row>
    <row r="4993">
      <c r="A4993" s="15">
        <v>14.0</v>
      </c>
      <c r="B4993" s="16" t="s">
        <v>9851</v>
      </c>
      <c r="C4993" s="17" t="s">
        <v>6626</v>
      </c>
      <c r="D4993" s="18">
        <v>35.69</v>
      </c>
      <c r="E4993" s="18">
        <v>49.0</v>
      </c>
      <c r="F4993" s="18">
        <v>12.0</v>
      </c>
    </row>
    <row r="4994">
      <c r="A4994" s="15">
        <v>15.0</v>
      </c>
      <c r="B4994" s="16" t="s">
        <v>9852</v>
      </c>
      <c r="C4994" s="17" t="s">
        <v>5704</v>
      </c>
      <c r="D4994" s="18">
        <v>89.28</v>
      </c>
      <c r="E4994" s="18">
        <v>114.0</v>
      </c>
      <c r="F4994" s="18">
        <v>12.0</v>
      </c>
    </row>
    <row r="4995">
      <c r="A4995" s="15">
        <v>16.0</v>
      </c>
      <c r="B4995" s="16" t="s">
        <v>9853</v>
      </c>
      <c r="C4995" s="17" t="s">
        <v>9854</v>
      </c>
      <c r="D4995" s="18">
        <v>59.71</v>
      </c>
      <c r="E4995" s="18">
        <v>82.0</v>
      </c>
      <c r="F4995" s="18">
        <v>12.0</v>
      </c>
    </row>
    <row r="4996">
      <c r="A4996" s="15">
        <v>17.0</v>
      </c>
      <c r="B4996" s="16" t="s">
        <v>9855</v>
      </c>
      <c r="C4996" s="17" t="s">
        <v>5704</v>
      </c>
      <c r="D4996" s="18">
        <v>87.38</v>
      </c>
      <c r="E4996" s="18">
        <v>120.0</v>
      </c>
      <c r="F4996" s="18">
        <v>12.0</v>
      </c>
    </row>
    <row r="4997">
      <c r="A4997" s="15">
        <v>18.0</v>
      </c>
      <c r="B4997" s="16" t="s">
        <v>9856</v>
      </c>
      <c r="C4997" s="17" t="s">
        <v>5704</v>
      </c>
      <c r="D4997" s="18">
        <v>104.29</v>
      </c>
      <c r="E4997" s="18">
        <v>146.0</v>
      </c>
      <c r="F4997" s="18">
        <v>12.0</v>
      </c>
    </row>
    <row r="4998">
      <c r="A4998" s="15">
        <v>19.0</v>
      </c>
      <c r="B4998" s="16" t="s">
        <v>9857</v>
      </c>
      <c r="C4998" s="17" t="s">
        <v>5562</v>
      </c>
      <c r="D4998" s="18">
        <v>142.03</v>
      </c>
      <c r="E4998" s="18">
        <v>209.5</v>
      </c>
      <c r="F4998" s="18">
        <v>18.0</v>
      </c>
    </row>
    <row r="4999">
      <c r="A4999" s="15">
        <v>20.0</v>
      </c>
      <c r="B4999" s="16" t="s">
        <v>9858</v>
      </c>
      <c r="C4999" s="17" t="s">
        <v>9859</v>
      </c>
      <c r="D4999" s="18">
        <v>47.64</v>
      </c>
      <c r="E4999" s="18">
        <v>65.43</v>
      </c>
      <c r="F4999" s="18">
        <v>12.0</v>
      </c>
    </row>
    <row r="5000">
      <c r="A5000" s="15">
        <v>21.0</v>
      </c>
      <c r="B5000" s="16" t="s">
        <v>9860</v>
      </c>
      <c r="C5000" s="17" t="s">
        <v>9861</v>
      </c>
      <c r="D5000" s="18">
        <v>27.97</v>
      </c>
      <c r="E5000" s="18">
        <v>39.16</v>
      </c>
      <c r="F5000" s="18">
        <v>12.0</v>
      </c>
    </row>
    <row r="5001">
      <c r="A5001" s="15">
        <v>22.0</v>
      </c>
      <c r="B5001" s="16" t="s">
        <v>9862</v>
      </c>
      <c r="C5001" s="17" t="s">
        <v>9863</v>
      </c>
      <c r="D5001" s="18">
        <v>101.94</v>
      </c>
      <c r="E5001" s="18">
        <v>140.0</v>
      </c>
      <c r="F5001" s="18">
        <v>12.0</v>
      </c>
    </row>
    <row r="5002">
      <c r="A5002" s="15">
        <v>23.0</v>
      </c>
      <c r="B5002" s="16" t="s">
        <v>9864</v>
      </c>
      <c r="C5002" s="17" t="s">
        <v>6626</v>
      </c>
      <c r="D5002" s="18">
        <v>83.73</v>
      </c>
      <c r="E5002" s="18">
        <v>115.0</v>
      </c>
      <c r="F5002" s="18">
        <v>12.0</v>
      </c>
    </row>
    <row r="5003">
      <c r="A5003" s="6"/>
      <c r="B5003" s="7"/>
      <c r="C5003" s="7"/>
      <c r="D5003" s="7"/>
      <c r="E5003" s="7"/>
      <c r="F5003" s="8"/>
    </row>
    <row r="5004">
      <c r="A5004" s="9" t="s">
        <v>9865</v>
      </c>
      <c r="B5004" s="10"/>
      <c r="C5004" s="10"/>
      <c r="D5004" s="10"/>
      <c r="E5004" s="10"/>
      <c r="F5004" s="10"/>
    </row>
    <row r="5005">
      <c r="A5005" s="11">
        <v>1.0</v>
      </c>
      <c r="B5005" s="12" t="s">
        <v>9866</v>
      </c>
      <c r="C5005" s="13" t="s">
        <v>5704</v>
      </c>
      <c r="D5005" s="14">
        <v>249.29</v>
      </c>
      <c r="E5005" s="14">
        <v>349.0</v>
      </c>
      <c r="F5005" s="14">
        <v>12.0</v>
      </c>
    </row>
    <row r="5006">
      <c r="A5006" s="15">
        <v>2.0</v>
      </c>
      <c r="B5006" s="16" t="s">
        <v>9867</v>
      </c>
      <c r="C5006" s="17" t="s">
        <v>5546</v>
      </c>
      <c r="D5006" s="18">
        <v>42.91</v>
      </c>
      <c r="E5006" s="18">
        <v>56.32</v>
      </c>
      <c r="F5006" s="18">
        <v>5.0</v>
      </c>
    </row>
    <row r="5007">
      <c r="A5007" s="15">
        <v>3.0</v>
      </c>
      <c r="B5007" s="16" t="s">
        <v>9868</v>
      </c>
      <c r="C5007" s="17" t="s">
        <v>6626</v>
      </c>
      <c r="D5007" s="18">
        <v>86.63</v>
      </c>
      <c r="E5007" s="18">
        <v>119.0</v>
      </c>
      <c r="F5007" s="18">
        <v>12.0</v>
      </c>
    </row>
    <row r="5008">
      <c r="A5008" s="15">
        <v>4.0</v>
      </c>
      <c r="B5008" s="16" t="s">
        <v>4063</v>
      </c>
      <c r="C5008" s="16" t="s">
        <v>5558</v>
      </c>
      <c r="D5008" s="18">
        <v>175.59</v>
      </c>
      <c r="E5008" s="18">
        <v>259.0</v>
      </c>
      <c r="F5008" s="18">
        <v>18.0</v>
      </c>
    </row>
    <row r="5009">
      <c r="A5009" s="15">
        <v>5.0</v>
      </c>
      <c r="B5009" s="16" t="s">
        <v>9869</v>
      </c>
      <c r="C5009" s="17" t="s">
        <v>6596</v>
      </c>
      <c r="D5009" s="18">
        <v>88.87</v>
      </c>
      <c r="E5009" s="18">
        <v>124.42</v>
      </c>
      <c r="F5009" s="18">
        <v>12.0</v>
      </c>
    </row>
    <row r="5010">
      <c r="A5010" s="15">
        <v>6.0</v>
      </c>
      <c r="B5010" s="16" t="s">
        <v>9870</v>
      </c>
      <c r="C5010" s="17" t="s">
        <v>6604</v>
      </c>
      <c r="D5010" s="18">
        <v>377.86</v>
      </c>
      <c r="E5010" s="18">
        <v>529.0</v>
      </c>
      <c r="F5010" s="18">
        <v>12.0</v>
      </c>
    </row>
    <row r="5011">
      <c r="A5011" s="15">
        <v>7.0</v>
      </c>
      <c r="B5011" s="16" t="s">
        <v>9871</v>
      </c>
      <c r="C5011" s="17" t="s">
        <v>6604</v>
      </c>
      <c r="D5011" s="18">
        <v>371.43</v>
      </c>
      <c r="E5011" s="18">
        <v>520.0</v>
      </c>
      <c r="F5011" s="18">
        <v>12.0</v>
      </c>
    </row>
    <row r="5012">
      <c r="A5012" s="15">
        <v>8.0</v>
      </c>
      <c r="B5012" s="16" t="s">
        <v>9872</v>
      </c>
      <c r="C5012" s="17" t="s">
        <v>5704</v>
      </c>
      <c r="D5012" s="18">
        <v>369.52</v>
      </c>
      <c r="E5012" s="18">
        <v>485.0</v>
      </c>
      <c r="F5012" s="18">
        <v>5.0</v>
      </c>
    </row>
    <row r="5013">
      <c r="A5013" s="15">
        <v>9.0</v>
      </c>
      <c r="B5013" s="16" t="s">
        <v>9872</v>
      </c>
      <c r="C5013" s="17" t="s">
        <v>9873</v>
      </c>
      <c r="D5013" s="18">
        <v>377.14</v>
      </c>
      <c r="E5013" s="18">
        <v>495.0</v>
      </c>
      <c r="F5013" s="18">
        <v>5.0</v>
      </c>
    </row>
    <row r="5014">
      <c r="A5014" s="15">
        <v>10.0</v>
      </c>
      <c r="B5014" s="16" t="s">
        <v>9874</v>
      </c>
      <c r="C5014" s="17" t="s">
        <v>5704</v>
      </c>
      <c r="D5014" s="18">
        <v>100.71</v>
      </c>
      <c r="E5014" s="18">
        <v>141.0</v>
      </c>
      <c r="F5014" s="18">
        <v>12.0</v>
      </c>
    </row>
    <row r="5015">
      <c r="A5015" s="15">
        <v>11.0</v>
      </c>
      <c r="B5015" s="16" t="s">
        <v>9875</v>
      </c>
      <c r="C5015" s="17" t="s">
        <v>6604</v>
      </c>
      <c r="D5015" s="18">
        <v>41.52</v>
      </c>
      <c r="E5015" s="18">
        <v>57.0</v>
      </c>
      <c r="F5015" s="18">
        <v>12.0</v>
      </c>
    </row>
    <row r="5016">
      <c r="A5016" s="15">
        <v>12.0</v>
      </c>
      <c r="B5016" s="16" t="s">
        <v>9876</v>
      </c>
      <c r="C5016" s="17" t="s">
        <v>6596</v>
      </c>
      <c r="D5016" s="18">
        <v>82.14</v>
      </c>
      <c r="E5016" s="18">
        <v>115.0</v>
      </c>
      <c r="F5016" s="18">
        <v>12.0</v>
      </c>
    </row>
    <row r="5017">
      <c r="A5017" s="15">
        <v>13.0</v>
      </c>
      <c r="B5017" s="16" t="s">
        <v>9877</v>
      </c>
      <c r="C5017" s="17" t="s">
        <v>5704</v>
      </c>
      <c r="D5017" s="18">
        <v>109.95</v>
      </c>
      <c r="E5017" s="18">
        <v>151.0</v>
      </c>
      <c r="F5017" s="18">
        <v>12.0</v>
      </c>
    </row>
    <row r="5018">
      <c r="A5018" s="15">
        <v>14.0</v>
      </c>
      <c r="B5018" s="16" t="s">
        <v>9878</v>
      </c>
      <c r="C5018" s="17" t="s">
        <v>6596</v>
      </c>
      <c r="D5018" s="18">
        <v>15.21</v>
      </c>
      <c r="E5018" s="18">
        <v>21.3</v>
      </c>
      <c r="F5018" s="18">
        <v>12.0</v>
      </c>
    </row>
    <row r="5019">
      <c r="A5019" s="15">
        <v>15.0</v>
      </c>
      <c r="B5019" s="16" t="s">
        <v>9879</v>
      </c>
      <c r="C5019" s="17" t="s">
        <v>6626</v>
      </c>
      <c r="D5019" s="18">
        <v>99.29</v>
      </c>
      <c r="E5019" s="18">
        <v>139.0</v>
      </c>
      <c r="F5019" s="18">
        <v>12.0</v>
      </c>
    </row>
    <row r="5020">
      <c r="A5020" s="15">
        <v>16.0</v>
      </c>
      <c r="B5020" s="16" t="s">
        <v>9880</v>
      </c>
      <c r="C5020" s="17" t="s">
        <v>9881</v>
      </c>
      <c r="D5020" s="18">
        <v>95.71</v>
      </c>
      <c r="E5020" s="18">
        <v>134.0</v>
      </c>
      <c r="F5020" s="18">
        <v>12.0</v>
      </c>
    </row>
    <row r="5021">
      <c r="A5021" s="15">
        <v>17.0</v>
      </c>
      <c r="B5021" s="16" t="s">
        <v>9882</v>
      </c>
      <c r="C5021" s="17" t="s">
        <v>7619</v>
      </c>
      <c r="D5021" s="18">
        <v>79.35</v>
      </c>
      <c r="E5021" s="18">
        <v>119.09</v>
      </c>
      <c r="F5021" s="18">
        <v>12.0</v>
      </c>
    </row>
    <row r="5022">
      <c r="A5022" s="15">
        <v>18.0</v>
      </c>
      <c r="B5022" s="16" t="s">
        <v>9883</v>
      </c>
      <c r="C5022" s="17" t="s">
        <v>6596</v>
      </c>
      <c r="D5022" s="18">
        <v>232.14</v>
      </c>
      <c r="E5022" s="18">
        <v>325.0</v>
      </c>
      <c r="F5022" s="18">
        <v>12.0</v>
      </c>
    </row>
    <row r="5023">
      <c r="A5023" s="15">
        <v>19.0</v>
      </c>
      <c r="B5023" s="16" t="s">
        <v>9884</v>
      </c>
      <c r="C5023" s="17" t="s">
        <v>6604</v>
      </c>
      <c r="D5023" s="18">
        <v>17.14</v>
      </c>
      <c r="E5023" s="18">
        <v>24.0</v>
      </c>
      <c r="F5023" s="18">
        <v>12.0</v>
      </c>
    </row>
    <row r="5024">
      <c r="A5024" s="15">
        <v>20.0</v>
      </c>
      <c r="B5024" s="16" t="s">
        <v>9885</v>
      </c>
      <c r="C5024" s="17" t="s">
        <v>7619</v>
      </c>
      <c r="D5024" s="18">
        <v>13.59</v>
      </c>
      <c r="E5024" s="18">
        <v>19.02</v>
      </c>
      <c r="F5024" s="18">
        <v>12.0</v>
      </c>
    </row>
    <row r="5025">
      <c r="A5025" s="15">
        <v>21.0</v>
      </c>
      <c r="B5025" s="16" t="s">
        <v>9886</v>
      </c>
      <c r="C5025" s="17" t="s">
        <v>7619</v>
      </c>
      <c r="D5025" s="18">
        <v>320.71</v>
      </c>
      <c r="E5025" s="18">
        <v>449.0</v>
      </c>
      <c r="F5025" s="18">
        <v>12.0</v>
      </c>
    </row>
    <row r="5026">
      <c r="A5026" s="15">
        <v>22.0</v>
      </c>
      <c r="B5026" s="16" t="s">
        <v>9887</v>
      </c>
      <c r="C5026" s="17" t="s">
        <v>5704</v>
      </c>
      <c r="D5026" s="18">
        <v>99.95</v>
      </c>
      <c r="E5026" s="18">
        <v>139.93</v>
      </c>
      <c r="F5026" s="18">
        <v>12.0</v>
      </c>
    </row>
    <row r="5027">
      <c r="A5027" s="15">
        <v>23.0</v>
      </c>
      <c r="B5027" s="16" t="s">
        <v>9888</v>
      </c>
      <c r="C5027" s="17" t="s">
        <v>6604</v>
      </c>
      <c r="D5027" s="18">
        <v>15.0</v>
      </c>
      <c r="E5027" s="18">
        <v>21.0</v>
      </c>
      <c r="F5027" s="18">
        <v>12.0</v>
      </c>
    </row>
    <row r="5028">
      <c r="A5028" s="15">
        <v>24.0</v>
      </c>
      <c r="B5028" s="16" t="s">
        <v>9889</v>
      </c>
      <c r="C5028" s="17" t="s">
        <v>6626</v>
      </c>
      <c r="D5028" s="18">
        <v>80.0</v>
      </c>
      <c r="E5028" s="18">
        <v>105.0</v>
      </c>
      <c r="F5028" s="18">
        <v>5.0</v>
      </c>
    </row>
    <row r="5029">
      <c r="A5029" s="15">
        <v>25.0</v>
      </c>
      <c r="B5029" s="16" t="s">
        <v>9890</v>
      </c>
      <c r="C5029" s="17" t="s">
        <v>6604</v>
      </c>
      <c r="D5029" s="18">
        <v>87.14</v>
      </c>
      <c r="E5029" s="18">
        <v>122.0</v>
      </c>
      <c r="F5029" s="18">
        <v>12.0</v>
      </c>
    </row>
    <row r="5030">
      <c r="A5030" s="6"/>
      <c r="B5030" s="7"/>
      <c r="C5030" s="7"/>
      <c r="D5030" s="7"/>
      <c r="E5030" s="7"/>
      <c r="F5030" s="8"/>
    </row>
    <row r="5031">
      <c r="A5031" s="9" t="s">
        <v>9891</v>
      </c>
      <c r="B5031" s="10"/>
      <c r="C5031" s="10"/>
      <c r="D5031" s="10"/>
      <c r="E5031" s="10"/>
      <c r="F5031" s="10"/>
    </row>
    <row r="5032">
      <c r="A5032" s="6"/>
      <c r="B5032" s="7"/>
      <c r="C5032" s="7"/>
      <c r="D5032" s="7"/>
      <c r="E5032" s="7"/>
      <c r="F5032" s="8"/>
    </row>
    <row r="5033">
      <c r="A5033" s="9" t="s">
        <v>9892</v>
      </c>
      <c r="B5033" s="10"/>
      <c r="C5033" s="10"/>
      <c r="D5033" s="10"/>
      <c r="E5033" s="10"/>
      <c r="F5033" s="10"/>
    </row>
    <row r="5034">
      <c r="A5034" s="11">
        <v>1.0</v>
      </c>
      <c r="B5034" s="12" t="s">
        <v>9893</v>
      </c>
      <c r="C5034" s="13" t="s">
        <v>7424</v>
      </c>
      <c r="D5034" s="14">
        <v>7.8</v>
      </c>
      <c r="E5034" s="14">
        <v>10.92</v>
      </c>
      <c r="F5034" s="14">
        <v>12.0</v>
      </c>
    </row>
    <row r="5035">
      <c r="A5035" s="15">
        <v>2.0</v>
      </c>
      <c r="B5035" s="16" t="s">
        <v>9894</v>
      </c>
      <c r="C5035" s="17" t="s">
        <v>5536</v>
      </c>
      <c r="D5035" s="18">
        <v>13.43</v>
      </c>
      <c r="E5035" s="18">
        <v>18.8</v>
      </c>
      <c r="F5035" s="18">
        <v>12.0</v>
      </c>
    </row>
    <row r="5036">
      <c r="A5036" s="15">
        <v>3.0</v>
      </c>
      <c r="B5036" s="16" t="s">
        <v>9895</v>
      </c>
      <c r="C5036" s="17" t="s">
        <v>5546</v>
      </c>
      <c r="D5036" s="18">
        <v>83.03</v>
      </c>
      <c r="E5036" s="18">
        <v>116.24</v>
      </c>
      <c r="F5036" s="18">
        <v>12.0</v>
      </c>
    </row>
    <row r="5037">
      <c r="A5037" s="15">
        <v>4.0</v>
      </c>
      <c r="B5037" s="16" t="s">
        <v>9896</v>
      </c>
      <c r="C5037" s="17" t="s">
        <v>5632</v>
      </c>
      <c r="D5037" s="18">
        <v>35.71</v>
      </c>
      <c r="E5037" s="18">
        <v>50.0</v>
      </c>
      <c r="F5037" s="18">
        <v>12.0</v>
      </c>
    </row>
    <row r="5038">
      <c r="A5038" s="15">
        <v>5.0</v>
      </c>
      <c r="B5038" s="16" t="s">
        <v>9896</v>
      </c>
      <c r="C5038" s="17" t="s">
        <v>5633</v>
      </c>
      <c r="D5038" s="18">
        <v>35.0</v>
      </c>
      <c r="E5038" s="18">
        <v>49.0</v>
      </c>
      <c r="F5038" s="18">
        <v>12.0</v>
      </c>
    </row>
    <row r="5039">
      <c r="A5039" s="15">
        <v>6.0</v>
      </c>
      <c r="B5039" s="16" t="s">
        <v>9897</v>
      </c>
      <c r="C5039" s="17" t="s">
        <v>5653</v>
      </c>
      <c r="D5039" s="18">
        <v>129.29</v>
      </c>
      <c r="E5039" s="18">
        <v>181.0</v>
      </c>
      <c r="F5039" s="18">
        <v>12.0</v>
      </c>
    </row>
    <row r="5040">
      <c r="A5040" s="15">
        <v>7.0</v>
      </c>
      <c r="B5040" s="16" t="s">
        <v>9897</v>
      </c>
      <c r="C5040" s="17" t="s">
        <v>5654</v>
      </c>
      <c r="D5040" s="18">
        <v>185.71</v>
      </c>
      <c r="E5040" s="18">
        <v>260.0</v>
      </c>
      <c r="F5040" s="18">
        <v>12.0</v>
      </c>
    </row>
    <row r="5041">
      <c r="A5041" s="6"/>
      <c r="B5041" s="7"/>
      <c r="C5041" s="7"/>
      <c r="D5041" s="7"/>
      <c r="E5041" s="8"/>
      <c r="F5041" s="16" t="s">
        <v>9898</v>
      </c>
    </row>
    <row r="5042">
      <c r="A5042" s="6"/>
      <c r="B5042" s="7"/>
      <c r="C5042" s="7"/>
      <c r="D5042" s="7"/>
      <c r="E5042" s="7"/>
      <c r="F5042" s="8"/>
    </row>
    <row r="5043">
      <c r="A5043" s="6"/>
      <c r="B5043" s="7"/>
      <c r="C5043" s="7"/>
      <c r="D5043" s="7"/>
      <c r="E5043" s="7"/>
      <c r="F5043" s="8"/>
    </row>
    <row r="5044">
      <c r="A5044" s="6"/>
      <c r="B5044" s="7"/>
      <c r="C5044" s="7"/>
      <c r="D5044" s="7"/>
      <c r="E5044" s="7"/>
      <c r="F5044" s="8"/>
    </row>
    <row r="5045">
      <c r="A5045" s="6"/>
      <c r="B5045" s="7"/>
      <c r="C5045" s="7"/>
      <c r="D5045" s="7"/>
      <c r="E5045" s="7"/>
      <c r="F5045" s="8"/>
    </row>
    <row r="5046">
      <c r="A5046" s="9" t="s">
        <v>5582</v>
      </c>
      <c r="B5046" s="10"/>
      <c r="C5046" s="10"/>
      <c r="D5046" s="10"/>
      <c r="E5046" s="10"/>
      <c r="F5046" s="10"/>
    </row>
    <row r="5047">
      <c r="A5047" s="19" t="s">
        <v>5583</v>
      </c>
    </row>
    <row r="5048">
      <c r="A5048" s="6"/>
      <c r="B5048" s="7"/>
      <c r="C5048" s="7"/>
      <c r="D5048" s="8"/>
      <c r="E5048" s="12" t="s">
        <v>5584</v>
      </c>
      <c r="F5048" s="12" t="s">
        <v>9899</v>
      </c>
    </row>
    <row r="5049">
      <c r="A5049" s="20" t="s">
        <v>5522</v>
      </c>
      <c r="B5049" s="16" t="s">
        <v>5523</v>
      </c>
      <c r="C5049" s="16" t="s">
        <v>5524</v>
      </c>
      <c r="D5049" s="16" t="s">
        <v>5525</v>
      </c>
      <c r="E5049" s="16" t="s">
        <v>5526</v>
      </c>
      <c r="F5049" s="16" t="s">
        <v>5586</v>
      </c>
    </row>
    <row r="5050">
      <c r="A5050" s="15">
        <v>8.0</v>
      </c>
      <c r="B5050" s="16" t="s">
        <v>9900</v>
      </c>
      <c r="C5050" s="17" t="s">
        <v>5536</v>
      </c>
      <c r="D5050" s="18">
        <v>127.43</v>
      </c>
      <c r="E5050" s="18">
        <v>175.0</v>
      </c>
      <c r="F5050" s="18">
        <v>12.0</v>
      </c>
    </row>
    <row r="5051">
      <c r="A5051" s="15">
        <v>9.0</v>
      </c>
      <c r="B5051" s="16" t="s">
        <v>9901</v>
      </c>
      <c r="C5051" s="17" t="s">
        <v>5536</v>
      </c>
      <c r="D5051" s="18">
        <v>121.43</v>
      </c>
      <c r="E5051" s="18">
        <v>170.0</v>
      </c>
      <c r="F5051" s="18">
        <v>12.0</v>
      </c>
    </row>
    <row r="5052">
      <c r="A5052" s="15">
        <v>10.0</v>
      </c>
      <c r="B5052" s="16" t="s">
        <v>9902</v>
      </c>
      <c r="C5052" s="17" t="s">
        <v>5536</v>
      </c>
      <c r="D5052" s="18">
        <v>191.43</v>
      </c>
      <c r="E5052" s="18">
        <v>268.0</v>
      </c>
      <c r="F5052" s="18">
        <v>12.0</v>
      </c>
    </row>
    <row r="5053">
      <c r="A5053" s="15">
        <v>11.0</v>
      </c>
      <c r="B5053" s="16" t="s">
        <v>9903</v>
      </c>
      <c r="C5053" s="17" t="s">
        <v>5536</v>
      </c>
      <c r="D5053" s="18">
        <v>77.5</v>
      </c>
      <c r="E5053" s="18">
        <v>108.5</v>
      </c>
      <c r="F5053" s="18">
        <v>12.0</v>
      </c>
    </row>
    <row r="5054">
      <c r="A5054" s="15">
        <v>12.0</v>
      </c>
      <c r="B5054" s="16" t="s">
        <v>9904</v>
      </c>
      <c r="C5054" s="17" t="s">
        <v>5536</v>
      </c>
      <c r="D5054" s="18">
        <v>137.86</v>
      </c>
      <c r="E5054" s="18">
        <v>193.0</v>
      </c>
      <c r="F5054" s="18">
        <v>12.0</v>
      </c>
    </row>
    <row r="5055">
      <c r="A5055" s="15">
        <v>13.0</v>
      </c>
      <c r="B5055" s="16" t="s">
        <v>9905</v>
      </c>
      <c r="C5055" s="17" t="s">
        <v>5536</v>
      </c>
      <c r="D5055" s="18">
        <v>28.07</v>
      </c>
      <c r="E5055" s="18">
        <v>39.3</v>
      </c>
      <c r="F5055" s="18">
        <v>12.0</v>
      </c>
    </row>
    <row r="5056">
      <c r="A5056" s="15">
        <v>14.0</v>
      </c>
      <c r="B5056" s="16" t="s">
        <v>9906</v>
      </c>
      <c r="C5056" s="17" t="s">
        <v>5536</v>
      </c>
      <c r="D5056" s="18">
        <v>44.59</v>
      </c>
      <c r="E5056" s="18">
        <v>62.43</v>
      </c>
      <c r="F5056" s="18">
        <v>12.0</v>
      </c>
    </row>
    <row r="5057">
      <c r="A5057" s="15">
        <v>15.0</v>
      </c>
      <c r="B5057" s="16" t="s">
        <v>9907</v>
      </c>
      <c r="C5057" s="17" t="s">
        <v>6747</v>
      </c>
      <c r="D5057" s="18">
        <v>12.68</v>
      </c>
      <c r="E5057" s="18">
        <v>17.75</v>
      </c>
      <c r="F5057" s="18">
        <v>12.0</v>
      </c>
    </row>
    <row r="5058">
      <c r="A5058" s="15">
        <v>16.0</v>
      </c>
      <c r="B5058" s="16" t="s">
        <v>9907</v>
      </c>
      <c r="C5058" s="17" t="s">
        <v>5841</v>
      </c>
      <c r="D5058" s="18">
        <v>13.56</v>
      </c>
      <c r="E5058" s="18">
        <v>18.62</v>
      </c>
      <c r="F5058" s="18">
        <v>12.0</v>
      </c>
    </row>
    <row r="5059">
      <c r="A5059" s="15">
        <v>17.0</v>
      </c>
      <c r="B5059" s="16" t="s">
        <v>9908</v>
      </c>
      <c r="C5059" s="17" t="s">
        <v>5653</v>
      </c>
      <c r="D5059" s="18">
        <v>15.62</v>
      </c>
      <c r="E5059" s="18">
        <v>21.87</v>
      </c>
      <c r="F5059" s="18">
        <v>12.0</v>
      </c>
    </row>
    <row r="5060">
      <c r="A5060" s="15">
        <v>18.0</v>
      </c>
      <c r="B5060" s="16" t="s">
        <v>9908</v>
      </c>
      <c r="C5060" s="17" t="s">
        <v>5654</v>
      </c>
      <c r="D5060" s="18">
        <v>25.68</v>
      </c>
      <c r="E5060" s="18">
        <v>35.95</v>
      </c>
      <c r="F5060" s="18">
        <v>12.0</v>
      </c>
    </row>
    <row r="5061">
      <c r="A5061" s="15">
        <v>19.0</v>
      </c>
      <c r="B5061" s="16" t="s">
        <v>9908</v>
      </c>
      <c r="C5061" s="17" t="s">
        <v>9909</v>
      </c>
      <c r="D5061" s="18">
        <v>56.43</v>
      </c>
      <c r="E5061" s="18">
        <v>79.0</v>
      </c>
      <c r="F5061" s="18">
        <v>12.0</v>
      </c>
    </row>
    <row r="5062">
      <c r="A5062" s="15">
        <v>20.0</v>
      </c>
      <c r="B5062" s="16" t="s">
        <v>9908</v>
      </c>
      <c r="C5062" s="17" t="s">
        <v>9910</v>
      </c>
      <c r="D5062" s="18">
        <v>82.14</v>
      </c>
      <c r="E5062" s="18">
        <v>115.0</v>
      </c>
      <c r="F5062" s="18">
        <v>12.0</v>
      </c>
    </row>
    <row r="5063">
      <c r="A5063" s="15">
        <v>21.0</v>
      </c>
      <c r="B5063" s="16" t="s">
        <v>9908</v>
      </c>
      <c r="C5063" s="17" t="s">
        <v>9911</v>
      </c>
      <c r="D5063" s="18">
        <v>39.01</v>
      </c>
      <c r="E5063" s="18">
        <v>54.61</v>
      </c>
      <c r="F5063" s="18">
        <v>12.0</v>
      </c>
    </row>
    <row r="5064">
      <c r="A5064" s="15">
        <v>22.0</v>
      </c>
      <c r="B5064" s="16" t="s">
        <v>9908</v>
      </c>
      <c r="C5064" s="17" t="s">
        <v>9912</v>
      </c>
      <c r="D5064" s="18">
        <v>46.31</v>
      </c>
      <c r="E5064" s="18">
        <v>64.83</v>
      </c>
      <c r="F5064" s="18">
        <v>12.0</v>
      </c>
    </row>
    <row r="5065">
      <c r="A5065" s="15">
        <v>23.0</v>
      </c>
      <c r="B5065" s="16" t="s">
        <v>9913</v>
      </c>
      <c r="C5065" s="17" t="s">
        <v>5887</v>
      </c>
      <c r="D5065" s="18">
        <v>42.86</v>
      </c>
      <c r="E5065" s="18">
        <v>60.0</v>
      </c>
      <c r="F5065" s="18">
        <v>12.0</v>
      </c>
    </row>
    <row r="5066">
      <c r="A5066" s="15">
        <v>24.0</v>
      </c>
      <c r="B5066" s="16" t="s">
        <v>9914</v>
      </c>
      <c r="C5066" s="17" t="s">
        <v>5614</v>
      </c>
      <c r="D5066" s="18">
        <v>128.57</v>
      </c>
      <c r="E5066" s="18">
        <v>180.0</v>
      </c>
      <c r="F5066" s="18">
        <v>12.0</v>
      </c>
    </row>
    <row r="5067">
      <c r="A5067" s="15">
        <v>25.0</v>
      </c>
      <c r="B5067" s="16" t="s">
        <v>9915</v>
      </c>
      <c r="C5067" s="17" t="s">
        <v>5614</v>
      </c>
      <c r="D5067" s="18">
        <v>206.43</v>
      </c>
      <c r="E5067" s="18">
        <v>289.0</v>
      </c>
      <c r="F5067" s="18">
        <v>12.0</v>
      </c>
    </row>
    <row r="5068">
      <c r="A5068" s="15">
        <v>26.0</v>
      </c>
      <c r="B5068" s="16" t="s">
        <v>9916</v>
      </c>
      <c r="C5068" s="17" t="s">
        <v>5614</v>
      </c>
      <c r="D5068" s="18">
        <v>100.0</v>
      </c>
      <c r="E5068" s="18">
        <v>140.0</v>
      </c>
      <c r="F5068" s="18">
        <v>12.0</v>
      </c>
    </row>
    <row r="5069">
      <c r="A5069" s="15">
        <v>27.0</v>
      </c>
      <c r="B5069" s="16" t="s">
        <v>9917</v>
      </c>
      <c r="C5069" s="17" t="s">
        <v>5614</v>
      </c>
      <c r="D5069" s="18">
        <v>139.29</v>
      </c>
      <c r="E5069" s="18">
        <v>195.0</v>
      </c>
      <c r="F5069" s="18">
        <v>12.0</v>
      </c>
    </row>
    <row r="5070">
      <c r="A5070" s="15">
        <v>28.0</v>
      </c>
      <c r="B5070" s="16" t="s">
        <v>9918</v>
      </c>
      <c r="C5070" s="17" t="s">
        <v>5536</v>
      </c>
      <c r="D5070" s="18">
        <v>116.79</v>
      </c>
      <c r="E5070" s="18">
        <v>163.5</v>
      </c>
      <c r="F5070" s="18">
        <v>12.0</v>
      </c>
    </row>
    <row r="5071">
      <c r="A5071" s="15">
        <v>29.0</v>
      </c>
      <c r="B5071" s="16" t="s">
        <v>9919</v>
      </c>
      <c r="C5071" s="17" t="s">
        <v>5536</v>
      </c>
      <c r="D5071" s="18">
        <v>216.43</v>
      </c>
      <c r="E5071" s="18">
        <v>303.0</v>
      </c>
      <c r="F5071" s="18">
        <v>12.0</v>
      </c>
    </row>
    <row r="5072">
      <c r="A5072" s="15">
        <v>30.0</v>
      </c>
      <c r="B5072" s="16" t="s">
        <v>9920</v>
      </c>
      <c r="C5072" s="17" t="s">
        <v>5536</v>
      </c>
      <c r="D5072" s="18">
        <v>344.29</v>
      </c>
      <c r="E5072" s="18">
        <v>482.0</v>
      </c>
      <c r="F5072" s="18">
        <v>12.0</v>
      </c>
    </row>
    <row r="5073">
      <c r="A5073" s="15">
        <v>31.0</v>
      </c>
      <c r="B5073" s="16" t="s">
        <v>9921</v>
      </c>
      <c r="C5073" s="17" t="s">
        <v>5536</v>
      </c>
      <c r="D5073" s="18">
        <v>65.36</v>
      </c>
      <c r="E5073" s="18">
        <v>91.5</v>
      </c>
      <c r="F5073" s="18">
        <v>12.0</v>
      </c>
    </row>
    <row r="5074">
      <c r="A5074" s="15">
        <v>32.0</v>
      </c>
      <c r="B5074" s="16" t="s">
        <v>9922</v>
      </c>
      <c r="C5074" s="17" t="s">
        <v>5632</v>
      </c>
      <c r="D5074" s="18">
        <v>61.43</v>
      </c>
      <c r="E5074" s="18">
        <v>86.0</v>
      </c>
      <c r="F5074" s="18">
        <v>12.0</v>
      </c>
    </row>
    <row r="5075">
      <c r="A5075" s="15">
        <v>33.0</v>
      </c>
      <c r="B5075" s="16" t="s">
        <v>9922</v>
      </c>
      <c r="C5075" s="17" t="s">
        <v>5562</v>
      </c>
      <c r="D5075" s="18">
        <v>54.46</v>
      </c>
      <c r="E5075" s="18">
        <v>76.25</v>
      </c>
      <c r="F5075" s="18">
        <v>12.0</v>
      </c>
    </row>
    <row r="5076">
      <c r="A5076" s="15">
        <v>34.0</v>
      </c>
      <c r="B5076" s="16" t="s">
        <v>9923</v>
      </c>
      <c r="C5076" s="17" t="s">
        <v>5636</v>
      </c>
      <c r="D5076" s="18">
        <v>133.21</v>
      </c>
      <c r="E5076" s="18">
        <v>186.5</v>
      </c>
      <c r="F5076" s="18">
        <v>12.0</v>
      </c>
    </row>
    <row r="5077">
      <c r="A5077" s="15">
        <v>35.0</v>
      </c>
      <c r="B5077" s="16" t="s">
        <v>9924</v>
      </c>
      <c r="C5077" s="17" t="s">
        <v>5654</v>
      </c>
      <c r="D5077" s="18">
        <v>239.29</v>
      </c>
      <c r="E5077" s="18">
        <v>335.0</v>
      </c>
      <c r="F5077" s="18">
        <v>12.0</v>
      </c>
    </row>
    <row r="5078">
      <c r="A5078" s="15">
        <v>36.0</v>
      </c>
      <c r="B5078" s="16" t="s">
        <v>9925</v>
      </c>
      <c r="C5078" s="17" t="s">
        <v>5536</v>
      </c>
      <c r="D5078" s="18">
        <v>90.71</v>
      </c>
      <c r="E5078" s="18">
        <v>127.0</v>
      </c>
      <c r="F5078" s="18">
        <v>12.0</v>
      </c>
    </row>
    <row r="5079">
      <c r="A5079" s="15">
        <v>37.0</v>
      </c>
      <c r="B5079" s="16" t="s">
        <v>9924</v>
      </c>
      <c r="C5079" s="17" t="s">
        <v>6664</v>
      </c>
      <c r="D5079" s="18">
        <v>101.33</v>
      </c>
      <c r="E5079" s="18">
        <v>131.0</v>
      </c>
      <c r="F5079" s="18">
        <v>12.0</v>
      </c>
    </row>
    <row r="5080">
      <c r="A5080" s="15">
        <v>38.0</v>
      </c>
      <c r="B5080" s="16" t="s">
        <v>9924</v>
      </c>
      <c r="C5080" s="17" t="s">
        <v>5636</v>
      </c>
      <c r="D5080" s="18">
        <v>148.93</v>
      </c>
      <c r="E5080" s="18">
        <v>208.5</v>
      </c>
      <c r="F5080" s="18">
        <v>12.0</v>
      </c>
    </row>
    <row r="5081">
      <c r="A5081" s="6"/>
      <c r="B5081" s="7"/>
      <c r="C5081" s="7"/>
      <c r="D5081" s="7"/>
      <c r="E5081" s="7"/>
      <c r="F5081" s="8"/>
    </row>
    <row r="5082">
      <c r="A5082" s="9" t="s">
        <v>9926</v>
      </c>
      <c r="B5082" s="10"/>
      <c r="C5082" s="10"/>
      <c r="D5082" s="10"/>
      <c r="E5082" s="10"/>
      <c r="F5082" s="10"/>
    </row>
    <row r="5083">
      <c r="A5083" s="11">
        <v>1.0</v>
      </c>
      <c r="B5083" s="12" t="s">
        <v>9927</v>
      </c>
      <c r="C5083" s="13" t="s">
        <v>5536</v>
      </c>
      <c r="D5083" s="14">
        <v>321.43</v>
      </c>
      <c r="E5083" s="14">
        <v>450.0</v>
      </c>
      <c r="F5083" s="14">
        <v>12.0</v>
      </c>
    </row>
    <row r="5084">
      <c r="A5084" s="15">
        <v>2.0</v>
      </c>
      <c r="B5084" s="16" t="s">
        <v>9928</v>
      </c>
      <c r="C5084" s="17" t="s">
        <v>5788</v>
      </c>
      <c r="D5084" s="18">
        <v>33.57</v>
      </c>
      <c r="E5084" s="18">
        <v>47.0</v>
      </c>
      <c r="F5084" s="18">
        <v>12.0</v>
      </c>
    </row>
    <row r="5085">
      <c r="A5085" s="15">
        <v>3.0</v>
      </c>
      <c r="B5085" s="16" t="s">
        <v>9928</v>
      </c>
      <c r="C5085" s="17" t="s">
        <v>5636</v>
      </c>
      <c r="D5085" s="18">
        <v>25.71</v>
      </c>
      <c r="E5085" s="18">
        <v>36.0</v>
      </c>
      <c r="F5085" s="18">
        <v>12.0</v>
      </c>
    </row>
    <row r="5086">
      <c r="A5086" s="15">
        <v>4.0</v>
      </c>
      <c r="B5086" s="16" t="s">
        <v>9929</v>
      </c>
      <c r="C5086" s="17" t="s">
        <v>7208</v>
      </c>
      <c r="D5086" s="18">
        <v>279.29</v>
      </c>
      <c r="E5086" s="18">
        <v>391.0</v>
      </c>
      <c r="F5086" s="18">
        <v>12.0</v>
      </c>
    </row>
    <row r="5087">
      <c r="A5087" s="15">
        <v>5.0</v>
      </c>
      <c r="B5087" s="16" t="s">
        <v>9929</v>
      </c>
      <c r="C5087" s="17" t="s">
        <v>5595</v>
      </c>
      <c r="D5087" s="18">
        <v>271.07</v>
      </c>
      <c r="E5087" s="18">
        <v>379.5</v>
      </c>
      <c r="F5087" s="18">
        <v>12.0</v>
      </c>
    </row>
    <row r="5088">
      <c r="A5088" s="15">
        <v>6.0</v>
      </c>
      <c r="B5088" s="16" t="s">
        <v>9930</v>
      </c>
      <c r="C5088" s="17" t="s">
        <v>9931</v>
      </c>
      <c r="D5088" s="18">
        <v>239.29</v>
      </c>
      <c r="E5088" s="18">
        <v>335.0</v>
      </c>
      <c r="F5088" s="18">
        <v>12.0</v>
      </c>
    </row>
    <row r="5089">
      <c r="A5089" s="15">
        <v>7.0</v>
      </c>
      <c r="B5089" s="16" t="s">
        <v>9932</v>
      </c>
      <c r="C5089" s="17" t="s">
        <v>7223</v>
      </c>
      <c r="D5089" s="18">
        <v>225.0</v>
      </c>
      <c r="E5089" s="18">
        <v>315.0</v>
      </c>
      <c r="F5089" s="18">
        <v>12.0</v>
      </c>
    </row>
    <row r="5090">
      <c r="A5090" s="15">
        <v>8.0</v>
      </c>
      <c r="B5090" s="16" t="s">
        <v>9933</v>
      </c>
      <c r="C5090" s="17" t="s">
        <v>7223</v>
      </c>
      <c r="D5090" s="18">
        <v>206.43</v>
      </c>
      <c r="E5090" s="18">
        <v>289.0</v>
      </c>
      <c r="F5090" s="18">
        <v>12.0</v>
      </c>
    </row>
    <row r="5091">
      <c r="A5091" s="15">
        <v>9.0</v>
      </c>
      <c r="B5091" s="16" t="s">
        <v>4133</v>
      </c>
      <c r="C5091" s="16" t="s">
        <v>9934</v>
      </c>
      <c r="D5091" s="18">
        <v>265.91</v>
      </c>
      <c r="E5091" s="18">
        <v>349.0</v>
      </c>
      <c r="F5091" s="18">
        <v>5.0</v>
      </c>
    </row>
    <row r="5092">
      <c r="A5092" s="15">
        <v>10.0</v>
      </c>
      <c r="B5092" s="16" t="s">
        <v>9935</v>
      </c>
      <c r="C5092" s="17" t="s">
        <v>5536</v>
      </c>
      <c r="D5092" s="18">
        <v>66.43</v>
      </c>
      <c r="E5092" s="18">
        <v>93.0</v>
      </c>
      <c r="F5092" s="18">
        <v>12.0</v>
      </c>
    </row>
    <row r="5093">
      <c r="A5093" s="15">
        <v>11.0</v>
      </c>
      <c r="B5093" s="16" t="s">
        <v>9936</v>
      </c>
      <c r="C5093" s="17" t="s">
        <v>5536</v>
      </c>
      <c r="D5093" s="18">
        <v>108.93</v>
      </c>
      <c r="E5093" s="18">
        <v>152.5</v>
      </c>
      <c r="F5093" s="18">
        <v>12.0</v>
      </c>
    </row>
    <row r="5094">
      <c r="A5094" s="15">
        <v>12.0</v>
      </c>
      <c r="B5094" s="16" t="s">
        <v>9937</v>
      </c>
      <c r="C5094" s="17" t="s">
        <v>5636</v>
      </c>
      <c r="D5094" s="18">
        <v>75.71</v>
      </c>
      <c r="E5094" s="18">
        <v>106.0</v>
      </c>
      <c r="F5094" s="18">
        <v>12.0</v>
      </c>
    </row>
    <row r="5095">
      <c r="A5095" s="15">
        <v>13.0</v>
      </c>
      <c r="B5095" s="16" t="s">
        <v>9938</v>
      </c>
      <c r="C5095" s="17" t="s">
        <v>5536</v>
      </c>
      <c r="D5095" s="18">
        <v>64.28</v>
      </c>
      <c r="E5095" s="18">
        <v>82.0</v>
      </c>
      <c r="F5095" s="18">
        <v>12.0</v>
      </c>
    </row>
    <row r="5096">
      <c r="A5096" s="15">
        <v>14.0</v>
      </c>
      <c r="B5096" s="16" t="s">
        <v>9938</v>
      </c>
      <c r="C5096" s="17" t="s">
        <v>5598</v>
      </c>
      <c r="D5096" s="18">
        <v>192.86</v>
      </c>
      <c r="E5096" s="18">
        <v>270.0</v>
      </c>
      <c r="F5096" s="18">
        <v>12.0</v>
      </c>
    </row>
    <row r="5097">
      <c r="A5097" s="15">
        <v>15.0</v>
      </c>
      <c r="B5097" s="16" t="s">
        <v>9939</v>
      </c>
      <c r="C5097" s="17" t="s">
        <v>5536</v>
      </c>
      <c r="D5097" s="18">
        <v>35.71</v>
      </c>
      <c r="E5097" s="18">
        <v>50.0</v>
      </c>
      <c r="F5097" s="18">
        <v>12.0</v>
      </c>
    </row>
    <row r="5098">
      <c r="A5098" s="15">
        <v>16.0</v>
      </c>
      <c r="B5098" s="16" t="s">
        <v>9939</v>
      </c>
      <c r="C5098" s="17" t="s">
        <v>5598</v>
      </c>
      <c r="D5098" s="18">
        <v>114.29</v>
      </c>
      <c r="E5098" s="18">
        <v>160.0</v>
      </c>
      <c r="F5098" s="18">
        <v>12.0</v>
      </c>
    </row>
    <row r="5099">
      <c r="A5099" s="15">
        <v>17.0</v>
      </c>
      <c r="B5099" s="16" t="s">
        <v>5953</v>
      </c>
      <c r="C5099" s="17" t="s">
        <v>9940</v>
      </c>
      <c r="D5099" s="18">
        <v>61.79</v>
      </c>
      <c r="E5099" s="18">
        <v>86.5</v>
      </c>
      <c r="F5099" s="18">
        <v>12.0</v>
      </c>
    </row>
    <row r="5100">
      <c r="A5100" s="15">
        <v>18.0</v>
      </c>
      <c r="B5100" s="16" t="s">
        <v>9941</v>
      </c>
      <c r="C5100" s="17" t="s">
        <v>5788</v>
      </c>
      <c r="D5100" s="18">
        <v>48.57</v>
      </c>
      <c r="E5100" s="18">
        <v>68.0</v>
      </c>
      <c r="F5100" s="18">
        <v>12.0</v>
      </c>
    </row>
    <row r="5101">
      <c r="A5101" s="15">
        <v>19.0</v>
      </c>
      <c r="B5101" s="16" t="s">
        <v>9942</v>
      </c>
      <c r="C5101" s="17" t="s">
        <v>5530</v>
      </c>
      <c r="D5101" s="18">
        <v>61.07</v>
      </c>
      <c r="E5101" s="18">
        <v>85.5</v>
      </c>
      <c r="F5101" s="18">
        <v>12.0</v>
      </c>
    </row>
    <row r="5102">
      <c r="A5102" s="15">
        <v>20.0</v>
      </c>
      <c r="B5102" s="16" t="s">
        <v>9942</v>
      </c>
      <c r="C5102" s="17" t="s">
        <v>5531</v>
      </c>
      <c r="D5102" s="18">
        <v>78.57</v>
      </c>
      <c r="E5102" s="18">
        <v>110.0</v>
      </c>
      <c r="F5102" s="18">
        <v>12.0</v>
      </c>
    </row>
    <row r="5103">
      <c r="A5103" s="15">
        <v>21.0</v>
      </c>
      <c r="B5103" s="16" t="s">
        <v>9943</v>
      </c>
      <c r="C5103" s="17" t="s">
        <v>5530</v>
      </c>
      <c r="D5103" s="18">
        <v>107.86</v>
      </c>
      <c r="E5103" s="18">
        <v>151.0</v>
      </c>
      <c r="F5103" s="18">
        <v>12.0</v>
      </c>
    </row>
    <row r="5104">
      <c r="A5104" s="15">
        <v>22.0</v>
      </c>
      <c r="B5104" s="16" t="s">
        <v>9943</v>
      </c>
      <c r="C5104" s="17" t="s">
        <v>5531</v>
      </c>
      <c r="D5104" s="18">
        <v>158.57</v>
      </c>
      <c r="E5104" s="18">
        <v>222.0</v>
      </c>
      <c r="F5104" s="18">
        <v>12.0</v>
      </c>
    </row>
    <row r="5105">
      <c r="A5105" s="15">
        <v>23.0</v>
      </c>
      <c r="B5105" s="16" t="s">
        <v>9944</v>
      </c>
      <c r="C5105" s="17" t="s">
        <v>5818</v>
      </c>
      <c r="D5105" s="18">
        <v>103.57</v>
      </c>
      <c r="E5105" s="18">
        <v>145.0</v>
      </c>
      <c r="F5105" s="18">
        <v>12.0</v>
      </c>
    </row>
    <row r="5106">
      <c r="A5106" s="15">
        <v>24.0</v>
      </c>
      <c r="B5106" s="16" t="s">
        <v>9944</v>
      </c>
      <c r="C5106" s="17" t="s">
        <v>7424</v>
      </c>
      <c r="D5106" s="18">
        <v>26.79</v>
      </c>
      <c r="E5106" s="18">
        <v>37.5</v>
      </c>
      <c r="F5106" s="18">
        <v>12.0</v>
      </c>
    </row>
    <row r="5107">
      <c r="A5107" s="15">
        <v>25.0</v>
      </c>
      <c r="B5107" s="16" t="s">
        <v>9944</v>
      </c>
      <c r="C5107" s="17" t="s">
        <v>5530</v>
      </c>
      <c r="D5107" s="18">
        <v>32.14</v>
      </c>
      <c r="E5107" s="18">
        <v>45.0</v>
      </c>
      <c r="F5107" s="18">
        <v>12.0</v>
      </c>
    </row>
    <row r="5108">
      <c r="A5108" s="15">
        <v>26.0</v>
      </c>
      <c r="B5108" s="16" t="s">
        <v>9944</v>
      </c>
      <c r="C5108" s="17" t="s">
        <v>5531</v>
      </c>
      <c r="D5108" s="18">
        <v>45.97</v>
      </c>
      <c r="E5108" s="18">
        <v>64.36</v>
      </c>
      <c r="F5108" s="18">
        <v>12.0</v>
      </c>
    </row>
    <row r="5109">
      <c r="A5109" s="15">
        <v>27.0</v>
      </c>
      <c r="B5109" s="16" t="s">
        <v>9945</v>
      </c>
      <c r="C5109" s="17" t="s">
        <v>5536</v>
      </c>
      <c r="D5109" s="18">
        <v>27.14</v>
      </c>
      <c r="E5109" s="18">
        <v>38.0</v>
      </c>
      <c r="F5109" s="18">
        <v>12.0</v>
      </c>
    </row>
    <row r="5110">
      <c r="A5110" s="15">
        <v>28.0</v>
      </c>
      <c r="B5110" s="16" t="s">
        <v>9946</v>
      </c>
      <c r="C5110" s="17" t="s">
        <v>5536</v>
      </c>
      <c r="D5110" s="18">
        <v>46.79</v>
      </c>
      <c r="E5110" s="18">
        <v>65.5</v>
      </c>
      <c r="F5110" s="18">
        <v>12.0</v>
      </c>
    </row>
    <row r="5111">
      <c r="A5111" s="6"/>
      <c r="B5111" s="7"/>
      <c r="C5111" s="7"/>
      <c r="D5111" s="7"/>
      <c r="E5111" s="8"/>
      <c r="F5111" s="16" t="s">
        <v>9947</v>
      </c>
    </row>
    <row r="5112">
      <c r="A5112" s="6"/>
      <c r="B5112" s="7"/>
      <c r="C5112" s="7"/>
      <c r="D5112" s="7"/>
      <c r="E5112" s="7"/>
      <c r="F5112" s="8"/>
    </row>
    <row r="5113">
      <c r="A5113" s="6"/>
      <c r="B5113" s="7"/>
      <c r="C5113" s="7"/>
      <c r="D5113" s="7"/>
      <c r="E5113" s="7"/>
      <c r="F5113" s="8"/>
    </row>
    <row r="5114">
      <c r="A5114" s="6"/>
      <c r="B5114" s="7"/>
      <c r="C5114" s="7"/>
      <c r="D5114" s="7"/>
      <c r="E5114" s="7"/>
      <c r="F5114" s="8"/>
    </row>
    <row r="5115">
      <c r="A5115" s="6"/>
      <c r="B5115" s="7"/>
      <c r="C5115" s="7"/>
      <c r="D5115" s="7"/>
      <c r="E5115" s="7"/>
      <c r="F5115" s="8"/>
    </row>
    <row r="5116">
      <c r="A5116" s="9" t="s">
        <v>5582</v>
      </c>
      <c r="B5116" s="10"/>
      <c r="C5116" s="10"/>
      <c r="D5116" s="10"/>
      <c r="E5116" s="10"/>
      <c r="F5116" s="10"/>
    </row>
    <row r="5117">
      <c r="A5117" s="19" t="s">
        <v>5583</v>
      </c>
    </row>
    <row r="5118">
      <c r="A5118" s="6"/>
      <c r="B5118" s="7"/>
      <c r="C5118" s="7"/>
      <c r="D5118" s="8"/>
      <c r="E5118" s="12" t="s">
        <v>5584</v>
      </c>
      <c r="F5118" s="12" t="s">
        <v>9948</v>
      </c>
    </row>
    <row r="5119">
      <c r="A5119" s="20" t="s">
        <v>5522</v>
      </c>
      <c r="B5119" s="16" t="s">
        <v>5523</v>
      </c>
      <c r="C5119" s="16" t="s">
        <v>5524</v>
      </c>
      <c r="D5119" s="16" t="s">
        <v>5525</v>
      </c>
      <c r="E5119" s="16" t="s">
        <v>5526</v>
      </c>
      <c r="F5119" s="16" t="s">
        <v>5586</v>
      </c>
    </row>
    <row r="5120">
      <c r="A5120" s="15">
        <v>29.0</v>
      </c>
      <c r="B5120" s="16" t="s">
        <v>9949</v>
      </c>
      <c r="C5120" s="17" t="s">
        <v>5636</v>
      </c>
      <c r="D5120" s="18">
        <v>90.0</v>
      </c>
      <c r="E5120" s="18">
        <v>126.0</v>
      </c>
      <c r="F5120" s="18">
        <v>12.0</v>
      </c>
    </row>
    <row r="5121">
      <c r="A5121" s="15">
        <v>30.0</v>
      </c>
      <c r="B5121" s="16" t="s">
        <v>9950</v>
      </c>
      <c r="C5121" s="17" t="s">
        <v>5636</v>
      </c>
      <c r="D5121" s="18">
        <v>48.57</v>
      </c>
      <c r="E5121" s="18">
        <v>68.0</v>
      </c>
      <c r="F5121" s="18">
        <v>12.0</v>
      </c>
    </row>
    <row r="5122">
      <c r="A5122" s="15">
        <v>31.0</v>
      </c>
      <c r="B5122" s="16" t="s">
        <v>9951</v>
      </c>
      <c r="C5122" s="17" t="s">
        <v>5636</v>
      </c>
      <c r="D5122" s="18">
        <v>85.36</v>
      </c>
      <c r="E5122" s="18">
        <v>119.5</v>
      </c>
      <c r="F5122" s="18">
        <v>12.0</v>
      </c>
    </row>
    <row r="5123">
      <c r="A5123" s="15">
        <v>32.0</v>
      </c>
      <c r="B5123" s="16" t="s">
        <v>9952</v>
      </c>
      <c r="C5123" s="17" t="s">
        <v>5636</v>
      </c>
      <c r="D5123" s="18">
        <v>93.93</v>
      </c>
      <c r="E5123" s="18">
        <v>131.5</v>
      </c>
      <c r="F5123" s="18">
        <v>12.0</v>
      </c>
    </row>
    <row r="5124">
      <c r="A5124" s="15">
        <v>33.0</v>
      </c>
      <c r="B5124" s="16" t="s">
        <v>4155</v>
      </c>
      <c r="C5124" s="16" t="s">
        <v>5558</v>
      </c>
      <c r="D5124" s="18">
        <v>93.21</v>
      </c>
      <c r="E5124" s="18">
        <v>130.5</v>
      </c>
      <c r="F5124" s="18">
        <v>12.0</v>
      </c>
    </row>
    <row r="5125">
      <c r="A5125" s="15">
        <v>34.0</v>
      </c>
      <c r="B5125" s="16" t="s">
        <v>9953</v>
      </c>
      <c r="C5125" s="17" t="s">
        <v>5536</v>
      </c>
      <c r="D5125" s="18">
        <v>29.04</v>
      </c>
      <c r="E5125" s="18">
        <v>40.65</v>
      </c>
      <c r="F5125" s="18">
        <v>12.0</v>
      </c>
    </row>
    <row r="5126">
      <c r="A5126" s="15">
        <v>35.0</v>
      </c>
      <c r="B5126" s="16" t="s">
        <v>9954</v>
      </c>
      <c r="C5126" s="17" t="s">
        <v>5536</v>
      </c>
      <c r="D5126" s="18">
        <v>52.56</v>
      </c>
      <c r="E5126" s="18">
        <v>73.58</v>
      </c>
      <c r="F5126" s="18">
        <v>12.0</v>
      </c>
    </row>
    <row r="5127">
      <c r="A5127" s="15">
        <v>36.0</v>
      </c>
      <c r="B5127" s="16" t="s">
        <v>9954</v>
      </c>
      <c r="C5127" s="17" t="s">
        <v>7448</v>
      </c>
      <c r="D5127" s="18">
        <v>105.11</v>
      </c>
      <c r="E5127" s="18">
        <v>147.16</v>
      </c>
      <c r="F5127" s="18">
        <v>12.0</v>
      </c>
    </row>
    <row r="5128">
      <c r="A5128" s="15">
        <v>37.0</v>
      </c>
      <c r="B5128" s="16" t="s">
        <v>9955</v>
      </c>
      <c r="C5128" s="17" t="s">
        <v>5536</v>
      </c>
      <c r="D5128" s="18">
        <v>80.12</v>
      </c>
      <c r="E5128" s="18">
        <v>112.17</v>
      </c>
      <c r="F5128" s="18">
        <v>12.0</v>
      </c>
    </row>
    <row r="5129">
      <c r="A5129" s="15">
        <v>38.0</v>
      </c>
      <c r="B5129" s="16" t="s">
        <v>9956</v>
      </c>
      <c r="C5129" s="17" t="s">
        <v>5830</v>
      </c>
      <c r="D5129" s="18">
        <v>67.86</v>
      </c>
      <c r="E5129" s="18">
        <v>95.0</v>
      </c>
      <c r="F5129" s="18">
        <v>12.0</v>
      </c>
    </row>
    <row r="5130">
      <c r="A5130" s="15">
        <v>39.0</v>
      </c>
      <c r="B5130" s="16" t="s">
        <v>9957</v>
      </c>
      <c r="C5130" s="17" t="s">
        <v>5830</v>
      </c>
      <c r="D5130" s="18">
        <v>73.21</v>
      </c>
      <c r="E5130" s="18">
        <v>102.5</v>
      </c>
      <c r="F5130" s="18">
        <v>12.0</v>
      </c>
    </row>
    <row r="5131">
      <c r="A5131" s="15">
        <v>40.0</v>
      </c>
      <c r="B5131" s="16" t="s">
        <v>9958</v>
      </c>
      <c r="C5131" s="17" t="s">
        <v>9959</v>
      </c>
      <c r="D5131" s="18">
        <v>37.87</v>
      </c>
      <c r="E5131" s="18">
        <v>52.0</v>
      </c>
      <c r="F5131" s="18">
        <v>12.0</v>
      </c>
    </row>
    <row r="5132">
      <c r="A5132" s="15">
        <v>41.0</v>
      </c>
      <c r="B5132" s="16" t="s">
        <v>9960</v>
      </c>
      <c r="C5132" s="17" t="s">
        <v>5636</v>
      </c>
      <c r="D5132" s="18">
        <v>92.86</v>
      </c>
      <c r="E5132" s="18">
        <v>130.0</v>
      </c>
      <c r="F5132" s="18">
        <v>12.0</v>
      </c>
    </row>
    <row r="5133">
      <c r="A5133" s="6"/>
      <c r="B5133" s="7"/>
      <c r="C5133" s="7"/>
      <c r="D5133" s="7"/>
      <c r="E5133" s="7"/>
      <c r="F5133" s="8"/>
    </row>
    <row r="5134">
      <c r="A5134" s="9" t="s">
        <v>9961</v>
      </c>
      <c r="B5134" s="10"/>
      <c r="C5134" s="10"/>
      <c r="D5134" s="10"/>
      <c r="E5134" s="10"/>
      <c r="F5134" s="10"/>
    </row>
    <row r="5135">
      <c r="A5135" s="11">
        <v>1.0</v>
      </c>
      <c r="B5135" s="12" t="s">
        <v>4164</v>
      </c>
      <c r="C5135" s="12" t="s">
        <v>6101</v>
      </c>
      <c r="D5135" s="14">
        <v>66.43</v>
      </c>
      <c r="E5135" s="14">
        <v>93.0</v>
      </c>
      <c r="F5135" s="14">
        <v>12.0</v>
      </c>
    </row>
    <row r="5136">
      <c r="A5136" s="15">
        <v>2.0</v>
      </c>
      <c r="B5136" s="16" t="s">
        <v>9962</v>
      </c>
      <c r="C5136" s="17" t="s">
        <v>5536</v>
      </c>
      <c r="D5136" s="18">
        <v>18.58</v>
      </c>
      <c r="E5136" s="18">
        <v>23.83</v>
      </c>
      <c r="F5136" s="18">
        <v>12.0</v>
      </c>
    </row>
    <row r="5137">
      <c r="A5137" s="15">
        <v>3.0</v>
      </c>
      <c r="B5137" s="16" t="s">
        <v>9963</v>
      </c>
      <c r="C5137" s="17" t="s">
        <v>5536</v>
      </c>
      <c r="D5137" s="18">
        <v>38.21</v>
      </c>
      <c r="E5137" s="18">
        <v>53.49</v>
      </c>
      <c r="F5137" s="18">
        <v>12.0</v>
      </c>
    </row>
    <row r="5138">
      <c r="A5138" s="15">
        <v>4.0</v>
      </c>
      <c r="B5138" s="16" t="s">
        <v>9964</v>
      </c>
      <c r="C5138" s="17" t="s">
        <v>8931</v>
      </c>
      <c r="D5138" s="18">
        <v>127.14</v>
      </c>
      <c r="E5138" s="18">
        <v>178.0</v>
      </c>
      <c r="F5138" s="18">
        <v>12.0</v>
      </c>
    </row>
    <row r="5139">
      <c r="A5139" s="15">
        <v>5.0</v>
      </c>
      <c r="B5139" s="16" t="s">
        <v>9964</v>
      </c>
      <c r="C5139" s="17" t="s">
        <v>9965</v>
      </c>
      <c r="D5139" s="18">
        <v>153.57</v>
      </c>
      <c r="E5139" s="18">
        <v>215.0</v>
      </c>
      <c r="F5139" s="18">
        <v>12.0</v>
      </c>
    </row>
    <row r="5140">
      <c r="A5140" s="15">
        <v>6.0</v>
      </c>
      <c r="B5140" s="16" t="s">
        <v>9964</v>
      </c>
      <c r="C5140" s="17" t="s">
        <v>8932</v>
      </c>
      <c r="D5140" s="18">
        <v>76.61</v>
      </c>
      <c r="E5140" s="18">
        <v>107.26</v>
      </c>
      <c r="F5140" s="18">
        <v>12.0</v>
      </c>
    </row>
    <row r="5141">
      <c r="A5141" s="15">
        <v>7.0</v>
      </c>
      <c r="B5141" s="16" t="s">
        <v>9966</v>
      </c>
      <c r="C5141" s="17" t="s">
        <v>8931</v>
      </c>
      <c r="D5141" s="18">
        <v>116.07</v>
      </c>
      <c r="E5141" s="18">
        <v>162.5</v>
      </c>
      <c r="F5141" s="18">
        <v>12.0</v>
      </c>
    </row>
    <row r="5142">
      <c r="A5142" s="15">
        <v>8.0</v>
      </c>
      <c r="B5142" s="16" t="s">
        <v>9966</v>
      </c>
      <c r="C5142" s="17" t="s">
        <v>8932</v>
      </c>
      <c r="D5142" s="18">
        <v>76.61</v>
      </c>
      <c r="E5142" s="18">
        <v>107.26</v>
      </c>
      <c r="F5142" s="18">
        <v>12.0</v>
      </c>
    </row>
    <row r="5143">
      <c r="A5143" s="15">
        <v>9.0</v>
      </c>
      <c r="B5143" s="16" t="s">
        <v>9967</v>
      </c>
      <c r="C5143" s="17" t="s">
        <v>5636</v>
      </c>
      <c r="D5143" s="18">
        <v>142.86</v>
      </c>
      <c r="E5143" s="18">
        <v>200.0</v>
      </c>
      <c r="F5143" s="18">
        <v>12.0</v>
      </c>
    </row>
    <row r="5144">
      <c r="A5144" s="15">
        <v>10.0</v>
      </c>
      <c r="B5144" s="16" t="s">
        <v>9968</v>
      </c>
      <c r="C5144" s="17" t="s">
        <v>5536</v>
      </c>
      <c r="D5144" s="18">
        <v>112.14</v>
      </c>
      <c r="E5144" s="18">
        <v>157.0</v>
      </c>
      <c r="F5144" s="18">
        <v>12.0</v>
      </c>
    </row>
    <row r="5145">
      <c r="A5145" s="15">
        <v>11.0</v>
      </c>
      <c r="B5145" s="16" t="s">
        <v>9969</v>
      </c>
      <c r="C5145" s="17" t="s">
        <v>5536</v>
      </c>
      <c r="D5145" s="18">
        <v>111.07</v>
      </c>
      <c r="E5145" s="18">
        <v>155.5</v>
      </c>
      <c r="F5145" s="18">
        <v>12.0</v>
      </c>
    </row>
    <row r="5146">
      <c r="A5146" s="15">
        <v>12.0</v>
      </c>
      <c r="B5146" s="16" t="s">
        <v>9970</v>
      </c>
      <c r="C5146" s="17" t="s">
        <v>5536</v>
      </c>
      <c r="D5146" s="18">
        <v>158.57</v>
      </c>
      <c r="E5146" s="18">
        <v>222.0</v>
      </c>
      <c r="F5146" s="18">
        <v>12.0</v>
      </c>
    </row>
    <row r="5147">
      <c r="A5147" s="15">
        <v>13.0</v>
      </c>
      <c r="B5147" s="16" t="s">
        <v>9971</v>
      </c>
      <c r="C5147" s="17" t="s">
        <v>5636</v>
      </c>
      <c r="D5147" s="18">
        <v>102.14</v>
      </c>
      <c r="E5147" s="18">
        <v>143.0</v>
      </c>
      <c r="F5147" s="18">
        <v>12.0</v>
      </c>
    </row>
    <row r="5148">
      <c r="A5148" s="15">
        <v>14.0</v>
      </c>
      <c r="B5148" s="16" t="s">
        <v>9972</v>
      </c>
      <c r="C5148" s="17" t="s">
        <v>5530</v>
      </c>
      <c r="D5148" s="18">
        <v>111.07</v>
      </c>
      <c r="E5148" s="18">
        <v>155.5</v>
      </c>
      <c r="F5148" s="18">
        <v>12.0</v>
      </c>
    </row>
    <row r="5149">
      <c r="A5149" s="15">
        <v>15.0</v>
      </c>
      <c r="B5149" s="16" t="s">
        <v>9972</v>
      </c>
      <c r="C5149" s="17" t="s">
        <v>5531</v>
      </c>
      <c r="D5149" s="18">
        <v>133.93</v>
      </c>
      <c r="E5149" s="18">
        <v>187.5</v>
      </c>
      <c r="F5149" s="18">
        <v>12.0</v>
      </c>
    </row>
    <row r="5150">
      <c r="A5150" s="15">
        <v>16.0</v>
      </c>
      <c r="B5150" s="16" t="s">
        <v>4180</v>
      </c>
      <c r="C5150" s="16" t="s">
        <v>7538</v>
      </c>
      <c r="D5150" s="18">
        <v>403.57</v>
      </c>
      <c r="E5150" s="18">
        <v>565.0</v>
      </c>
      <c r="F5150" s="18">
        <v>12.0</v>
      </c>
    </row>
    <row r="5151">
      <c r="A5151" s="15">
        <v>17.0</v>
      </c>
      <c r="B5151" s="16" t="s">
        <v>5953</v>
      </c>
      <c r="C5151" s="17" t="s">
        <v>9973</v>
      </c>
      <c r="D5151" s="18">
        <v>53.18</v>
      </c>
      <c r="E5151" s="18">
        <v>73.0</v>
      </c>
      <c r="F5151" s="18">
        <v>12.0</v>
      </c>
    </row>
    <row r="5152">
      <c r="A5152" s="15">
        <v>18.0</v>
      </c>
      <c r="B5152" s="16" t="s">
        <v>5953</v>
      </c>
      <c r="C5152" s="17" t="s">
        <v>9974</v>
      </c>
      <c r="D5152" s="18">
        <v>53.18</v>
      </c>
      <c r="E5152" s="18">
        <v>73.0</v>
      </c>
      <c r="F5152" s="18">
        <v>12.0</v>
      </c>
    </row>
    <row r="5153">
      <c r="A5153" s="15">
        <v>19.0</v>
      </c>
      <c r="B5153" s="16" t="s">
        <v>9975</v>
      </c>
      <c r="C5153" s="17" t="s">
        <v>5902</v>
      </c>
      <c r="D5153" s="18">
        <v>573.5</v>
      </c>
      <c r="E5153" s="18">
        <v>802.9</v>
      </c>
      <c r="F5153" s="18">
        <v>12.0</v>
      </c>
    </row>
    <row r="5154">
      <c r="A5154" s="15">
        <v>20.0</v>
      </c>
      <c r="B5154" s="16" t="s">
        <v>9976</v>
      </c>
      <c r="C5154" s="17" t="s">
        <v>5636</v>
      </c>
      <c r="D5154" s="18">
        <v>544.0</v>
      </c>
      <c r="E5154" s="18">
        <v>761.6</v>
      </c>
      <c r="F5154" s="18">
        <v>12.0</v>
      </c>
    </row>
    <row r="5155">
      <c r="A5155" s="15">
        <v>21.0</v>
      </c>
      <c r="B5155" s="16" t="s">
        <v>9977</v>
      </c>
      <c r="C5155" s="17" t="s">
        <v>9978</v>
      </c>
      <c r="D5155" s="18">
        <v>312.14</v>
      </c>
      <c r="E5155" s="18">
        <v>437.0</v>
      </c>
      <c r="F5155" s="18">
        <v>12.0</v>
      </c>
    </row>
    <row r="5156">
      <c r="A5156" s="15">
        <v>22.0</v>
      </c>
      <c r="B5156" s="16" t="s">
        <v>9979</v>
      </c>
      <c r="C5156" s="17" t="s">
        <v>9980</v>
      </c>
      <c r="D5156" s="18">
        <v>299.0</v>
      </c>
      <c r="E5156" s="18">
        <v>418.6</v>
      </c>
      <c r="F5156" s="18">
        <v>12.0</v>
      </c>
    </row>
    <row r="5157">
      <c r="A5157" s="15">
        <v>23.0</v>
      </c>
      <c r="B5157" s="16" t="s">
        <v>9979</v>
      </c>
      <c r="C5157" s="17" t="s">
        <v>9981</v>
      </c>
      <c r="D5157" s="18">
        <v>288.5</v>
      </c>
      <c r="E5157" s="18">
        <v>403.9</v>
      </c>
      <c r="F5157" s="18">
        <v>12.0</v>
      </c>
    </row>
    <row r="5158">
      <c r="A5158" s="15">
        <v>24.0</v>
      </c>
      <c r="B5158" s="16" t="s">
        <v>9982</v>
      </c>
      <c r="C5158" s="17" t="s">
        <v>5536</v>
      </c>
      <c r="D5158" s="18">
        <v>38.21</v>
      </c>
      <c r="E5158" s="18">
        <v>53.5</v>
      </c>
      <c r="F5158" s="18">
        <v>12.0</v>
      </c>
    </row>
    <row r="5159">
      <c r="A5159" s="15">
        <v>25.0</v>
      </c>
      <c r="B5159" s="16" t="s">
        <v>9983</v>
      </c>
      <c r="C5159" s="17" t="s">
        <v>5536</v>
      </c>
      <c r="D5159" s="18">
        <v>65.0</v>
      </c>
      <c r="E5159" s="18">
        <v>83.0</v>
      </c>
      <c r="F5159" s="18">
        <v>12.0</v>
      </c>
    </row>
    <row r="5160">
      <c r="A5160" s="15">
        <v>26.0</v>
      </c>
      <c r="B5160" s="16" t="s">
        <v>9984</v>
      </c>
      <c r="C5160" s="17" t="s">
        <v>5536</v>
      </c>
      <c r="D5160" s="18">
        <v>45.9</v>
      </c>
      <c r="E5160" s="18">
        <v>64.25</v>
      </c>
      <c r="F5160" s="18">
        <v>12.0</v>
      </c>
    </row>
    <row r="5161">
      <c r="A5161" s="15">
        <v>27.0</v>
      </c>
      <c r="B5161" s="16" t="s">
        <v>9985</v>
      </c>
      <c r="C5161" s="17" t="s">
        <v>6114</v>
      </c>
      <c r="D5161" s="18">
        <v>72.86</v>
      </c>
      <c r="E5161" s="18">
        <v>102.0</v>
      </c>
      <c r="F5161" s="18">
        <v>12.0</v>
      </c>
    </row>
    <row r="5162">
      <c r="A5162" s="15">
        <v>28.0</v>
      </c>
      <c r="B5162" s="16" t="s">
        <v>9985</v>
      </c>
      <c r="C5162" s="17" t="s">
        <v>6096</v>
      </c>
      <c r="D5162" s="18">
        <v>85.93</v>
      </c>
      <c r="E5162" s="18">
        <v>118.0</v>
      </c>
      <c r="F5162" s="18">
        <v>12.0</v>
      </c>
    </row>
    <row r="5163">
      <c r="A5163" s="15">
        <v>29.0</v>
      </c>
      <c r="B5163" s="16" t="s">
        <v>9913</v>
      </c>
      <c r="C5163" s="17" t="s">
        <v>9986</v>
      </c>
      <c r="D5163" s="18">
        <v>80.1</v>
      </c>
      <c r="E5163" s="18">
        <v>110.0</v>
      </c>
      <c r="F5163" s="18">
        <v>12.0</v>
      </c>
    </row>
    <row r="5164">
      <c r="A5164" s="15">
        <v>30.0</v>
      </c>
      <c r="B5164" s="16" t="s">
        <v>9913</v>
      </c>
      <c r="C5164" s="17" t="s">
        <v>9987</v>
      </c>
      <c r="D5164" s="18">
        <v>205.71</v>
      </c>
      <c r="E5164" s="18">
        <v>288.0</v>
      </c>
      <c r="F5164" s="18">
        <v>12.0</v>
      </c>
    </row>
    <row r="5165">
      <c r="A5165" s="15">
        <v>31.0</v>
      </c>
      <c r="B5165" s="16" t="s">
        <v>9913</v>
      </c>
      <c r="C5165" s="17" t="s">
        <v>9988</v>
      </c>
      <c r="D5165" s="18">
        <v>107.77</v>
      </c>
      <c r="E5165" s="18">
        <v>148.0</v>
      </c>
      <c r="F5165" s="18">
        <v>12.0</v>
      </c>
    </row>
    <row r="5166">
      <c r="A5166" s="15">
        <v>32.0</v>
      </c>
      <c r="B5166" s="16" t="s">
        <v>9913</v>
      </c>
      <c r="C5166" s="17" t="s">
        <v>9989</v>
      </c>
      <c r="D5166" s="18">
        <v>277.5</v>
      </c>
      <c r="E5166" s="18">
        <v>388.5</v>
      </c>
      <c r="F5166" s="18">
        <v>12.0</v>
      </c>
    </row>
    <row r="5167">
      <c r="A5167" s="15">
        <v>33.0</v>
      </c>
      <c r="B5167" s="16" t="s">
        <v>9990</v>
      </c>
      <c r="C5167" s="17" t="s">
        <v>5536</v>
      </c>
      <c r="D5167" s="18">
        <v>80.0</v>
      </c>
      <c r="E5167" s="18">
        <v>112.0</v>
      </c>
      <c r="F5167" s="18">
        <v>12.0</v>
      </c>
    </row>
    <row r="5168">
      <c r="A5168" s="15">
        <v>34.0</v>
      </c>
      <c r="B5168" s="16" t="s">
        <v>9991</v>
      </c>
      <c r="C5168" s="17" t="s">
        <v>5536</v>
      </c>
      <c r="D5168" s="18">
        <v>137.14</v>
      </c>
      <c r="E5168" s="18">
        <v>192.0</v>
      </c>
      <c r="F5168" s="18">
        <v>12.0</v>
      </c>
    </row>
    <row r="5169">
      <c r="A5169" s="15">
        <v>35.0</v>
      </c>
      <c r="B5169" s="16" t="s">
        <v>9992</v>
      </c>
      <c r="C5169" s="17" t="s">
        <v>5536</v>
      </c>
      <c r="D5169" s="18">
        <v>97.86</v>
      </c>
      <c r="E5169" s="18">
        <v>137.0</v>
      </c>
      <c r="F5169" s="18">
        <v>12.0</v>
      </c>
    </row>
    <row r="5170">
      <c r="A5170" s="15">
        <v>36.0</v>
      </c>
      <c r="B5170" s="16" t="s">
        <v>9993</v>
      </c>
      <c r="C5170" s="17" t="s">
        <v>5536</v>
      </c>
      <c r="D5170" s="18">
        <v>130.0</v>
      </c>
      <c r="E5170" s="18">
        <v>182.0</v>
      </c>
      <c r="F5170" s="18">
        <v>12.0</v>
      </c>
    </row>
    <row r="5171">
      <c r="A5171" s="15">
        <v>37.0</v>
      </c>
      <c r="B5171" s="16" t="s">
        <v>9994</v>
      </c>
      <c r="C5171" s="17" t="s">
        <v>5982</v>
      </c>
      <c r="D5171" s="18">
        <v>76.78</v>
      </c>
      <c r="E5171" s="18">
        <v>94.0</v>
      </c>
      <c r="F5171" s="18">
        <v>12.0</v>
      </c>
    </row>
    <row r="5172">
      <c r="A5172" s="15">
        <v>38.0</v>
      </c>
      <c r="B5172" s="16" t="s">
        <v>9994</v>
      </c>
      <c r="C5172" s="17" t="s">
        <v>5983</v>
      </c>
      <c r="D5172" s="18">
        <v>93.93</v>
      </c>
      <c r="E5172" s="18">
        <v>131.5</v>
      </c>
      <c r="F5172" s="18">
        <v>12.0</v>
      </c>
    </row>
    <row r="5173">
      <c r="A5173" s="6"/>
      <c r="B5173" s="7"/>
      <c r="C5173" s="7"/>
      <c r="D5173" s="7"/>
      <c r="E5173" s="7"/>
      <c r="F5173" s="8"/>
    </row>
    <row r="5174">
      <c r="A5174" s="9" t="s">
        <v>9995</v>
      </c>
      <c r="B5174" s="10"/>
      <c r="C5174" s="10"/>
      <c r="D5174" s="10"/>
      <c r="E5174" s="10"/>
      <c r="F5174" s="10"/>
    </row>
    <row r="5175">
      <c r="A5175" s="11">
        <v>1.0</v>
      </c>
      <c r="B5175" s="12" t="s">
        <v>9996</v>
      </c>
      <c r="C5175" s="13" t="s">
        <v>5902</v>
      </c>
      <c r="D5175" s="14">
        <v>280.0</v>
      </c>
      <c r="E5175" s="14">
        <v>392.0</v>
      </c>
      <c r="F5175" s="14">
        <v>12.0</v>
      </c>
    </row>
    <row r="5176">
      <c r="A5176" s="15">
        <v>2.0</v>
      </c>
      <c r="B5176" s="16" t="s">
        <v>9997</v>
      </c>
      <c r="C5176" s="17" t="s">
        <v>9998</v>
      </c>
      <c r="D5176" s="18">
        <v>2571.43</v>
      </c>
      <c r="E5176" s="18">
        <v>3600.0</v>
      </c>
      <c r="F5176" s="18">
        <v>12.0</v>
      </c>
    </row>
    <row r="5177">
      <c r="A5177" s="15">
        <v>3.0</v>
      </c>
      <c r="B5177" s="16" t="s">
        <v>4205</v>
      </c>
      <c r="C5177" s="16" t="s">
        <v>6101</v>
      </c>
      <c r="D5177" s="18">
        <v>300.0</v>
      </c>
      <c r="E5177" s="18">
        <v>420.0</v>
      </c>
      <c r="F5177" s="18">
        <v>12.0</v>
      </c>
    </row>
    <row r="5178">
      <c r="A5178" s="15">
        <v>4.0</v>
      </c>
      <c r="B5178" s="16" t="s">
        <v>9999</v>
      </c>
      <c r="C5178" s="17" t="s">
        <v>5636</v>
      </c>
      <c r="D5178" s="18">
        <v>60.72</v>
      </c>
      <c r="E5178" s="18">
        <v>85.0</v>
      </c>
      <c r="F5178" s="18">
        <v>12.0</v>
      </c>
    </row>
    <row r="5179">
      <c r="A5179" s="15">
        <v>5.0</v>
      </c>
      <c r="B5179" s="16" t="s">
        <v>10000</v>
      </c>
      <c r="C5179" s="17" t="s">
        <v>5536</v>
      </c>
      <c r="D5179" s="18">
        <v>88.57</v>
      </c>
      <c r="E5179" s="18">
        <v>124.0</v>
      </c>
      <c r="F5179" s="18">
        <v>12.0</v>
      </c>
    </row>
    <row r="5180">
      <c r="A5180" s="15">
        <v>6.0</v>
      </c>
      <c r="B5180" s="16" t="s">
        <v>10001</v>
      </c>
      <c r="C5180" s="17" t="s">
        <v>5636</v>
      </c>
      <c r="D5180" s="18">
        <v>162.86</v>
      </c>
      <c r="E5180" s="18">
        <v>228.0</v>
      </c>
      <c r="F5180" s="18">
        <v>12.0</v>
      </c>
    </row>
    <row r="5181">
      <c r="A5181" s="6"/>
      <c r="B5181" s="7"/>
      <c r="C5181" s="7"/>
      <c r="D5181" s="7"/>
      <c r="E5181" s="8"/>
      <c r="F5181" s="16" t="s">
        <v>10002</v>
      </c>
    </row>
    <row r="5182">
      <c r="A5182" s="6"/>
      <c r="B5182" s="7"/>
      <c r="C5182" s="7"/>
      <c r="D5182" s="7"/>
      <c r="E5182" s="7"/>
      <c r="F5182" s="8"/>
    </row>
    <row r="5183">
      <c r="A5183" s="6"/>
      <c r="B5183" s="7"/>
      <c r="C5183" s="7"/>
      <c r="D5183" s="7"/>
      <c r="E5183" s="7"/>
      <c r="F5183" s="8"/>
    </row>
    <row r="5184">
      <c r="A5184" s="6"/>
      <c r="B5184" s="7"/>
      <c r="C5184" s="7"/>
      <c r="D5184" s="7"/>
      <c r="E5184" s="7"/>
      <c r="F5184" s="8"/>
    </row>
    <row r="5185">
      <c r="A5185" s="6"/>
      <c r="B5185" s="7"/>
      <c r="C5185" s="7"/>
      <c r="D5185" s="7"/>
      <c r="E5185" s="7"/>
      <c r="F5185" s="8"/>
    </row>
    <row r="5186">
      <c r="A5186" s="9" t="s">
        <v>5582</v>
      </c>
      <c r="B5186" s="10"/>
      <c r="C5186" s="10"/>
      <c r="D5186" s="10"/>
      <c r="E5186" s="10"/>
      <c r="F5186" s="10"/>
    </row>
    <row r="5187">
      <c r="A5187" s="19" t="s">
        <v>5583</v>
      </c>
    </row>
    <row r="5188">
      <c r="A5188" s="6"/>
      <c r="B5188" s="7"/>
      <c r="C5188" s="7"/>
      <c r="D5188" s="8"/>
      <c r="E5188" s="12" t="s">
        <v>5584</v>
      </c>
      <c r="F5188" s="12" t="s">
        <v>10003</v>
      </c>
    </row>
    <row r="5189">
      <c r="A5189" s="20" t="s">
        <v>5522</v>
      </c>
      <c r="B5189" s="16" t="s">
        <v>5523</v>
      </c>
      <c r="C5189" s="16" t="s">
        <v>5524</v>
      </c>
      <c r="D5189" s="16" t="s">
        <v>5525</v>
      </c>
      <c r="E5189" s="16" t="s">
        <v>5526</v>
      </c>
      <c r="F5189" s="16" t="s">
        <v>5586</v>
      </c>
    </row>
    <row r="5190">
      <c r="A5190" s="15">
        <v>7.0</v>
      </c>
      <c r="B5190" s="16" t="s">
        <v>10004</v>
      </c>
      <c r="C5190" s="17" t="s">
        <v>5636</v>
      </c>
      <c r="D5190" s="18">
        <v>127.86</v>
      </c>
      <c r="E5190" s="18">
        <v>179.0</v>
      </c>
      <c r="F5190" s="18">
        <v>12.0</v>
      </c>
    </row>
    <row r="5191">
      <c r="A5191" s="15">
        <v>8.0</v>
      </c>
      <c r="B5191" s="16" t="s">
        <v>4210</v>
      </c>
      <c r="C5191" s="16" t="s">
        <v>5558</v>
      </c>
      <c r="D5191" s="18">
        <v>124.5</v>
      </c>
      <c r="E5191" s="18">
        <v>171.0</v>
      </c>
      <c r="F5191" s="18">
        <v>12.0</v>
      </c>
    </row>
    <row r="5192">
      <c r="A5192" s="15">
        <v>9.0</v>
      </c>
      <c r="B5192" s="16" t="s">
        <v>10005</v>
      </c>
      <c r="C5192" s="17" t="s">
        <v>5536</v>
      </c>
      <c r="D5192" s="18">
        <v>21.25</v>
      </c>
      <c r="E5192" s="18">
        <v>29.75</v>
      </c>
      <c r="F5192" s="18">
        <v>12.0</v>
      </c>
    </row>
    <row r="5193">
      <c r="A5193" s="15">
        <v>10.0</v>
      </c>
      <c r="B5193" s="16" t="s">
        <v>10006</v>
      </c>
      <c r="C5193" s="17" t="s">
        <v>5636</v>
      </c>
      <c r="D5193" s="18">
        <v>55.18</v>
      </c>
      <c r="E5193" s="18">
        <v>77.25</v>
      </c>
      <c r="F5193" s="18">
        <v>12.0</v>
      </c>
    </row>
    <row r="5194">
      <c r="A5194" s="15">
        <v>11.0</v>
      </c>
      <c r="B5194" s="16" t="s">
        <v>10007</v>
      </c>
      <c r="C5194" s="17" t="s">
        <v>5636</v>
      </c>
      <c r="D5194" s="18">
        <v>80.71</v>
      </c>
      <c r="E5194" s="18">
        <v>113.0</v>
      </c>
      <c r="F5194" s="18">
        <v>12.0</v>
      </c>
    </row>
    <row r="5195">
      <c r="A5195" s="15">
        <v>12.0</v>
      </c>
      <c r="B5195" s="16" t="s">
        <v>10008</v>
      </c>
      <c r="C5195" s="17" t="s">
        <v>5636</v>
      </c>
      <c r="D5195" s="18">
        <v>61.07</v>
      </c>
      <c r="E5195" s="18">
        <v>85.5</v>
      </c>
      <c r="F5195" s="18">
        <v>12.0</v>
      </c>
    </row>
    <row r="5196">
      <c r="A5196" s="15">
        <v>13.0</v>
      </c>
      <c r="B5196" s="16" t="s">
        <v>10009</v>
      </c>
      <c r="C5196" s="17" t="s">
        <v>5636</v>
      </c>
      <c r="D5196" s="18">
        <v>75.18</v>
      </c>
      <c r="E5196" s="18">
        <v>105.25</v>
      </c>
      <c r="F5196" s="18">
        <v>12.0</v>
      </c>
    </row>
    <row r="5197">
      <c r="A5197" s="15">
        <v>14.0</v>
      </c>
      <c r="B5197" s="16" t="s">
        <v>10010</v>
      </c>
      <c r="C5197" s="17" t="s">
        <v>5536</v>
      </c>
      <c r="D5197" s="18">
        <v>60.0</v>
      </c>
      <c r="E5197" s="18">
        <v>84.0</v>
      </c>
      <c r="F5197" s="18">
        <v>12.0</v>
      </c>
    </row>
    <row r="5198">
      <c r="A5198" s="15">
        <v>15.0</v>
      </c>
      <c r="B5198" s="16" t="s">
        <v>10011</v>
      </c>
      <c r="C5198" s="17" t="s">
        <v>5536</v>
      </c>
      <c r="D5198" s="18">
        <v>80.0</v>
      </c>
      <c r="E5198" s="18">
        <v>112.0</v>
      </c>
      <c r="F5198" s="18">
        <v>12.0</v>
      </c>
    </row>
    <row r="5199">
      <c r="A5199" s="15">
        <v>16.0</v>
      </c>
      <c r="B5199" s="16" t="s">
        <v>10012</v>
      </c>
      <c r="C5199" s="17" t="s">
        <v>5536</v>
      </c>
      <c r="D5199" s="18">
        <v>87.14</v>
      </c>
      <c r="E5199" s="18">
        <v>122.0</v>
      </c>
      <c r="F5199" s="18">
        <v>12.0</v>
      </c>
    </row>
    <row r="5200">
      <c r="A5200" s="15">
        <v>17.0</v>
      </c>
      <c r="B5200" s="16" t="s">
        <v>10013</v>
      </c>
      <c r="C5200" s="17" t="s">
        <v>5536</v>
      </c>
      <c r="D5200" s="18">
        <v>78.21</v>
      </c>
      <c r="E5200" s="18">
        <v>109.5</v>
      </c>
      <c r="F5200" s="18">
        <v>12.0</v>
      </c>
    </row>
    <row r="5201">
      <c r="A5201" s="15">
        <v>18.0</v>
      </c>
      <c r="B5201" s="16" t="s">
        <v>10014</v>
      </c>
      <c r="C5201" s="17" t="s">
        <v>5887</v>
      </c>
      <c r="D5201" s="18">
        <v>54.11</v>
      </c>
      <c r="E5201" s="18">
        <v>75.75</v>
      </c>
      <c r="F5201" s="18">
        <v>12.0</v>
      </c>
    </row>
    <row r="5202">
      <c r="A5202" s="15">
        <v>19.0</v>
      </c>
      <c r="B5202" s="16" t="s">
        <v>10014</v>
      </c>
      <c r="C5202" s="17" t="s">
        <v>6118</v>
      </c>
      <c r="D5202" s="18">
        <v>75.0</v>
      </c>
      <c r="E5202" s="18">
        <v>105.0</v>
      </c>
      <c r="F5202" s="18">
        <v>12.0</v>
      </c>
    </row>
    <row r="5203">
      <c r="A5203" s="15">
        <v>20.0</v>
      </c>
      <c r="B5203" s="16" t="s">
        <v>10015</v>
      </c>
      <c r="C5203" s="17" t="s">
        <v>5636</v>
      </c>
      <c r="D5203" s="18">
        <v>80.0</v>
      </c>
      <c r="E5203" s="18">
        <v>112.0</v>
      </c>
      <c r="F5203" s="18">
        <v>12.0</v>
      </c>
    </row>
    <row r="5204">
      <c r="A5204" s="15">
        <v>21.0</v>
      </c>
      <c r="B5204" s="16" t="s">
        <v>10016</v>
      </c>
      <c r="C5204" s="17" t="s">
        <v>5636</v>
      </c>
      <c r="D5204" s="18">
        <v>100.0</v>
      </c>
      <c r="E5204" s="18">
        <v>140.0</v>
      </c>
      <c r="F5204" s="18">
        <v>12.0</v>
      </c>
    </row>
    <row r="5205">
      <c r="A5205" s="15">
        <v>22.0</v>
      </c>
      <c r="B5205" s="16" t="s">
        <v>10017</v>
      </c>
      <c r="C5205" s="17" t="s">
        <v>5636</v>
      </c>
      <c r="D5205" s="18">
        <v>29.04</v>
      </c>
      <c r="E5205" s="18">
        <v>40.65</v>
      </c>
      <c r="F5205" s="18">
        <v>12.0</v>
      </c>
    </row>
    <row r="5206">
      <c r="A5206" s="15">
        <v>23.0</v>
      </c>
      <c r="B5206" s="16" t="s">
        <v>10018</v>
      </c>
      <c r="C5206" s="17" t="s">
        <v>5536</v>
      </c>
      <c r="D5206" s="18">
        <v>15.16</v>
      </c>
      <c r="E5206" s="18">
        <v>21.23</v>
      </c>
      <c r="F5206" s="18">
        <v>12.0</v>
      </c>
    </row>
    <row r="5207">
      <c r="A5207" s="15">
        <v>24.0</v>
      </c>
      <c r="B5207" s="16" t="s">
        <v>10019</v>
      </c>
      <c r="C5207" s="17" t="s">
        <v>5676</v>
      </c>
      <c r="D5207" s="18">
        <v>121.43</v>
      </c>
      <c r="E5207" s="18">
        <v>170.0</v>
      </c>
      <c r="F5207" s="18">
        <v>12.0</v>
      </c>
    </row>
    <row r="5208">
      <c r="A5208" s="15">
        <v>25.0</v>
      </c>
      <c r="B5208" s="16" t="s">
        <v>4227</v>
      </c>
      <c r="C5208" s="16" t="s">
        <v>5558</v>
      </c>
      <c r="D5208" s="18">
        <v>91.43</v>
      </c>
      <c r="E5208" s="18">
        <v>128.0</v>
      </c>
      <c r="F5208" s="18">
        <v>12.0</v>
      </c>
    </row>
    <row r="5209">
      <c r="A5209" s="15">
        <v>26.0</v>
      </c>
      <c r="B5209" s="16" t="s">
        <v>10020</v>
      </c>
      <c r="C5209" s="17" t="s">
        <v>5922</v>
      </c>
      <c r="D5209" s="18">
        <v>61.43</v>
      </c>
      <c r="E5209" s="18">
        <v>86.0</v>
      </c>
      <c r="F5209" s="18">
        <v>12.0</v>
      </c>
    </row>
    <row r="5210">
      <c r="A5210" s="15">
        <v>27.0</v>
      </c>
      <c r="B5210" s="16" t="s">
        <v>10020</v>
      </c>
      <c r="C5210" s="17" t="s">
        <v>8795</v>
      </c>
      <c r="D5210" s="18">
        <v>115.71</v>
      </c>
      <c r="E5210" s="18">
        <v>162.0</v>
      </c>
      <c r="F5210" s="18">
        <v>12.0</v>
      </c>
    </row>
    <row r="5211">
      <c r="A5211" s="15">
        <v>28.0</v>
      </c>
      <c r="B5211" s="16" t="s">
        <v>10021</v>
      </c>
      <c r="C5211" s="17" t="s">
        <v>5536</v>
      </c>
      <c r="D5211" s="18">
        <v>66.07</v>
      </c>
      <c r="E5211" s="18">
        <v>92.5</v>
      </c>
      <c r="F5211" s="18">
        <v>12.0</v>
      </c>
    </row>
    <row r="5212">
      <c r="A5212" s="15">
        <v>29.0</v>
      </c>
      <c r="B5212" s="16" t="s">
        <v>10022</v>
      </c>
      <c r="C5212" s="17" t="s">
        <v>5536</v>
      </c>
      <c r="D5212" s="18">
        <v>89.29</v>
      </c>
      <c r="E5212" s="18">
        <v>125.0</v>
      </c>
      <c r="F5212" s="18">
        <v>12.0</v>
      </c>
    </row>
    <row r="5213">
      <c r="A5213" s="15">
        <v>30.0</v>
      </c>
      <c r="B5213" s="16" t="s">
        <v>10023</v>
      </c>
      <c r="C5213" s="17" t="s">
        <v>7142</v>
      </c>
      <c r="D5213" s="18">
        <v>77.86</v>
      </c>
      <c r="E5213" s="18">
        <v>109.0</v>
      </c>
      <c r="F5213" s="18">
        <v>12.0</v>
      </c>
    </row>
    <row r="5214">
      <c r="A5214" s="15">
        <v>31.0</v>
      </c>
      <c r="B5214" s="16" t="s">
        <v>10023</v>
      </c>
      <c r="C5214" s="17" t="s">
        <v>7143</v>
      </c>
      <c r="D5214" s="18">
        <v>101.43</v>
      </c>
      <c r="E5214" s="18">
        <v>142.0</v>
      </c>
      <c r="F5214" s="18">
        <v>12.0</v>
      </c>
    </row>
    <row r="5215">
      <c r="A5215" s="6"/>
      <c r="B5215" s="7"/>
      <c r="C5215" s="7"/>
      <c r="D5215" s="7"/>
      <c r="E5215" s="7"/>
      <c r="F5215" s="8"/>
    </row>
    <row r="5216">
      <c r="A5216" s="9" t="s">
        <v>10024</v>
      </c>
      <c r="B5216" s="10"/>
      <c r="C5216" s="10"/>
      <c r="D5216" s="10"/>
      <c r="E5216" s="10"/>
      <c r="F5216" s="10"/>
    </row>
    <row r="5217">
      <c r="A5217" s="11">
        <v>1.0</v>
      </c>
      <c r="B5217" s="12" t="s">
        <v>10025</v>
      </c>
      <c r="C5217" s="13" t="s">
        <v>7424</v>
      </c>
      <c r="D5217" s="14">
        <v>67.86</v>
      </c>
      <c r="E5217" s="14">
        <v>95.0</v>
      </c>
      <c r="F5217" s="14">
        <v>12.0</v>
      </c>
    </row>
    <row r="5218">
      <c r="A5218" s="15">
        <v>2.0</v>
      </c>
      <c r="B5218" s="16" t="s">
        <v>10026</v>
      </c>
      <c r="C5218" s="17" t="s">
        <v>5536</v>
      </c>
      <c r="D5218" s="18">
        <v>113.57</v>
      </c>
      <c r="E5218" s="18">
        <v>159.0</v>
      </c>
      <c r="F5218" s="18">
        <v>12.0</v>
      </c>
    </row>
    <row r="5219">
      <c r="A5219" s="15">
        <v>3.0</v>
      </c>
      <c r="B5219" s="16" t="s">
        <v>10025</v>
      </c>
      <c r="C5219" s="17" t="s">
        <v>7118</v>
      </c>
      <c r="D5219" s="18">
        <v>26.43</v>
      </c>
      <c r="E5219" s="18">
        <v>37.0</v>
      </c>
      <c r="F5219" s="18">
        <v>12.0</v>
      </c>
    </row>
    <row r="5220">
      <c r="A5220" s="15">
        <v>4.0</v>
      </c>
      <c r="B5220" s="16" t="s">
        <v>10025</v>
      </c>
      <c r="C5220" s="17" t="s">
        <v>7184</v>
      </c>
      <c r="D5220" s="18">
        <v>42.14</v>
      </c>
      <c r="E5220" s="18">
        <v>59.0</v>
      </c>
      <c r="F5220" s="18">
        <v>12.0</v>
      </c>
    </row>
    <row r="5221">
      <c r="A5221" s="15">
        <v>5.0</v>
      </c>
      <c r="B5221" s="16" t="s">
        <v>10027</v>
      </c>
      <c r="C5221" s="17" t="s">
        <v>7168</v>
      </c>
      <c r="D5221" s="18">
        <v>58.57</v>
      </c>
      <c r="E5221" s="18">
        <v>82.0</v>
      </c>
      <c r="F5221" s="18">
        <v>12.0</v>
      </c>
    </row>
    <row r="5222">
      <c r="A5222" s="15">
        <v>6.0</v>
      </c>
      <c r="B5222" s="16" t="s">
        <v>10027</v>
      </c>
      <c r="C5222" s="17" t="s">
        <v>7169</v>
      </c>
      <c r="D5222" s="18">
        <v>92.86</v>
      </c>
      <c r="E5222" s="18">
        <v>130.0</v>
      </c>
      <c r="F5222" s="18">
        <v>12.0</v>
      </c>
    </row>
    <row r="5223">
      <c r="A5223" s="15">
        <v>7.0</v>
      </c>
      <c r="B5223" s="16" t="s">
        <v>10028</v>
      </c>
      <c r="C5223" s="17" t="s">
        <v>5536</v>
      </c>
      <c r="D5223" s="18">
        <v>131.43</v>
      </c>
      <c r="E5223" s="18">
        <v>184.0</v>
      </c>
      <c r="F5223" s="18">
        <v>12.0</v>
      </c>
    </row>
    <row r="5224">
      <c r="A5224" s="6"/>
      <c r="B5224" s="7"/>
      <c r="C5224" s="7"/>
      <c r="D5224" s="7"/>
      <c r="E5224" s="7"/>
      <c r="F5224" s="8"/>
    </row>
    <row r="5225">
      <c r="A5225" s="9" t="s">
        <v>10029</v>
      </c>
      <c r="B5225" s="10"/>
      <c r="C5225" s="10"/>
      <c r="D5225" s="10"/>
      <c r="E5225" s="10"/>
      <c r="F5225" s="10"/>
    </row>
    <row r="5226">
      <c r="A5226" s="11">
        <v>1.0</v>
      </c>
      <c r="B5226" s="12" t="s">
        <v>10030</v>
      </c>
      <c r="C5226" s="13" t="s">
        <v>6367</v>
      </c>
      <c r="D5226" s="14">
        <v>188.21</v>
      </c>
      <c r="E5226" s="14">
        <v>263.5</v>
      </c>
      <c r="F5226" s="14">
        <v>12.0</v>
      </c>
    </row>
    <row r="5227">
      <c r="A5227" s="15">
        <v>2.0</v>
      </c>
      <c r="B5227" s="16" t="s">
        <v>4244</v>
      </c>
      <c r="C5227" s="16" t="s">
        <v>5558</v>
      </c>
      <c r="D5227" s="18">
        <v>117.95</v>
      </c>
      <c r="E5227" s="18">
        <v>162.0</v>
      </c>
      <c r="F5227" s="18">
        <v>12.0</v>
      </c>
    </row>
    <row r="5228">
      <c r="A5228" s="15">
        <v>3.0</v>
      </c>
      <c r="B5228" s="16" t="s">
        <v>10031</v>
      </c>
      <c r="C5228" s="17" t="s">
        <v>5536</v>
      </c>
      <c r="D5228" s="18">
        <v>50.98</v>
      </c>
      <c r="E5228" s="18">
        <v>70.0</v>
      </c>
      <c r="F5228" s="18">
        <v>12.0</v>
      </c>
    </row>
    <row r="5229">
      <c r="A5229" s="15">
        <v>4.0</v>
      </c>
      <c r="B5229" s="16" t="s">
        <v>10032</v>
      </c>
      <c r="C5229" s="17" t="s">
        <v>5536</v>
      </c>
      <c r="D5229" s="18">
        <v>61.92</v>
      </c>
      <c r="E5229" s="18">
        <v>85.0</v>
      </c>
      <c r="F5229" s="18">
        <v>12.0</v>
      </c>
    </row>
    <row r="5230">
      <c r="A5230" s="15">
        <v>5.0</v>
      </c>
      <c r="B5230" s="16" t="s">
        <v>10033</v>
      </c>
      <c r="C5230" s="17" t="s">
        <v>5623</v>
      </c>
      <c r="D5230" s="18">
        <v>142.04</v>
      </c>
      <c r="E5230" s="18">
        <v>195.0</v>
      </c>
      <c r="F5230" s="18">
        <v>12.0</v>
      </c>
    </row>
    <row r="5231">
      <c r="A5231" s="15">
        <v>6.0</v>
      </c>
      <c r="B5231" s="16" t="s">
        <v>10034</v>
      </c>
      <c r="C5231" s="17" t="s">
        <v>6359</v>
      </c>
      <c r="D5231" s="18">
        <v>214.79</v>
      </c>
      <c r="E5231" s="18">
        <v>295.0</v>
      </c>
      <c r="F5231" s="18">
        <v>12.0</v>
      </c>
    </row>
    <row r="5232">
      <c r="A5232" s="15">
        <v>7.0</v>
      </c>
      <c r="B5232" s="16" t="s">
        <v>10035</v>
      </c>
      <c r="C5232" s="17" t="s">
        <v>5614</v>
      </c>
      <c r="D5232" s="18">
        <v>98.29</v>
      </c>
      <c r="E5232" s="18">
        <v>135.0</v>
      </c>
      <c r="F5232" s="18">
        <v>12.0</v>
      </c>
    </row>
    <row r="5233">
      <c r="A5233" s="15">
        <v>8.0</v>
      </c>
      <c r="B5233" s="16" t="s">
        <v>10036</v>
      </c>
      <c r="C5233" s="17" t="s">
        <v>5614</v>
      </c>
      <c r="D5233" s="18">
        <v>141.98</v>
      </c>
      <c r="E5233" s="18">
        <v>195.0</v>
      </c>
      <c r="F5233" s="18">
        <v>12.0</v>
      </c>
    </row>
    <row r="5234">
      <c r="A5234" s="15">
        <v>9.0</v>
      </c>
      <c r="B5234" s="16" t="s">
        <v>10037</v>
      </c>
      <c r="C5234" s="17" t="s">
        <v>5614</v>
      </c>
      <c r="D5234" s="18">
        <v>152.9</v>
      </c>
      <c r="E5234" s="18">
        <v>210.0</v>
      </c>
      <c r="F5234" s="18">
        <v>12.0</v>
      </c>
    </row>
    <row r="5235">
      <c r="A5235" s="15">
        <v>10.0</v>
      </c>
      <c r="B5235" s="16" t="s">
        <v>10038</v>
      </c>
      <c r="C5235" s="17" t="s">
        <v>5614</v>
      </c>
      <c r="D5235" s="18">
        <v>233.0</v>
      </c>
      <c r="E5235" s="18">
        <v>320.0</v>
      </c>
      <c r="F5235" s="18">
        <v>12.0</v>
      </c>
    </row>
    <row r="5236">
      <c r="A5236" s="15">
        <v>11.0</v>
      </c>
      <c r="B5236" s="16" t="s">
        <v>10039</v>
      </c>
      <c r="C5236" s="17" t="s">
        <v>5536</v>
      </c>
      <c r="D5236" s="18">
        <v>178.38</v>
      </c>
      <c r="E5236" s="18">
        <v>245.0</v>
      </c>
      <c r="F5236" s="18">
        <v>12.0</v>
      </c>
    </row>
    <row r="5237">
      <c r="A5237" s="15">
        <v>12.0</v>
      </c>
      <c r="B5237" s="16" t="s">
        <v>10040</v>
      </c>
      <c r="C5237" s="17" t="s">
        <v>5614</v>
      </c>
      <c r="D5237" s="18">
        <v>174.02</v>
      </c>
      <c r="E5237" s="18">
        <v>239.0</v>
      </c>
      <c r="F5237" s="18">
        <v>12.0</v>
      </c>
    </row>
    <row r="5238">
      <c r="A5238" s="15">
        <v>13.0</v>
      </c>
      <c r="B5238" s="16" t="s">
        <v>4255</v>
      </c>
      <c r="C5238" s="16" t="s">
        <v>5679</v>
      </c>
      <c r="D5238" s="18">
        <v>158.73</v>
      </c>
      <c r="E5238" s="18">
        <v>218.0</v>
      </c>
      <c r="F5238" s="18">
        <v>12.0</v>
      </c>
    </row>
    <row r="5239">
      <c r="A5239" s="15">
        <v>14.0</v>
      </c>
      <c r="B5239" s="16" t="s">
        <v>10041</v>
      </c>
      <c r="C5239" s="17" t="s">
        <v>5562</v>
      </c>
      <c r="D5239" s="18">
        <v>160.19</v>
      </c>
      <c r="E5239" s="18">
        <v>220.0</v>
      </c>
      <c r="F5239" s="18">
        <v>12.0</v>
      </c>
    </row>
    <row r="5240">
      <c r="A5240" s="15">
        <v>15.0</v>
      </c>
      <c r="B5240" s="16" t="s">
        <v>10042</v>
      </c>
      <c r="C5240" s="17" t="s">
        <v>5536</v>
      </c>
      <c r="D5240" s="18">
        <v>50.23</v>
      </c>
      <c r="E5240" s="18">
        <v>69.0</v>
      </c>
      <c r="F5240" s="18">
        <v>12.0</v>
      </c>
    </row>
    <row r="5241">
      <c r="A5241" s="15">
        <v>16.0</v>
      </c>
      <c r="B5241" s="16" t="s">
        <v>10043</v>
      </c>
      <c r="C5241" s="17" t="s">
        <v>5636</v>
      </c>
      <c r="D5241" s="18">
        <v>83.74</v>
      </c>
      <c r="E5241" s="18">
        <v>115.0</v>
      </c>
      <c r="F5241" s="18">
        <v>12.0</v>
      </c>
    </row>
    <row r="5242">
      <c r="A5242" s="15">
        <v>17.0</v>
      </c>
      <c r="B5242" s="16" t="s">
        <v>10044</v>
      </c>
      <c r="C5242" s="17" t="s">
        <v>5614</v>
      </c>
      <c r="D5242" s="18">
        <v>74.29</v>
      </c>
      <c r="E5242" s="18">
        <v>102.0</v>
      </c>
      <c r="F5242" s="18">
        <v>12.0</v>
      </c>
    </row>
    <row r="5243">
      <c r="A5243" s="15">
        <v>18.0</v>
      </c>
      <c r="B5243" s="16" t="s">
        <v>10045</v>
      </c>
      <c r="C5243" s="17" t="s">
        <v>5614</v>
      </c>
      <c r="D5243" s="18">
        <v>137.66</v>
      </c>
      <c r="E5243" s="18">
        <v>189.0</v>
      </c>
      <c r="F5243" s="18">
        <v>12.0</v>
      </c>
    </row>
    <row r="5244">
      <c r="A5244" s="6"/>
      <c r="B5244" s="7"/>
      <c r="C5244" s="7"/>
      <c r="D5244" s="7"/>
      <c r="E5244" s="7"/>
      <c r="F5244" s="8"/>
    </row>
    <row r="5245">
      <c r="A5245" s="9" t="s">
        <v>10046</v>
      </c>
      <c r="B5245" s="10"/>
      <c r="C5245" s="10"/>
      <c r="D5245" s="10"/>
      <c r="E5245" s="10"/>
      <c r="F5245" s="10"/>
    </row>
    <row r="5246">
      <c r="A5246" s="11">
        <v>1.0</v>
      </c>
      <c r="B5246" s="12" t="s">
        <v>10047</v>
      </c>
      <c r="C5246" s="13" t="s">
        <v>10048</v>
      </c>
      <c r="D5246" s="14">
        <v>134.29</v>
      </c>
      <c r="E5246" s="14">
        <v>188.0</v>
      </c>
      <c r="F5246" s="14">
        <v>12.0</v>
      </c>
    </row>
    <row r="5247">
      <c r="A5247" s="15">
        <v>2.0</v>
      </c>
      <c r="B5247" s="16" t="s">
        <v>10047</v>
      </c>
      <c r="C5247" s="17" t="s">
        <v>10049</v>
      </c>
      <c r="D5247" s="18">
        <v>283.93</v>
      </c>
      <c r="E5247" s="18">
        <v>397.5</v>
      </c>
      <c r="F5247" s="18">
        <v>12.0</v>
      </c>
    </row>
    <row r="5248">
      <c r="A5248" s="15">
        <v>3.0</v>
      </c>
      <c r="B5248" s="16" t="s">
        <v>10050</v>
      </c>
      <c r="C5248" s="17" t="s">
        <v>5562</v>
      </c>
      <c r="D5248" s="18">
        <v>135.71</v>
      </c>
      <c r="E5248" s="18">
        <v>190.0</v>
      </c>
      <c r="F5248" s="18">
        <v>12.0</v>
      </c>
    </row>
    <row r="5249">
      <c r="A5249" s="15">
        <v>4.0</v>
      </c>
      <c r="B5249" s="16" t="s">
        <v>10051</v>
      </c>
      <c r="C5249" s="17" t="s">
        <v>8578</v>
      </c>
      <c r="D5249" s="18">
        <v>374.4</v>
      </c>
      <c r="E5249" s="18">
        <v>468.0</v>
      </c>
      <c r="F5249" s="18">
        <v>0.0</v>
      </c>
    </row>
    <row r="5250">
      <c r="A5250" s="15">
        <v>5.0</v>
      </c>
      <c r="B5250" s="16" t="s">
        <v>10052</v>
      </c>
      <c r="C5250" s="17" t="s">
        <v>6339</v>
      </c>
      <c r="D5250" s="18">
        <v>146.83</v>
      </c>
      <c r="E5250" s="18">
        <v>205.56</v>
      </c>
      <c r="F5250" s="18">
        <v>12.0</v>
      </c>
    </row>
    <row r="5251">
      <c r="A5251" s="6"/>
      <c r="B5251" s="7"/>
      <c r="C5251" s="7"/>
      <c r="D5251" s="7"/>
      <c r="E5251" s="8"/>
      <c r="F5251" s="16" t="s">
        <v>10053</v>
      </c>
    </row>
    <row r="5252">
      <c r="A5252" s="6"/>
      <c r="B5252" s="7"/>
      <c r="C5252" s="7"/>
      <c r="D5252" s="7"/>
      <c r="E5252" s="7"/>
      <c r="F5252" s="8"/>
    </row>
    <row r="5253">
      <c r="A5253" s="6"/>
      <c r="B5253" s="7"/>
      <c r="C5253" s="7"/>
      <c r="D5253" s="7"/>
      <c r="E5253" s="7"/>
      <c r="F5253" s="8"/>
    </row>
    <row r="5254">
      <c r="A5254" s="6"/>
      <c r="B5254" s="7"/>
      <c r="C5254" s="7"/>
      <c r="D5254" s="7"/>
      <c r="E5254" s="7"/>
      <c r="F5254" s="8"/>
    </row>
    <row r="5255">
      <c r="A5255" s="6"/>
      <c r="B5255" s="7"/>
      <c r="C5255" s="7"/>
      <c r="D5255" s="7"/>
      <c r="E5255" s="7"/>
      <c r="F5255" s="8"/>
    </row>
    <row r="5256">
      <c r="A5256" s="9" t="s">
        <v>5582</v>
      </c>
      <c r="B5256" s="10"/>
      <c r="C5256" s="10"/>
      <c r="D5256" s="10"/>
      <c r="E5256" s="10"/>
      <c r="F5256" s="10"/>
    </row>
    <row r="5257">
      <c r="A5257" s="19" t="s">
        <v>5583</v>
      </c>
    </row>
    <row r="5258">
      <c r="A5258" s="6"/>
      <c r="B5258" s="7"/>
      <c r="C5258" s="7"/>
      <c r="D5258" s="8"/>
      <c r="E5258" s="12" t="s">
        <v>5584</v>
      </c>
      <c r="F5258" s="12" t="s">
        <v>10054</v>
      </c>
    </row>
    <row r="5259">
      <c r="A5259" s="20" t="s">
        <v>5522</v>
      </c>
      <c r="B5259" s="16" t="s">
        <v>5523</v>
      </c>
      <c r="C5259" s="16" t="s">
        <v>5524</v>
      </c>
      <c r="D5259" s="16" t="s">
        <v>5525</v>
      </c>
      <c r="E5259" s="16" t="s">
        <v>5526</v>
      </c>
      <c r="F5259" s="16" t="s">
        <v>5586</v>
      </c>
    </row>
    <row r="5260">
      <c r="A5260" s="15">
        <v>6.0</v>
      </c>
      <c r="B5260" s="16" t="s">
        <v>10055</v>
      </c>
      <c r="C5260" s="17" t="s">
        <v>10056</v>
      </c>
      <c r="D5260" s="18">
        <v>33.39</v>
      </c>
      <c r="E5260" s="18">
        <v>49.25</v>
      </c>
      <c r="F5260" s="18">
        <v>18.0</v>
      </c>
    </row>
    <row r="5261">
      <c r="A5261" s="15">
        <v>7.0</v>
      </c>
      <c r="B5261" s="16" t="s">
        <v>10057</v>
      </c>
      <c r="C5261" s="17" t="s">
        <v>10056</v>
      </c>
      <c r="D5261" s="18">
        <v>31.19</v>
      </c>
      <c r="E5261" s="18">
        <v>46.0</v>
      </c>
      <c r="F5261" s="18">
        <v>18.0</v>
      </c>
    </row>
    <row r="5262">
      <c r="A5262" s="15">
        <v>8.0</v>
      </c>
      <c r="B5262" s="16" t="s">
        <v>10058</v>
      </c>
      <c r="C5262" s="17" t="s">
        <v>5636</v>
      </c>
      <c r="D5262" s="18">
        <v>270.51</v>
      </c>
      <c r="E5262" s="18">
        <v>399.0</v>
      </c>
      <c r="F5262" s="18">
        <v>18.0</v>
      </c>
    </row>
    <row r="5263">
      <c r="A5263" s="15">
        <v>9.0</v>
      </c>
      <c r="B5263" s="16" t="s">
        <v>4270</v>
      </c>
      <c r="C5263" s="16" t="s">
        <v>5558</v>
      </c>
      <c r="D5263" s="18">
        <v>160.0</v>
      </c>
      <c r="E5263" s="18">
        <v>236.0</v>
      </c>
      <c r="F5263" s="18">
        <v>18.0</v>
      </c>
    </row>
    <row r="5264">
      <c r="A5264" s="15">
        <v>10.0</v>
      </c>
      <c r="B5264" s="16" t="s">
        <v>4271</v>
      </c>
      <c r="C5264" s="16" t="s">
        <v>5679</v>
      </c>
      <c r="D5264" s="18">
        <v>125.0</v>
      </c>
      <c r="E5264" s="18">
        <v>175.0</v>
      </c>
      <c r="F5264" s="18">
        <v>12.0</v>
      </c>
    </row>
    <row r="5265">
      <c r="A5265" s="15">
        <v>11.0</v>
      </c>
      <c r="B5265" s="16" t="s">
        <v>10059</v>
      </c>
      <c r="C5265" s="17" t="s">
        <v>5636</v>
      </c>
      <c r="D5265" s="18">
        <v>368.57</v>
      </c>
      <c r="E5265" s="18">
        <v>516.0</v>
      </c>
      <c r="F5265" s="18">
        <v>12.0</v>
      </c>
    </row>
    <row r="5266">
      <c r="A5266" s="15">
        <v>12.0</v>
      </c>
      <c r="B5266" s="16" t="s">
        <v>10060</v>
      </c>
      <c r="C5266" s="17" t="s">
        <v>5636</v>
      </c>
      <c r="D5266" s="18">
        <v>267.86</v>
      </c>
      <c r="E5266" s="18">
        <v>375.0</v>
      </c>
      <c r="F5266" s="18">
        <v>12.0</v>
      </c>
    </row>
    <row r="5267">
      <c r="A5267" s="15">
        <v>13.0</v>
      </c>
      <c r="B5267" s="16" t="s">
        <v>10061</v>
      </c>
      <c r="C5267" s="17" t="s">
        <v>5536</v>
      </c>
      <c r="D5267" s="18">
        <v>59.43</v>
      </c>
      <c r="E5267" s="18">
        <v>78.0</v>
      </c>
      <c r="F5267" s="18">
        <v>5.0</v>
      </c>
    </row>
    <row r="5268">
      <c r="A5268" s="15">
        <v>14.0</v>
      </c>
      <c r="B5268" s="16" t="s">
        <v>10062</v>
      </c>
      <c r="C5268" s="17" t="s">
        <v>10063</v>
      </c>
      <c r="D5268" s="18">
        <v>202.71</v>
      </c>
      <c r="E5268" s="18">
        <v>299.0</v>
      </c>
      <c r="F5268" s="18">
        <v>18.0</v>
      </c>
    </row>
    <row r="5269">
      <c r="A5269" s="15">
        <v>15.0</v>
      </c>
      <c r="B5269" s="16" t="s">
        <v>10062</v>
      </c>
      <c r="C5269" s="17" t="s">
        <v>10064</v>
      </c>
      <c r="D5269" s="18">
        <v>372.88</v>
      </c>
      <c r="E5269" s="18">
        <v>550.0</v>
      </c>
      <c r="F5269" s="18">
        <v>18.0</v>
      </c>
    </row>
    <row r="5270">
      <c r="A5270" s="15">
        <v>16.0</v>
      </c>
      <c r="B5270" s="16" t="s">
        <v>4277</v>
      </c>
      <c r="C5270" s="16" t="s">
        <v>5679</v>
      </c>
      <c r="D5270" s="18">
        <v>152.02</v>
      </c>
      <c r="E5270" s="18">
        <v>224.0</v>
      </c>
      <c r="F5270" s="18">
        <v>18.0</v>
      </c>
    </row>
    <row r="5271">
      <c r="A5271" s="6"/>
      <c r="B5271" s="7"/>
      <c r="C5271" s="7"/>
      <c r="D5271" s="7"/>
      <c r="E5271" s="7"/>
      <c r="F5271" s="8"/>
    </row>
    <row r="5272">
      <c r="A5272" s="9" t="s">
        <v>10065</v>
      </c>
      <c r="B5272" s="10"/>
      <c r="C5272" s="10"/>
      <c r="D5272" s="10"/>
      <c r="E5272" s="10"/>
      <c r="F5272" s="10"/>
    </row>
    <row r="5273">
      <c r="A5273" s="11">
        <v>1.0</v>
      </c>
      <c r="B5273" s="12" t="s">
        <v>10066</v>
      </c>
      <c r="C5273" s="13" t="s">
        <v>8399</v>
      </c>
      <c r="D5273" s="14">
        <v>866.63</v>
      </c>
      <c r="E5273" s="14">
        <v>1399.0</v>
      </c>
      <c r="F5273" s="14">
        <v>18.0</v>
      </c>
    </row>
    <row r="5274">
      <c r="A5274" s="15">
        <v>2.0</v>
      </c>
      <c r="B5274" s="16" t="s">
        <v>10067</v>
      </c>
      <c r="C5274" s="17" t="s">
        <v>10068</v>
      </c>
      <c r="D5274" s="18">
        <v>338.31</v>
      </c>
      <c r="E5274" s="18">
        <v>499.0</v>
      </c>
      <c r="F5274" s="18">
        <v>18.0</v>
      </c>
    </row>
    <row r="5275">
      <c r="A5275" s="15">
        <v>3.0</v>
      </c>
      <c r="B5275" s="16" t="s">
        <v>10067</v>
      </c>
      <c r="C5275" s="17" t="s">
        <v>10069</v>
      </c>
      <c r="D5275" s="18">
        <v>338.31</v>
      </c>
      <c r="E5275" s="18">
        <v>499.0</v>
      </c>
      <c r="F5275" s="18">
        <v>18.0</v>
      </c>
    </row>
    <row r="5276">
      <c r="A5276" s="15">
        <v>4.0</v>
      </c>
      <c r="B5276" s="16" t="s">
        <v>10067</v>
      </c>
      <c r="C5276" s="17" t="s">
        <v>10070</v>
      </c>
      <c r="D5276" s="18">
        <v>664.41</v>
      </c>
      <c r="E5276" s="18">
        <v>980.0</v>
      </c>
      <c r="F5276" s="18">
        <v>18.0</v>
      </c>
    </row>
    <row r="5277">
      <c r="A5277" s="15">
        <v>5.0</v>
      </c>
      <c r="B5277" s="16" t="s">
        <v>10071</v>
      </c>
      <c r="C5277" s="16" t="s">
        <v>301</v>
      </c>
      <c r="D5277" s="18">
        <v>137.14</v>
      </c>
      <c r="E5277" s="18">
        <v>192.0</v>
      </c>
      <c r="F5277" s="18">
        <v>12.0</v>
      </c>
    </row>
    <row r="5278">
      <c r="A5278" s="15">
        <v>6.0</v>
      </c>
      <c r="B5278" s="16" t="s">
        <v>10072</v>
      </c>
      <c r="C5278" s="17" t="s">
        <v>6452</v>
      </c>
      <c r="D5278" s="18">
        <v>160.71</v>
      </c>
      <c r="E5278" s="18">
        <v>225.0</v>
      </c>
      <c r="F5278" s="18">
        <v>12.0</v>
      </c>
    </row>
    <row r="5279">
      <c r="A5279" s="15">
        <v>7.0</v>
      </c>
      <c r="B5279" s="16" t="s">
        <v>10072</v>
      </c>
      <c r="C5279" s="17" t="s">
        <v>7299</v>
      </c>
      <c r="D5279" s="18">
        <v>221.43</v>
      </c>
      <c r="E5279" s="18">
        <v>310.0</v>
      </c>
      <c r="F5279" s="18">
        <v>12.0</v>
      </c>
    </row>
    <row r="5280">
      <c r="A5280" s="15">
        <v>8.0</v>
      </c>
      <c r="B5280" s="16" t="s">
        <v>10073</v>
      </c>
      <c r="C5280" s="17" t="s">
        <v>5636</v>
      </c>
      <c r="D5280" s="18">
        <v>120.0</v>
      </c>
      <c r="E5280" s="18">
        <v>168.0</v>
      </c>
      <c r="F5280" s="18">
        <v>12.0</v>
      </c>
    </row>
    <row r="5281">
      <c r="A5281" s="15">
        <v>9.0</v>
      </c>
      <c r="B5281" s="16" t="s">
        <v>10074</v>
      </c>
      <c r="C5281" s="17" t="s">
        <v>5636</v>
      </c>
      <c r="D5281" s="18">
        <v>66.43</v>
      </c>
      <c r="E5281" s="18">
        <v>93.0</v>
      </c>
      <c r="F5281" s="18">
        <v>12.0</v>
      </c>
    </row>
    <row r="5282">
      <c r="A5282" s="15">
        <v>10.0</v>
      </c>
      <c r="B5282" s="16" t="s">
        <v>4288</v>
      </c>
      <c r="C5282" s="16" t="s">
        <v>5558</v>
      </c>
      <c r="D5282" s="18">
        <v>123.57</v>
      </c>
      <c r="E5282" s="18">
        <v>173.0</v>
      </c>
      <c r="F5282" s="18">
        <v>12.0</v>
      </c>
    </row>
    <row r="5283">
      <c r="A5283" s="15">
        <v>11.0</v>
      </c>
      <c r="B5283" s="16" t="s">
        <v>10075</v>
      </c>
      <c r="C5283" s="17" t="s">
        <v>10076</v>
      </c>
      <c r="D5283" s="18">
        <v>92.26</v>
      </c>
      <c r="E5283" s="18">
        <v>128.0</v>
      </c>
      <c r="F5283" s="18">
        <v>12.0</v>
      </c>
    </row>
    <row r="5284">
      <c r="A5284" s="15">
        <v>12.0</v>
      </c>
      <c r="B5284" s="16" t="s">
        <v>10077</v>
      </c>
      <c r="C5284" s="16" t="s">
        <v>301</v>
      </c>
      <c r="D5284" s="18">
        <v>90.0</v>
      </c>
      <c r="E5284" s="18">
        <v>126.0</v>
      </c>
      <c r="F5284" s="18">
        <v>12.0</v>
      </c>
    </row>
    <row r="5285">
      <c r="A5285" s="15">
        <v>13.0</v>
      </c>
      <c r="B5285" s="16" t="s">
        <v>10078</v>
      </c>
      <c r="C5285" s="17" t="s">
        <v>5731</v>
      </c>
      <c r="D5285" s="18">
        <v>45.0</v>
      </c>
      <c r="E5285" s="18">
        <v>63.0</v>
      </c>
      <c r="F5285" s="18">
        <v>12.0</v>
      </c>
    </row>
    <row r="5286">
      <c r="A5286" s="15">
        <v>14.0</v>
      </c>
      <c r="B5286" s="16" t="s">
        <v>10079</v>
      </c>
      <c r="C5286" s="17" t="s">
        <v>10080</v>
      </c>
      <c r="D5286" s="18">
        <v>64.29</v>
      </c>
      <c r="E5286" s="18">
        <v>90.0</v>
      </c>
      <c r="F5286" s="18">
        <v>12.0</v>
      </c>
    </row>
    <row r="5287">
      <c r="A5287" s="15">
        <v>15.0</v>
      </c>
      <c r="B5287" s="16" t="s">
        <v>10081</v>
      </c>
      <c r="C5287" s="17" t="s">
        <v>10082</v>
      </c>
      <c r="D5287" s="18">
        <v>211.43</v>
      </c>
      <c r="E5287" s="18">
        <v>296.0</v>
      </c>
      <c r="F5287" s="18">
        <v>12.0</v>
      </c>
    </row>
    <row r="5288">
      <c r="A5288" s="15">
        <v>16.0</v>
      </c>
      <c r="B5288" s="16" t="s">
        <v>10083</v>
      </c>
      <c r="C5288" s="17" t="s">
        <v>5614</v>
      </c>
      <c r="D5288" s="18">
        <v>105.0</v>
      </c>
      <c r="E5288" s="18">
        <v>147.0</v>
      </c>
      <c r="F5288" s="18">
        <v>12.0</v>
      </c>
    </row>
    <row r="5289">
      <c r="A5289" s="15">
        <v>17.0</v>
      </c>
      <c r="B5289" s="16" t="s">
        <v>10083</v>
      </c>
      <c r="C5289" s="17" t="s">
        <v>5899</v>
      </c>
      <c r="D5289" s="18">
        <v>73.57</v>
      </c>
      <c r="E5289" s="18">
        <v>98.0</v>
      </c>
      <c r="F5289" s="18">
        <v>12.0</v>
      </c>
    </row>
    <row r="5290">
      <c r="A5290" s="15">
        <v>18.0</v>
      </c>
      <c r="B5290" s="16" t="s">
        <v>10084</v>
      </c>
      <c r="C5290" s="17" t="s">
        <v>5614</v>
      </c>
      <c r="D5290" s="18">
        <v>189.64</v>
      </c>
      <c r="E5290" s="18">
        <v>265.0</v>
      </c>
      <c r="F5290" s="18">
        <v>12.0</v>
      </c>
    </row>
    <row r="5291">
      <c r="A5291" s="15">
        <v>19.0</v>
      </c>
      <c r="B5291" s="16" t="s">
        <v>10085</v>
      </c>
      <c r="C5291" s="17" t="s">
        <v>5899</v>
      </c>
      <c r="D5291" s="18">
        <v>131.43</v>
      </c>
      <c r="E5291" s="18">
        <v>184.0</v>
      </c>
      <c r="F5291" s="18">
        <v>12.0</v>
      </c>
    </row>
    <row r="5292">
      <c r="A5292" s="15">
        <v>20.0</v>
      </c>
      <c r="B5292" s="16" t="s">
        <v>10086</v>
      </c>
      <c r="C5292" s="17" t="s">
        <v>10087</v>
      </c>
      <c r="D5292" s="18">
        <v>12252.41</v>
      </c>
      <c r="E5292" s="18">
        <v>17000.0</v>
      </c>
      <c r="F5292" s="18">
        <v>12.0</v>
      </c>
    </row>
    <row r="5293">
      <c r="A5293" s="15">
        <v>21.0</v>
      </c>
      <c r="B5293" s="16" t="s">
        <v>10088</v>
      </c>
      <c r="C5293" s="17" t="s">
        <v>9020</v>
      </c>
      <c r="D5293" s="18">
        <v>282.14</v>
      </c>
      <c r="E5293" s="18">
        <v>395.0</v>
      </c>
      <c r="F5293" s="18">
        <v>12.0</v>
      </c>
    </row>
    <row r="5294">
      <c r="A5294" s="15">
        <v>22.0</v>
      </c>
      <c r="B5294" s="16" t="s">
        <v>10089</v>
      </c>
      <c r="C5294" s="17" t="s">
        <v>9020</v>
      </c>
      <c r="D5294" s="18">
        <v>258.93</v>
      </c>
      <c r="E5294" s="18">
        <v>362.5</v>
      </c>
      <c r="F5294" s="18">
        <v>12.0</v>
      </c>
    </row>
    <row r="5295">
      <c r="A5295" s="15">
        <v>23.0</v>
      </c>
      <c r="B5295" s="16" t="s">
        <v>10090</v>
      </c>
      <c r="C5295" s="17" t="s">
        <v>10091</v>
      </c>
      <c r="D5295" s="18">
        <v>386.44</v>
      </c>
      <c r="E5295" s="18">
        <v>570.0</v>
      </c>
      <c r="F5295" s="18">
        <v>18.0</v>
      </c>
    </row>
    <row r="5296">
      <c r="A5296" s="15">
        <v>24.0</v>
      </c>
      <c r="B5296" s="16" t="s">
        <v>10090</v>
      </c>
      <c r="C5296" s="17" t="s">
        <v>10092</v>
      </c>
      <c r="D5296" s="18">
        <v>467.8</v>
      </c>
      <c r="E5296" s="18">
        <v>649.0</v>
      </c>
      <c r="F5296" s="18">
        <v>18.0</v>
      </c>
    </row>
    <row r="5297">
      <c r="A5297" s="15">
        <v>25.0</v>
      </c>
      <c r="B5297" s="16" t="s">
        <v>10090</v>
      </c>
      <c r="C5297" s="17" t="s">
        <v>10093</v>
      </c>
      <c r="D5297" s="18">
        <v>457.63</v>
      </c>
      <c r="E5297" s="18">
        <v>675.0</v>
      </c>
      <c r="F5297" s="18">
        <v>18.0</v>
      </c>
    </row>
    <row r="5298">
      <c r="A5298" s="15">
        <v>26.0</v>
      </c>
      <c r="B5298" s="16" t="s">
        <v>10094</v>
      </c>
      <c r="C5298" s="17" t="s">
        <v>5765</v>
      </c>
      <c r="D5298" s="18">
        <v>112.16</v>
      </c>
      <c r="E5298" s="18">
        <v>154.0</v>
      </c>
      <c r="F5298" s="18">
        <v>12.0</v>
      </c>
    </row>
    <row r="5299">
      <c r="A5299" s="15">
        <v>27.0</v>
      </c>
      <c r="B5299" s="16" t="s">
        <v>10095</v>
      </c>
      <c r="C5299" s="17" t="s">
        <v>5546</v>
      </c>
      <c r="D5299" s="18">
        <v>235.71</v>
      </c>
      <c r="E5299" s="18">
        <v>330.0</v>
      </c>
      <c r="F5299" s="18">
        <v>12.0</v>
      </c>
    </row>
    <row r="5300">
      <c r="A5300" s="15">
        <v>28.0</v>
      </c>
      <c r="B5300" s="16" t="s">
        <v>10096</v>
      </c>
      <c r="C5300" s="17" t="s">
        <v>10097</v>
      </c>
      <c r="D5300" s="18">
        <v>80.1</v>
      </c>
      <c r="E5300" s="18">
        <v>110.0</v>
      </c>
      <c r="F5300" s="18">
        <v>12.0</v>
      </c>
    </row>
    <row r="5301">
      <c r="A5301" s="15">
        <v>29.0</v>
      </c>
      <c r="B5301" s="16" t="s">
        <v>10098</v>
      </c>
      <c r="C5301" s="17" t="s">
        <v>5614</v>
      </c>
      <c r="D5301" s="18">
        <v>137.14</v>
      </c>
      <c r="E5301" s="18">
        <v>192.0</v>
      </c>
      <c r="F5301" s="18">
        <v>12.0</v>
      </c>
    </row>
    <row r="5302">
      <c r="A5302" s="15">
        <v>30.0</v>
      </c>
      <c r="B5302" s="16" t="s">
        <v>10099</v>
      </c>
      <c r="C5302" s="17" t="s">
        <v>5614</v>
      </c>
      <c r="D5302" s="18">
        <v>192.14</v>
      </c>
      <c r="E5302" s="18">
        <v>269.0</v>
      </c>
      <c r="F5302" s="18">
        <v>12.0</v>
      </c>
    </row>
    <row r="5303">
      <c r="A5303" s="15">
        <v>31.0</v>
      </c>
      <c r="B5303" s="16" t="s">
        <v>10100</v>
      </c>
      <c r="C5303" s="17" t="s">
        <v>5614</v>
      </c>
      <c r="D5303" s="18">
        <v>214.29</v>
      </c>
      <c r="E5303" s="18">
        <v>300.0</v>
      </c>
      <c r="F5303" s="18">
        <v>12.0</v>
      </c>
    </row>
    <row r="5304">
      <c r="A5304" s="15">
        <v>32.0</v>
      </c>
      <c r="B5304" s="16" t="s">
        <v>10101</v>
      </c>
      <c r="C5304" s="17" t="s">
        <v>10102</v>
      </c>
      <c r="D5304" s="18">
        <v>170.71</v>
      </c>
      <c r="E5304" s="18">
        <v>239.0</v>
      </c>
      <c r="F5304" s="18">
        <v>12.0</v>
      </c>
    </row>
    <row r="5305">
      <c r="A5305" s="15">
        <v>33.0</v>
      </c>
      <c r="B5305" s="16" t="s">
        <v>10103</v>
      </c>
      <c r="C5305" s="17" t="s">
        <v>6476</v>
      </c>
      <c r="D5305" s="18">
        <v>106.43</v>
      </c>
      <c r="E5305" s="18">
        <v>149.0</v>
      </c>
      <c r="F5305" s="18">
        <v>12.0</v>
      </c>
    </row>
    <row r="5306">
      <c r="A5306" s="15">
        <v>34.0</v>
      </c>
      <c r="B5306" s="16" t="s">
        <v>10104</v>
      </c>
      <c r="C5306" s="17" t="s">
        <v>5536</v>
      </c>
      <c r="D5306" s="18">
        <v>71.1</v>
      </c>
      <c r="E5306" s="18">
        <v>99.54</v>
      </c>
      <c r="F5306" s="18">
        <v>12.0</v>
      </c>
    </row>
    <row r="5307">
      <c r="A5307" s="15">
        <v>35.0</v>
      </c>
      <c r="B5307" s="16" t="s">
        <v>10105</v>
      </c>
      <c r="C5307" s="17" t="s">
        <v>5536</v>
      </c>
      <c r="D5307" s="18">
        <v>33.21</v>
      </c>
      <c r="E5307" s="18">
        <v>46.5</v>
      </c>
      <c r="F5307" s="18">
        <v>12.0</v>
      </c>
    </row>
    <row r="5308">
      <c r="A5308" s="15">
        <v>36.0</v>
      </c>
      <c r="B5308" s="16" t="s">
        <v>10106</v>
      </c>
      <c r="C5308" s="17" t="s">
        <v>5536</v>
      </c>
      <c r="D5308" s="18">
        <v>40.64</v>
      </c>
      <c r="E5308" s="18">
        <v>56.89</v>
      </c>
      <c r="F5308" s="18">
        <v>12.0</v>
      </c>
    </row>
    <row r="5309">
      <c r="A5309" s="6"/>
      <c r="B5309" s="7"/>
      <c r="C5309" s="7"/>
      <c r="D5309" s="7"/>
      <c r="E5309" s="7"/>
      <c r="F5309" s="8"/>
    </row>
    <row r="5310">
      <c r="A5310" s="9" t="s">
        <v>10107</v>
      </c>
      <c r="B5310" s="10"/>
      <c r="C5310" s="10"/>
      <c r="D5310" s="10"/>
      <c r="E5310" s="10"/>
      <c r="F5310" s="10"/>
    </row>
    <row r="5311">
      <c r="A5311" s="11">
        <v>1.0</v>
      </c>
      <c r="B5311" s="12" t="s">
        <v>10108</v>
      </c>
      <c r="C5311" s="13" t="s">
        <v>5562</v>
      </c>
      <c r="D5311" s="14">
        <v>87.86</v>
      </c>
      <c r="E5311" s="14">
        <v>123.0</v>
      </c>
      <c r="F5311" s="14">
        <v>12.0</v>
      </c>
    </row>
    <row r="5312">
      <c r="A5312" s="15">
        <v>2.0</v>
      </c>
      <c r="B5312" s="16" t="s">
        <v>10108</v>
      </c>
      <c r="C5312" s="17" t="s">
        <v>10109</v>
      </c>
      <c r="D5312" s="18">
        <v>124.64</v>
      </c>
      <c r="E5312" s="18">
        <v>174.5</v>
      </c>
      <c r="F5312" s="18">
        <v>12.0</v>
      </c>
    </row>
    <row r="5313">
      <c r="A5313" s="15">
        <v>3.0</v>
      </c>
      <c r="B5313" s="16" t="s">
        <v>10108</v>
      </c>
      <c r="C5313" s="17" t="s">
        <v>10110</v>
      </c>
      <c r="D5313" s="18">
        <v>137.14</v>
      </c>
      <c r="E5313" s="18">
        <v>192.0</v>
      </c>
      <c r="F5313" s="18">
        <v>12.0</v>
      </c>
    </row>
    <row r="5314">
      <c r="A5314" s="15">
        <v>4.0</v>
      </c>
      <c r="B5314" s="16" t="s">
        <v>10111</v>
      </c>
      <c r="C5314" s="17" t="s">
        <v>10112</v>
      </c>
      <c r="D5314" s="18">
        <v>387.86</v>
      </c>
      <c r="E5314" s="18">
        <v>543.0</v>
      </c>
      <c r="F5314" s="18">
        <v>12.0</v>
      </c>
    </row>
    <row r="5315">
      <c r="A5315" s="15">
        <v>5.0</v>
      </c>
      <c r="B5315" s="16" t="s">
        <v>10111</v>
      </c>
      <c r="C5315" s="17" t="s">
        <v>10113</v>
      </c>
      <c r="D5315" s="18">
        <v>234.29</v>
      </c>
      <c r="E5315" s="18">
        <v>328.0</v>
      </c>
      <c r="F5315" s="18">
        <v>12.0</v>
      </c>
    </row>
    <row r="5316">
      <c r="A5316" s="15">
        <v>6.0</v>
      </c>
      <c r="B5316" s="16" t="s">
        <v>10114</v>
      </c>
      <c r="C5316" s="17" t="s">
        <v>10115</v>
      </c>
      <c r="D5316" s="18">
        <v>330.0</v>
      </c>
      <c r="E5316" s="18">
        <v>462.0</v>
      </c>
      <c r="F5316" s="18">
        <v>12.0</v>
      </c>
    </row>
    <row r="5317">
      <c r="A5317" s="15">
        <v>7.0</v>
      </c>
      <c r="B5317" s="16" t="s">
        <v>10114</v>
      </c>
      <c r="C5317" s="17" t="s">
        <v>10116</v>
      </c>
      <c r="D5317" s="18">
        <v>442.86</v>
      </c>
      <c r="E5317" s="18">
        <v>620.0</v>
      </c>
      <c r="F5317" s="18">
        <v>12.0</v>
      </c>
    </row>
    <row r="5318">
      <c r="A5318" s="15">
        <v>8.0</v>
      </c>
      <c r="B5318" s="16" t="s">
        <v>10114</v>
      </c>
      <c r="C5318" s="17" t="s">
        <v>10117</v>
      </c>
      <c r="D5318" s="18">
        <v>234.29</v>
      </c>
      <c r="E5318" s="18">
        <v>328.0</v>
      </c>
      <c r="F5318" s="18">
        <v>12.0</v>
      </c>
    </row>
    <row r="5319">
      <c r="A5319" s="15">
        <v>9.0</v>
      </c>
      <c r="B5319" s="16" t="s">
        <v>10118</v>
      </c>
      <c r="C5319" s="17" t="s">
        <v>6991</v>
      </c>
      <c r="D5319" s="18">
        <v>176.21</v>
      </c>
      <c r="E5319" s="18">
        <v>242.0</v>
      </c>
      <c r="F5319" s="18">
        <v>12.0</v>
      </c>
    </row>
    <row r="5320">
      <c r="A5320" s="15">
        <v>10.0</v>
      </c>
      <c r="B5320" s="16" t="s">
        <v>10119</v>
      </c>
      <c r="C5320" s="17" t="s">
        <v>6991</v>
      </c>
      <c r="D5320" s="18">
        <v>212.36</v>
      </c>
      <c r="E5320" s="18">
        <v>297.31</v>
      </c>
      <c r="F5320" s="18">
        <v>12.0</v>
      </c>
    </row>
    <row r="5321">
      <c r="A5321" s="6"/>
      <c r="B5321" s="7"/>
      <c r="C5321" s="7"/>
      <c r="D5321" s="7"/>
      <c r="E5321" s="8"/>
      <c r="F5321" s="16" t="s">
        <v>10120</v>
      </c>
    </row>
    <row r="5322">
      <c r="A5322" s="6"/>
      <c r="B5322" s="7"/>
      <c r="C5322" s="7"/>
      <c r="D5322" s="7"/>
      <c r="E5322" s="7"/>
      <c r="F5322" s="8"/>
    </row>
    <row r="5323">
      <c r="A5323" s="6"/>
      <c r="B5323" s="7"/>
      <c r="C5323" s="7"/>
      <c r="D5323" s="7"/>
      <c r="E5323" s="7"/>
      <c r="F5323" s="8"/>
    </row>
    <row r="5324">
      <c r="A5324" s="6"/>
      <c r="B5324" s="7"/>
      <c r="C5324" s="7"/>
      <c r="D5324" s="7"/>
      <c r="E5324" s="7"/>
      <c r="F5324" s="8"/>
    </row>
    <row r="5325">
      <c r="A5325" s="6"/>
      <c r="B5325" s="7"/>
      <c r="C5325" s="7"/>
      <c r="D5325" s="7"/>
      <c r="E5325" s="7"/>
      <c r="F5325" s="8"/>
    </row>
    <row r="5326">
      <c r="A5326" s="9" t="s">
        <v>5582</v>
      </c>
      <c r="B5326" s="10"/>
      <c r="C5326" s="10"/>
      <c r="D5326" s="10"/>
      <c r="E5326" s="10"/>
      <c r="F5326" s="10"/>
    </row>
    <row r="5327">
      <c r="A5327" s="19" t="s">
        <v>5583</v>
      </c>
    </row>
    <row r="5328">
      <c r="A5328" s="6"/>
      <c r="B5328" s="7"/>
      <c r="C5328" s="7"/>
      <c r="D5328" s="8"/>
      <c r="E5328" s="12" t="s">
        <v>5584</v>
      </c>
      <c r="F5328" s="12" t="s">
        <v>10121</v>
      </c>
    </row>
    <row r="5329">
      <c r="A5329" s="20" t="s">
        <v>5522</v>
      </c>
      <c r="B5329" s="16" t="s">
        <v>5523</v>
      </c>
      <c r="C5329" s="16" t="s">
        <v>5524</v>
      </c>
      <c r="D5329" s="16" t="s">
        <v>5525</v>
      </c>
      <c r="E5329" s="16" t="s">
        <v>5526</v>
      </c>
      <c r="F5329" s="16" t="s">
        <v>5586</v>
      </c>
    </row>
    <row r="5330">
      <c r="A5330" s="15">
        <v>11.0</v>
      </c>
      <c r="B5330" s="16" t="s">
        <v>10119</v>
      </c>
      <c r="C5330" s="17" t="s">
        <v>10122</v>
      </c>
      <c r="D5330" s="18">
        <v>120.48</v>
      </c>
      <c r="E5330" s="18">
        <v>168.67</v>
      </c>
      <c r="F5330" s="18">
        <v>12.0</v>
      </c>
    </row>
    <row r="5331">
      <c r="A5331" s="15">
        <v>12.0</v>
      </c>
      <c r="B5331" s="16" t="s">
        <v>10123</v>
      </c>
      <c r="C5331" s="17" t="s">
        <v>10112</v>
      </c>
      <c r="D5331" s="18">
        <v>285.53</v>
      </c>
      <c r="E5331" s="18">
        <v>359.62</v>
      </c>
      <c r="F5331" s="18">
        <v>12.0</v>
      </c>
    </row>
    <row r="5332">
      <c r="A5332" s="15">
        <v>13.0</v>
      </c>
      <c r="B5332" s="16" t="s">
        <v>10123</v>
      </c>
      <c r="C5332" s="17" t="s">
        <v>10122</v>
      </c>
      <c r="D5332" s="18">
        <v>153.95</v>
      </c>
      <c r="E5332" s="18">
        <v>215.53</v>
      </c>
      <c r="F5332" s="18">
        <v>12.0</v>
      </c>
    </row>
    <row r="5333">
      <c r="A5333" s="15">
        <v>14.0</v>
      </c>
      <c r="B5333" s="16" t="s">
        <v>10124</v>
      </c>
      <c r="C5333" s="17" t="s">
        <v>5536</v>
      </c>
      <c r="D5333" s="18">
        <v>129.29</v>
      </c>
      <c r="E5333" s="18">
        <v>181.0</v>
      </c>
      <c r="F5333" s="18">
        <v>12.0</v>
      </c>
    </row>
    <row r="5334">
      <c r="A5334" s="15">
        <v>15.0</v>
      </c>
      <c r="B5334" s="16" t="s">
        <v>10125</v>
      </c>
      <c r="C5334" s="17" t="s">
        <v>5636</v>
      </c>
      <c r="D5334" s="18">
        <v>78.57</v>
      </c>
      <c r="E5334" s="18">
        <v>110.0</v>
      </c>
      <c r="F5334" s="18">
        <v>12.0</v>
      </c>
    </row>
    <row r="5335">
      <c r="A5335" s="15">
        <v>16.0</v>
      </c>
      <c r="B5335" s="16" t="s">
        <v>10126</v>
      </c>
      <c r="C5335" s="17" t="s">
        <v>5636</v>
      </c>
      <c r="D5335" s="18">
        <v>147.86</v>
      </c>
      <c r="E5335" s="18">
        <v>207.0</v>
      </c>
      <c r="F5335" s="18">
        <v>12.0</v>
      </c>
    </row>
    <row r="5336">
      <c r="A5336" s="15">
        <v>17.0</v>
      </c>
      <c r="B5336" s="16" t="s">
        <v>10127</v>
      </c>
      <c r="C5336" s="17" t="s">
        <v>5636</v>
      </c>
      <c r="D5336" s="18">
        <v>125.0</v>
      </c>
      <c r="E5336" s="18">
        <v>175.0</v>
      </c>
      <c r="F5336" s="18">
        <v>12.0</v>
      </c>
    </row>
    <row r="5337">
      <c r="A5337" s="15">
        <v>18.0</v>
      </c>
      <c r="B5337" s="16" t="s">
        <v>10128</v>
      </c>
      <c r="C5337" s="17" t="s">
        <v>8489</v>
      </c>
      <c r="D5337" s="18">
        <v>70.36</v>
      </c>
      <c r="E5337" s="18">
        <v>98.5</v>
      </c>
      <c r="F5337" s="18">
        <v>12.0</v>
      </c>
    </row>
    <row r="5338">
      <c r="A5338" s="15">
        <v>19.0</v>
      </c>
      <c r="B5338" s="16" t="s">
        <v>10128</v>
      </c>
      <c r="C5338" s="17" t="s">
        <v>6417</v>
      </c>
      <c r="D5338" s="18">
        <v>69.64</v>
      </c>
      <c r="E5338" s="18">
        <v>89.0</v>
      </c>
      <c r="F5338" s="18">
        <v>12.0</v>
      </c>
    </row>
    <row r="5339">
      <c r="A5339" s="15">
        <v>20.0</v>
      </c>
      <c r="B5339" s="16" t="s">
        <v>10128</v>
      </c>
      <c r="C5339" s="17" t="s">
        <v>5636</v>
      </c>
      <c r="D5339" s="18">
        <v>116.79</v>
      </c>
      <c r="E5339" s="18">
        <v>163.5</v>
      </c>
      <c r="F5339" s="18">
        <v>12.0</v>
      </c>
    </row>
    <row r="5340">
      <c r="A5340" s="15">
        <v>21.0</v>
      </c>
      <c r="B5340" s="16" t="s">
        <v>10129</v>
      </c>
      <c r="C5340" s="17" t="s">
        <v>10130</v>
      </c>
      <c r="D5340" s="18">
        <v>250.0</v>
      </c>
      <c r="E5340" s="18">
        <v>350.0</v>
      </c>
      <c r="F5340" s="18">
        <v>12.0</v>
      </c>
    </row>
    <row r="5341">
      <c r="A5341" s="15">
        <v>22.0</v>
      </c>
      <c r="B5341" s="16" t="s">
        <v>10131</v>
      </c>
      <c r="C5341" s="17" t="s">
        <v>10132</v>
      </c>
      <c r="D5341" s="18">
        <v>205.36</v>
      </c>
      <c r="E5341" s="18">
        <v>287.5</v>
      </c>
      <c r="F5341" s="18">
        <v>12.0</v>
      </c>
    </row>
    <row r="5342">
      <c r="A5342" s="15">
        <v>23.0</v>
      </c>
      <c r="B5342" s="16" t="s">
        <v>10133</v>
      </c>
      <c r="C5342" s="17" t="s">
        <v>10132</v>
      </c>
      <c r="D5342" s="18">
        <v>223.57</v>
      </c>
      <c r="E5342" s="18">
        <v>313.0</v>
      </c>
      <c r="F5342" s="18">
        <v>12.0</v>
      </c>
    </row>
    <row r="5343">
      <c r="A5343" s="15">
        <v>24.0</v>
      </c>
      <c r="B5343" s="16" t="s">
        <v>10134</v>
      </c>
      <c r="C5343" s="17" t="s">
        <v>10135</v>
      </c>
      <c r="D5343" s="18">
        <v>147.86</v>
      </c>
      <c r="E5343" s="18">
        <v>207.0</v>
      </c>
      <c r="F5343" s="18">
        <v>12.0</v>
      </c>
    </row>
    <row r="5344">
      <c r="A5344" s="15">
        <v>25.0</v>
      </c>
      <c r="B5344" s="16" t="s">
        <v>10136</v>
      </c>
      <c r="C5344" s="17" t="s">
        <v>5636</v>
      </c>
      <c r="D5344" s="18">
        <v>141.36</v>
      </c>
      <c r="E5344" s="18">
        <v>208.5</v>
      </c>
      <c r="F5344" s="18">
        <v>18.0</v>
      </c>
    </row>
    <row r="5345">
      <c r="A5345" s="15">
        <v>26.0</v>
      </c>
      <c r="B5345" s="16" t="s">
        <v>4340</v>
      </c>
      <c r="C5345" s="16" t="s">
        <v>5558</v>
      </c>
      <c r="D5345" s="18">
        <v>61.92</v>
      </c>
      <c r="E5345" s="18">
        <v>85.0</v>
      </c>
      <c r="F5345" s="18">
        <v>12.0</v>
      </c>
    </row>
    <row r="5346">
      <c r="A5346" s="15">
        <v>27.0</v>
      </c>
      <c r="B5346" s="16" t="s">
        <v>10137</v>
      </c>
      <c r="C5346" s="16" t="s">
        <v>10138</v>
      </c>
      <c r="D5346" s="18">
        <v>213.36</v>
      </c>
      <c r="E5346" s="18">
        <v>290.0</v>
      </c>
      <c r="F5346" s="18">
        <v>12.0</v>
      </c>
    </row>
    <row r="5347">
      <c r="A5347" s="15">
        <v>28.0</v>
      </c>
      <c r="B5347" s="16" t="s">
        <v>10139</v>
      </c>
      <c r="C5347" s="17" t="s">
        <v>5536</v>
      </c>
      <c r="D5347" s="18">
        <v>77.5</v>
      </c>
      <c r="E5347" s="18">
        <v>108.5</v>
      </c>
      <c r="F5347" s="18">
        <v>12.0</v>
      </c>
    </row>
    <row r="5348">
      <c r="A5348" s="15">
        <v>29.0</v>
      </c>
      <c r="B5348" s="16" t="s">
        <v>10140</v>
      </c>
      <c r="C5348" s="17" t="s">
        <v>8248</v>
      </c>
      <c r="D5348" s="18">
        <v>198.1</v>
      </c>
      <c r="E5348" s="18">
        <v>272.0</v>
      </c>
      <c r="F5348" s="18">
        <v>12.0</v>
      </c>
    </row>
    <row r="5349">
      <c r="A5349" s="15">
        <v>30.0</v>
      </c>
      <c r="B5349" s="16" t="s">
        <v>10141</v>
      </c>
      <c r="C5349" s="17" t="s">
        <v>10142</v>
      </c>
      <c r="D5349" s="18">
        <v>235.55</v>
      </c>
      <c r="E5349" s="18">
        <v>323.5</v>
      </c>
      <c r="F5349" s="18">
        <v>12.0</v>
      </c>
    </row>
    <row r="5350">
      <c r="A5350" s="6"/>
      <c r="B5350" s="7"/>
      <c r="C5350" s="7"/>
      <c r="D5350" s="7"/>
      <c r="E5350" s="7"/>
      <c r="F5350" s="8"/>
    </row>
    <row r="5351">
      <c r="A5351" s="9" t="s">
        <v>10143</v>
      </c>
      <c r="B5351" s="10"/>
      <c r="C5351" s="10"/>
      <c r="D5351" s="10"/>
      <c r="E5351" s="10"/>
      <c r="F5351" s="10"/>
    </row>
    <row r="5352">
      <c r="A5352" s="11">
        <v>1.0</v>
      </c>
      <c r="B5352" s="12" t="s">
        <v>4345</v>
      </c>
      <c r="C5352" s="12" t="s">
        <v>5558</v>
      </c>
      <c r="D5352" s="14">
        <v>90.0</v>
      </c>
      <c r="E5352" s="14">
        <v>126.0</v>
      </c>
      <c r="F5352" s="14">
        <v>12.0</v>
      </c>
    </row>
    <row r="5353">
      <c r="A5353" s="15">
        <v>2.0</v>
      </c>
      <c r="B5353" s="16" t="s">
        <v>10144</v>
      </c>
      <c r="C5353" s="17" t="s">
        <v>5536</v>
      </c>
      <c r="D5353" s="18">
        <v>68.57</v>
      </c>
      <c r="E5353" s="18">
        <v>96.0</v>
      </c>
      <c r="F5353" s="18">
        <v>12.0</v>
      </c>
    </row>
    <row r="5354">
      <c r="A5354" s="15">
        <v>3.0</v>
      </c>
      <c r="B5354" s="16" t="s">
        <v>10145</v>
      </c>
      <c r="C5354" s="17" t="s">
        <v>5636</v>
      </c>
      <c r="D5354" s="18">
        <v>283.43</v>
      </c>
      <c r="E5354" s="18">
        <v>372.0</v>
      </c>
      <c r="F5354" s="18">
        <v>5.0</v>
      </c>
    </row>
    <row r="5355">
      <c r="A5355" s="15">
        <v>4.0</v>
      </c>
      <c r="B5355" s="16" t="s">
        <v>10146</v>
      </c>
      <c r="C5355" s="17" t="s">
        <v>5636</v>
      </c>
      <c r="D5355" s="18">
        <v>121.14</v>
      </c>
      <c r="E5355" s="18">
        <v>159.0</v>
      </c>
      <c r="F5355" s="18">
        <v>5.0</v>
      </c>
    </row>
    <row r="5356">
      <c r="A5356" s="15">
        <v>5.0</v>
      </c>
      <c r="B5356" s="16" t="s">
        <v>10147</v>
      </c>
      <c r="C5356" s="17" t="s">
        <v>5536</v>
      </c>
      <c r="D5356" s="18">
        <v>90.0</v>
      </c>
      <c r="E5356" s="18">
        <v>126.0</v>
      </c>
      <c r="F5356" s="18">
        <v>12.0</v>
      </c>
    </row>
    <row r="5357">
      <c r="A5357" s="15">
        <v>6.0</v>
      </c>
      <c r="B5357" s="16" t="s">
        <v>10148</v>
      </c>
      <c r="C5357" s="17" t="s">
        <v>5536</v>
      </c>
      <c r="D5357" s="18">
        <v>52.5</v>
      </c>
      <c r="E5357" s="18">
        <v>73.5</v>
      </c>
      <c r="F5357" s="18">
        <v>12.0</v>
      </c>
    </row>
    <row r="5358">
      <c r="A5358" s="15">
        <v>7.0</v>
      </c>
      <c r="B5358" s="16" t="s">
        <v>10149</v>
      </c>
      <c r="C5358" s="17" t="s">
        <v>5632</v>
      </c>
      <c r="D5358" s="18">
        <v>188.21</v>
      </c>
      <c r="E5358" s="18">
        <v>263.5</v>
      </c>
      <c r="F5358" s="18">
        <v>12.0</v>
      </c>
    </row>
    <row r="5359">
      <c r="A5359" s="15">
        <v>8.0</v>
      </c>
      <c r="B5359" s="16" t="s">
        <v>10150</v>
      </c>
      <c r="C5359" s="17" t="s">
        <v>5614</v>
      </c>
      <c r="D5359" s="18">
        <v>58.57</v>
      </c>
      <c r="E5359" s="18">
        <v>82.0</v>
      </c>
      <c r="F5359" s="18">
        <v>12.0</v>
      </c>
    </row>
    <row r="5360">
      <c r="A5360" s="15">
        <v>9.0</v>
      </c>
      <c r="B5360" s="16" t="s">
        <v>10151</v>
      </c>
      <c r="C5360" s="17" t="s">
        <v>5614</v>
      </c>
      <c r="D5360" s="18">
        <v>107.14</v>
      </c>
      <c r="E5360" s="18">
        <v>150.0</v>
      </c>
      <c r="F5360" s="18">
        <v>12.0</v>
      </c>
    </row>
    <row r="5361">
      <c r="A5361" s="15">
        <v>10.0</v>
      </c>
      <c r="B5361" s="16" t="s">
        <v>10152</v>
      </c>
      <c r="C5361" s="17" t="s">
        <v>5966</v>
      </c>
      <c r="D5361" s="18">
        <v>185.71</v>
      </c>
      <c r="E5361" s="18">
        <v>260.0</v>
      </c>
      <c r="F5361" s="18">
        <v>12.0</v>
      </c>
    </row>
    <row r="5362">
      <c r="A5362" s="15">
        <v>11.0</v>
      </c>
      <c r="B5362" s="16" t="s">
        <v>10152</v>
      </c>
      <c r="C5362" s="17" t="s">
        <v>5532</v>
      </c>
      <c r="D5362" s="18">
        <v>110.71</v>
      </c>
      <c r="E5362" s="18">
        <v>155.0</v>
      </c>
      <c r="F5362" s="18">
        <v>12.0</v>
      </c>
    </row>
    <row r="5363">
      <c r="A5363" s="15">
        <v>12.0</v>
      </c>
      <c r="B5363" s="16" t="s">
        <v>10153</v>
      </c>
      <c r="C5363" s="17" t="s">
        <v>5632</v>
      </c>
      <c r="D5363" s="18">
        <v>184.29</v>
      </c>
      <c r="E5363" s="18">
        <v>258.0</v>
      </c>
      <c r="F5363" s="18">
        <v>12.0</v>
      </c>
    </row>
    <row r="5364">
      <c r="A5364" s="15">
        <v>13.0</v>
      </c>
      <c r="B5364" s="16" t="s">
        <v>10153</v>
      </c>
      <c r="C5364" s="17" t="s">
        <v>5669</v>
      </c>
      <c r="D5364" s="18">
        <v>58.24</v>
      </c>
      <c r="E5364" s="18">
        <v>80.0</v>
      </c>
      <c r="F5364" s="18">
        <v>12.0</v>
      </c>
    </row>
    <row r="5365">
      <c r="A5365" s="15">
        <v>14.0</v>
      </c>
      <c r="B5365" s="16" t="s">
        <v>10153</v>
      </c>
      <c r="C5365" s="17" t="s">
        <v>5633</v>
      </c>
      <c r="D5365" s="18">
        <v>100.0</v>
      </c>
      <c r="E5365" s="18">
        <v>140.0</v>
      </c>
      <c r="F5365" s="18">
        <v>12.0</v>
      </c>
    </row>
    <row r="5366">
      <c r="A5366" s="15">
        <v>15.0</v>
      </c>
      <c r="B5366" s="16" t="s">
        <v>10153</v>
      </c>
      <c r="C5366" s="17" t="s">
        <v>10154</v>
      </c>
      <c r="D5366" s="18">
        <v>141.29</v>
      </c>
      <c r="E5366" s="18">
        <v>194.0</v>
      </c>
      <c r="F5366" s="18">
        <v>12.0</v>
      </c>
    </row>
    <row r="5367">
      <c r="A5367" s="15">
        <v>16.0</v>
      </c>
      <c r="B5367" s="16" t="s">
        <v>10153</v>
      </c>
      <c r="C5367" s="17" t="s">
        <v>10155</v>
      </c>
      <c r="D5367" s="18">
        <v>103.57</v>
      </c>
      <c r="E5367" s="18">
        <v>145.0</v>
      </c>
      <c r="F5367" s="18">
        <v>12.0</v>
      </c>
    </row>
    <row r="5368">
      <c r="A5368" s="15">
        <v>17.0</v>
      </c>
      <c r="B5368" s="16" t="s">
        <v>10156</v>
      </c>
      <c r="C5368" s="17" t="s">
        <v>5636</v>
      </c>
      <c r="D5368" s="18">
        <v>135.0</v>
      </c>
      <c r="E5368" s="18">
        <v>189.0</v>
      </c>
      <c r="F5368" s="18">
        <v>12.0</v>
      </c>
    </row>
    <row r="5369">
      <c r="A5369" s="15">
        <v>18.0</v>
      </c>
      <c r="B5369" s="16" t="s">
        <v>10157</v>
      </c>
      <c r="C5369" s="17" t="s">
        <v>5536</v>
      </c>
      <c r="D5369" s="18">
        <v>57.14</v>
      </c>
      <c r="E5369" s="18">
        <v>80.0</v>
      </c>
      <c r="F5369" s="18">
        <v>12.0</v>
      </c>
    </row>
    <row r="5370">
      <c r="A5370" s="15">
        <v>19.0</v>
      </c>
      <c r="B5370" s="16" t="s">
        <v>10158</v>
      </c>
      <c r="C5370" s="17" t="s">
        <v>5536</v>
      </c>
      <c r="D5370" s="18">
        <v>24.29</v>
      </c>
      <c r="E5370" s="18">
        <v>34.0</v>
      </c>
      <c r="F5370" s="18">
        <v>12.0</v>
      </c>
    </row>
    <row r="5371">
      <c r="A5371" s="15">
        <v>20.0</v>
      </c>
      <c r="B5371" s="16" t="s">
        <v>10159</v>
      </c>
      <c r="C5371" s="17" t="s">
        <v>5636</v>
      </c>
      <c r="D5371" s="18">
        <v>31.07</v>
      </c>
      <c r="E5371" s="18">
        <v>43.5</v>
      </c>
      <c r="F5371" s="18">
        <v>12.0</v>
      </c>
    </row>
    <row r="5372">
      <c r="A5372" s="15">
        <v>21.0</v>
      </c>
      <c r="B5372" s="16" t="s">
        <v>10160</v>
      </c>
      <c r="C5372" s="17" t="s">
        <v>5536</v>
      </c>
      <c r="D5372" s="18">
        <v>56.43</v>
      </c>
      <c r="E5372" s="18">
        <v>79.0</v>
      </c>
      <c r="F5372" s="18">
        <v>12.0</v>
      </c>
    </row>
    <row r="5373">
      <c r="A5373" s="15">
        <v>22.0</v>
      </c>
      <c r="B5373" s="16" t="s">
        <v>10161</v>
      </c>
      <c r="C5373" s="17" t="s">
        <v>5788</v>
      </c>
      <c r="D5373" s="18">
        <v>110.0</v>
      </c>
      <c r="E5373" s="18">
        <v>154.0</v>
      </c>
      <c r="F5373" s="18">
        <v>12.0</v>
      </c>
    </row>
    <row r="5374">
      <c r="A5374" s="15">
        <v>23.0</v>
      </c>
      <c r="B5374" s="16" t="s">
        <v>10161</v>
      </c>
      <c r="C5374" s="17" t="s">
        <v>10162</v>
      </c>
      <c r="D5374" s="18">
        <v>42.25</v>
      </c>
      <c r="E5374" s="18">
        <v>58.0</v>
      </c>
      <c r="F5374" s="18">
        <v>12.0</v>
      </c>
    </row>
    <row r="5375">
      <c r="A5375" s="15">
        <v>24.0</v>
      </c>
      <c r="B5375" s="16" t="s">
        <v>10163</v>
      </c>
      <c r="C5375" s="17" t="s">
        <v>5636</v>
      </c>
      <c r="D5375" s="18">
        <v>70.0</v>
      </c>
      <c r="E5375" s="18">
        <v>98.0</v>
      </c>
      <c r="F5375" s="18">
        <v>12.0</v>
      </c>
    </row>
    <row r="5376">
      <c r="A5376" s="15">
        <v>25.0</v>
      </c>
      <c r="B5376" s="16" t="s">
        <v>10164</v>
      </c>
      <c r="C5376" s="17" t="s">
        <v>5653</v>
      </c>
      <c r="D5376" s="18">
        <v>57.14</v>
      </c>
      <c r="E5376" s="18">
        <v>80.0</v>
      </c>
      <c r="F5376" s="18">
        <v>12.0</v>
      </c>
    </row>
    <row r="5377">
      <c r="A5377" s="15">
        <v>26.0</v>
      </c>
      <c r="B5377" s="16" t="s">
        <v>10164</v>
      </c>
      <c r="C5377" s="17" t="s">
        <v>6114</v>
      </c>
      <c r="D5377" s="18">
        <v>102.86</v>
      </c>
      <c r="E5377" s="18">
        <v>144.0</v>
      </c>
      <c r="F5377" s="18">
        <v>12.0</v>
      </c>
    </row>
    <row r="5378">
      <c r="A5378" s="15">
        <v>27.0</v>
      </c>
      <c r="B5378" s="16" t="s">
        <v>10164</v>
      </c>
      <c r="C5378" s="17" t="s">
        <v>5654</v>
      </c>
      <c r="D5378" s="18">
        <v>130.71</v>
      </c>
      <c r="E5378" s="18">
        <v>183.0</v>
      </c>
      <c r="F5378" s="18">
        <v>12.0</v>
      </c>
    </row>
    <row r="5379">
      <c r="A5379" s="15">
        <v>28.0</v>
      </c>
      <c r="B5379" s="16" t="s">
        <v>10165</v>
      </c>
      <c r="C5379" s="17" t="s">
        <v>5536</v>
      </c>
      <c r="D5379" s="18">
        <v>31.07</v>
      </c>
      <c r="E5379" s="18">
        <v>43.5</v>
      </c>
      <c r="F5379" s="18">
        <v>12.0</v>
      </c>
    </row>
    <row r="5380">
      <c r="A5380" s="15">
        <v>29.0</v>
      </c>
      <c r="B5380" s="16" t="s">
        <v>10166</v>
      </c>
      <c r="C5380" s="17" t="s">
        <v>5536</v>
      </c>
      <c r="D5380" s="18">
        <v>43.93</v>
      </c>
      <c r="E5380" s="18">
        <v>61.5</v>
      </c>
      <c r="F5380" s="18">
        <v>12.0</v>
      </c>
    </row>
    <row r="5381">
      <c r="A5381" s="15">
        <v>30.0</v>
      </c>
      <c r="B5381" s="16" t="s">
        <v>10167</v>
      </c>
      <c r="C5381" s="17" t="s">
        <v>5536</v>
      </c>
      <c r="D5381" s="18">
        <v>63.21</v>
      </c>
      <c r="E5381" s="18">
        <v>88.5</v>
      </c>
      <c r="F5381" s="18">
        <v>12.0</v>
      </c>
    </row>
    <row r="5382">
      <c r="A5382" s="15">
        <v>31.0</v>
      </c>
      <c r="B5382" s="16" t="s">
        <v>10168</v>
      </c>
      <c r="C5382" s="17" t="s">
        <v>5636</v>
      </c>
      <c r="D5382" s="18">
        <v>97.86</v>
      </c>
      <c r="E5382" s="18">
        <v>137.0</v>
      </c>
      <c r="F5382" s="18">
        <v>12.0</v>
      </c>
    </row>
    <row r="5383">
      <c r="A5383" s="15">
        <v>32.0</v>
      </c>
      <c r="B5383" s="16" t="s">
        <v>10169</v>
      </c>
      <c r="C5383" s="17" t="s">
        <v>5636</v>
      </c>
      <c r="D5383" s="18">
        <v>141.07</v>
      </c>
      <c r="E5383" s="18">
        <v>197.5</v>
      </c>
      <c r="F5383" s="18">
        <v>12.0</v>
      </c>
    </row>
    <row r="5384">
      <c r="A5384" s="15">
        <v>33.0</v>
      </c>
      <c r="B5384" s="16" t="s">
        <v>10170</v>
      </c>
      <c r="C5384" s="17" t="s">
        <v>5536</v>
      </c>
      <c r="D5384" s="18">
        <v>101.79</v>
      </c>
      <c r="E5384" s="18">
        <v>142.5</v>
      </c>
      <c r="F5384" s="18">
        <v>12.0</v>
      </c>
    </row>
    <row r="5385">
      <c r="A5385" s="15">
        <v>34.0</v>
      </c>
      <c r="B5385" s="16" t="s">
        <v>10171</v>
      </c>
      <c r="C5385" s="17" t="s">
        <v>5536</v>
      </c>
      <c r="D5385" s="18">
        <v>152.86</v>
      </c>
      <c r="E5385" s="18">
        <v>214.0</v>
      </c>
      <c r="F5385" s="18">
        <v>12.0</v>
      </c>
    </row>
    <row r="5386">
      <c r="A5386" s="15">
        <v>35.0</v>
      </c>
      <c r="B5386" s="16" t="s">
        <v>10172</v>
      </c>
      <c r="C5386" s="17" t="s">
        <v>10173</v>
      </c>
      <c r="D5386" s="18">
        <v>75.0</v>
      </c>
      <c r="E5386" s="18">
        <v>103.0</v>
      </c>
      <c r="F5386" s="18">
        <v>12.0</v>
      </c>
    </row>
    <row r="5387">
      <c r="A5387" s="15">
        <v>36.0</v>
      </c>
      <c r="B5387" s="16" t="s">
        <v>10174</v>
      </c>
      <c r="C5387" s="17" t="s">
        <v>5536</v>
      </c>
      <c r="D5387" s="18">
        <v>419.28</v>
      </c>
      <c r="E5387" s="18">
        <v>539.0</v>
      </c>
      <c r="F5387" s="18">
        <v>12.0</v>
      </c>
    </row>
    <row r="5388">
      <c r="A5388" s="15">
        <v>37.0</v>
      </c>
      <c r="B5388" s="16" t="s">
        <v>10175</v>
      </c>
      <c r="C5388" s="17" t="s">
        <v>10176</v>
      </c>
      <c r="D5388" s="18">
        <v>191.49</v>
      </c>
      <c r="E5388" s="18">
        <v>263.0</v>
      </c>
      <c r="F5388" s="18">
        <v>12.0</v>
      </c>
    </row>
    <row r="5389">
      <c r="A5389" s="15">
        <v>38.0</v>
      </c>
      <c r="B5389" s="16" t="s">
        <v>10175</v>
      </c>
      <c r="C5389" s="17" t="s">
        <v>5657</v>
      </c>
      <c r="D5389" s="18">
        <v>484.64</v>
      </c>
      <c r="E5389" s="18">
        <v>678.5</v>
      </c>
      <c r="F5389" s="18">
        <v>12.0</v>
      </c>
    </row>
    <row r="5390">
      <c r="A5390" s="15">
        <v>39.0</v>
      </c>
      <c r="B5390" s="16" t="s">
        <v>10177</v>
      </c>
      <c r="C5390" s="17" t="s">
        <v>6749</v>
      </c>
      <c r="D5390" s="18">
        <v>26.06</v>
      </c>
      <c r="E5390" s="18">
        <v>36.48</v>
      </c>
      <c r="F5390" s="18">
        <v>12.0</v>
      </c>
    </row>
    <row r="5391">
      <c r="A5391" s="6"/>
      <c r="B5391" s="7"/>
      <c r="C5391" s="7"/>
      <c r="D5391" s="7"/>
      <c r="E5391" s="8"/>
      <c r="F5391" s="16" t="s">
        <v>10178</v>
      </c>
    </row>
    <row r="5392">
      <c r="A5392" s="6"/>
      <c r="B5392" s="7"/>
      <c r="C5392" s="7"/>
      <c r="D5392" s="7"/>
      <c r="E5392" s="7"/>
      <c r="F5392" s="8"/>
    </row>
    <row r="5393">
      <c r="A5393" s="6"/>
      <c r="B5393" s="7"/>
      <c r="C5393" s="7"/>
      <c r="D5393" s="7"/>
      <c r="E5393" s="7"/>
      <c r="F5393" s="8"/>
    </row>
    <row r="5394">
      <c r="A5394" s="6"/>
      <c r="B5394" s="7"/>
      <c r="C5394" s="7"/>
      <c r="D5394" s="7"/>
      <c r="E5394" s="7"/>
      <c r="F5394" s="8"/>
    </row>
    <row r="5395">
      <c r="A5395" s="6"/>
      <c r="B5395" s="7"/>
      <c r="C5395" s="7"/>
      <c r="D5395" s="7"/>
      <c r="E5395" s="7"/>
      <c r="F5395" s="8"/>
    </row>
    <row r="5396">
      <c r="A5396" s="9" t="s">
        <v>5582</v>
      </c>
      <c r="B5396" s="10"/>
      <c r="C5396" s="10"/>
      <c r="D5396" s="10"/>
      <c r="E5396" s="10"/>
      <c r="F5396" s="10"/>
    </row>
    <row r="5397">
      <c r="A5397" s="19" t="s">
        <v>5583</v>
      </c>
    </row>
    <row r="5398">
      <c r="A5398" s="6"/>
      <c r="B5398" s="7"/>
      <c r="C5398" s="7"/>
      <c r="D5398" s="8"/>
      <c r="E5398" s="12" t="s">
        <v>5584</v>
      </c>
      <c r="F5398" s="12" t="s">
        <v>10179</v>
      </c>
    </row>
    <row r="5399">
      <c r="A5399" s="20" t="s">
        <v>5522</v>
      </c>
      <c r="B5399" s="16" t="s">
        <v>5523</v>
      </c>
      <c r="C5399" s="16" t="s">
        <v>5524</v>
      </c>
      <c r="D5399" s="16" t="s">
        <v>5525</v>
      </c>
      <c r="E5399" s="16" t="s">
        <v>5526</v>
      </c>
      <c r="F5399" s="16" t="s">
        <v>5586</v>
      </c>
    </row>
    <row r="5400">
      <c r="A5400" s="15">
        <v>40.0</v>
      </c>
      <c r="B5400" s="16" t="s">
        <v>10180</v>
      </c>
      <c r="C5400" s="17" t="s">
        <v>6749</v>
      </c>
      <c r="D5400" s="18">
        <v>41.1</v>
      </c>
      <c r="E5400" s="18">
        <v>57.54</v>
      </c>
      <c r="F5400" s="18">
        <v>12.0</v>
      </c>
    </row>
    <row r="5401">
      <c r="A5401" s="15">
        <v>41.0</v>
      </c>
      <c r="B5401" s="16" t="s">
        <v>10181</v>
      </c>
      <c r="C5401" s="17" t="s">
        <v>5536</v>
      </c>
      <c r="D5401" s="18">
        <v>41.43</v>
      </c>
      <c r="E5401" s="18">
        <v>58.0</v>
      </c>
      <c r="F5401" s="18">
        <v>12.0</v>
      </c>
    </row>
    <row r="5402">
      <c r="A5402" s="15">
        <v>42.0</v>
      </c>
      <c r="B5402" s="16" t="s">
        <v>10182</v>
      </c>
      <c r="C5402" s="17" t="s">
        <v>6367</v>
      </c>
      <c r="D5402" s="18">
        <v>109.64</v>
      </c>
      <c r="E5402" s="18">
        <v>153.5</v>
      </c>
      <c r="F5402" s="18">
        <v>12.0</v>
      </c>
    </row>
    <row r="5403">
      <c r="A5403" s="15">
        <v>43.0</v>
      </c>
      <c r="B5403" s="16" t="s">
        <v>10182</v>
      </c>
      <c r="C5403" s="17" t="s">
        <v>10183</v>
      </c>
      <c r="D5403" s="18">
        <v>127.56</v>
      </c>
      <c r="E5403" s="18">
        <v>177.0</v>
      </c>
      <c r="F5403" s="18">
        <v>12.0</v>
      </c>
    </row>
    <row r="5404">
      <c r="A5404" s="15">
        <v>44.0</v>
      </c>
      <c r="B5404" s="16" t="s">
        <v>10182</v>
      </c>
      <c r="C5404" s="17" t="s">
        <v>5657</v>
      </c>
      <c r="D5404" s="18">
        <v>135.71</v>
      </c>
      <c r="E5404" s="18">
        <v>190.0</v>
      </c>
      <c r="F5404" s="18">
        <v>12.0</v>
      </c>
    </row>
    <row r="5405">
      <c r="A5405" s="15">
        <v>45.0</v>
      </c>
      <c r="B5405" s="16" t="s">
        <v>10184</v>
      </c>
      <c r="C5405" s="17" t="s">
        <v>5636</v>
      </c>
      <c r="D5405" s="18">
        <v>93.56</v>
      </c>
      <c r="E5405" s="18">
        <v>138.0</v>
      </c>
      <c r="F5405" s="18">
        <v>18.0</v>
      </c>
    </row>
    <row r="5406">
      <c r="A5406" s="15">
        <v>46.0</v>
      </c>
      <c r="B5406" s="16" t="s">
        <v>10185</v>
      </c>
      <c r="C5406" s="17" t="s">
        <v>5536</v>
      </c>
      <c r="D5406" s="18">
        <v>5.44</v>
      </c>
      <c r="E5406" s="18">
        <v>7.61</v>
      </c>
      <c r="F5406" s="18">
        <v>12.0</v>
      </c>
    </row>
    <row r="5407">
      <c r="A5407" s="15">
        <v>47.0</v>
      </c>
      <c r="B5407" s="16" t="s">
        <v>10186</v>
      </c>
      <c r="C5407" s="17" t="s">
        <v>5536</v>
      </c>
      <c r="D5407" s="18">
        <v>10.98</v>
      </c>
      <c r="E5407" s="18">
        <v>15.37</v>
      </c>
      <c r="F5407" s="18">
        <v>12.0</v>
      </c>
    </row>
    <row r="5408">
      <c r="A5408" s="15">
        <v>48.0</v>
      </c>
      <c r="B5408" s="16" t="s">
        <v>10187</v>
      </c>
      <c r="C5408" s="17" t="s">
        <v>6127</v>
      </c>
      <c r="D5408" s="18">
        <v>12.36</v>
      </c>
      <c r="E5408" s="18">
        <v>17.31</v>
      </c>
      <c r="F5408" s="18">
        <v>12.0</v>
      </c>
    </row>
    <row r="5409">
      <c r="A5409" s="15">
        <v>49.0</v>
      </c>
      <c r="B5409" s="16" t="s">
        <v>10187</v>
      </c>
      <c r="C5409" s="17" t="s">
        <v>5967</v>
      </c>
      <c r="D5409" s="18">
        <v>23.93</v>
      </c>
      <c r="E5409" s="18">
        <v>33.5</v>
      </c>
      <c r="F5409" s="18">
        <v>12.0</v>
      </c>
    </row>
    <row r="5410">
      <c r="A5410" s="15">
        <v>50.0</v>
      </c>
      <c r="B5410" s="16" t="s">
        <v>10187</v>
      </c>
      <c r="C5410" s="17" t="s">
        <v>5922</v>
      </c>
      <c r="D5410" s="18">
        <v>24.29</v>
      </c>
      <c r="E5410" s="18">
        <v>34.0</v>
      </c>
      <c r="F5410" s="18">
        <v>12.0</v>
      </c>
    </row>
    <row r="5411">
      <c r="A5411" s="15">
        <v>51.0</v>
      </c>
      <c r="B5411" s="16" t="s">
        <v>10188</v>
      </c>
      <c r="C5411" s="17" t="s">
        <v>5614</v>
      </c>
      <c r="D5411" s="18">
        <v>59.29</v>
      </c>
      <c r="E5411" s="18">
        <v>83.0</v>
      </c>
      <c r="F5411" s="18">
        <v>12.0</v>
      </c>
    </row>
    <row r="5412">
      <c r="A5412" s="15">
        <v>52.0</v>
      </c>
      <c r="B5412" s="16" t="s">
        <v>10189</v>
      </c>
      <c r="C5412" s="17" t="s">
        <v>5614</v>
      </c>
      <c r="D5412" s="18">
        <v>109.64</v>
      </c>
      <c r="E5412" s="18">
        <v>153.5</v>
      </c>
      <c r="F5412" s="18">
        <v>12.0</v>
      </c>
    </row>
    <row r="5413">
      <c r="A5413" s="15">
        <v>53.0</v>
      </c>
      <c r="B5413" s="16" t="s">
        <v>10190</v>
      </c>
      <c r="C5413" s="17" t="s">
        <v>5536</v>
      </c>
      <c r="D5413" s="18">
        <v>107.14</v>
      </c>
      <c r="E5413" s="18">
        <v>150.0</v>
      </c>
      <c r="F5413" s="18">
        <v>12.0</v>
      </c>
    </row>
    <row r="5414">
      <c r="A5414" s="15">
        <v>54.0</v>
      </c>
      <c r="B5414" s="16" t="s">
        <v>10191</v>
      </c>
      <c r="C5414" s="17" t="s">
        <v>5536</v>
      </c>
      <c r="D5414" s="18">
        <v>41.42</v>
      </c>
      <c r="E5414" s="18">
        <v>49.0</v>
      </c>
      <c r="F5414" s="18">
        <v>12.0</v>
      </c>
    </row>
    <row r="5415">
      <c r="A5415" s="15">
        <v>55.0</v>
      </c>
      <c r="B5415" s="16" t="s">
        <v>10192</v>
      </c>
      <c r="C5415" s="17" t="s">
        <v>5536</v>
      </c>
      <c r="D5415" s="18">
        <v>72.14</v>
      </c>
      <c r="E5415" s="18">
        <v>101.0</v>
      </c>
      <c r="F5415" s="18">
        <v>12.0</v>
      </c>
    </row>
    <row r="5416">
      <c r="A5416" s="6"/>
      <c r="B5416" s="7"/>
      <c r="C5416" s="7"/>
      <c r="D5416" s="7"/>
      <c r="E5416" s="7"/>
      <c r="F5416" s="8"/>
    </row>
    <row r="5417">
      <c r="A5417" s="9" t="s">
        <v>10193</v>
      </c>
      <c r="B5417" s="10"/>
      <c r="C5417" s="10"/>
      <c r="D5417" s="10"/>
      <c r="E5417" s="10"/>
      <c r="F5417" s="10"/>
    </row>
    <row r="5418">
      <c r="A5418" s="11">
        <v>1.0</v>
      </c>
      <c r="B5418" s="12" t="s">
        <v>10194</v>
      </c>
      <c r="C5418" s="13" t="s">
        <v>5636</v>
      </c>
      <c r="D5418" s="14">
        <v>38.64</v>
      </c>
      <c r="E5418" s="14">
        <v>57.0</v>
      </c>
      <c r="F5418" s="14">
        <v>18.0</v>
      </c>
    </row>
    <row r="5419">
      <c r="A5419" s="15">
        <v>2.0</v>
      </c>
      <c r="B5419" s="16" t="s">
        <v>10195</v>
      </c>
      <c r="C5419" s="17" t="s">
        <v>10048</v>
      </c>
      <c r="D5419" s="18">
        <v>134.29</v>
      </c>
      <c r="E5419" s="18">
        <v>175.0</v>
      </c>
      <c r="F5419" s="18">
        <v>12.0</v>
      </c>
    </row>
    <row r="5420">
      <c r="A5420" s="15">
        <v>3.0</v>
      </c>
      <c r="B5420" s="16" t="s">
        <v>10195</v>
      </c>
      <c r="C5420" s="17" t="s">
        <v>10049</v>
      </c>
      <c r="D5420" s="18">
        <v>283.93</v>
      </c>
      <c r="E5420" s="18">
        <v>397.5</v>
      </c>
      <c r="F5420" s="18">
        <v>12.0</v>
      </c>
    </row>
    <row r="5421">
      <c r="A5421" s="15">
        <v>4.0</v>
      </c>
      <c r="B5421" s="16" t="s">
        <v>10196</v>
      </c>
      <c r="C5421" s="17" t="s">
        <v>10197</v>
      </c>
      <c r="D5421" s="18">
        <v>74.46</v>
      </c>
      <c r="E5421" s="18">
        <v>104.25</v>
      </c>
      <c r="F5421" s="18">
        <v>12.0</v>
      </c>
    </row>
    <row r="5422">
      <c r="A5422" s="15">
        <v>5.0</v>
      </c>
      <c r="B5422" s="16" t="s">
        <v>4406</v>
      </c>
      <c r="C5422" s="16" t="s">
        <v>5558</v>
      </c>
      <c r="D5422" s="18">
        <v>85.59</v>
      </c>
      <c r="E5422" s="18">
        <v>126.25</v>
      </c>
      <c r="F5422" s="18">
        <v>18.0</v>
      </c>
    </row>
    <row r="5423">
      <c r="A5423" s="15">
        <v>6.0</v>
      </c>
      <c r="B5423" s="16" t="s">
        <v>10198</v>
      </c>
      <c r="C5423" s="17" t="s">
        <v>10199</v>
      </c>
      <c r="D5423" s="18">
        <v>188.41</v>
      </c>
      <c r="E5423" s="18">
        <v>263.78</v>
      </c>
      <c r="F5423" s="18">
        <v>12.0</v>
      </c>
    </row>
    <row r="5424">
      <c r="A5424" s="15">
        <v>7.0</v>
      </c>
      <c r="B5424" s="16" t="s">
        <v>4408</v>
      </c>
      <c r="C5424" s="16" t="s">
        <v>10200</v>
      </c>
      <c r="D5424" s="18">
        <v>110.71</v>
      </c>
      <c r="E5424" s="18">
        <v>155.0</v>
      </c>
      <c r="F5424" s="18">
        <v>12.0</v>
      </c>
    </row>
    <row r="5425">
      <c r="A5425" s="15">
        <v>8.0</v>
      </c>
      <c r="B5425" s="16" t="s">
        <v>10201</v>
      </c>
      <c r="C5425" s="17" t="s">
        <v>8578</v>
      </c>
      <c r="D5425" s="18">
        <v>255.71</v>
      </c>
      <c r="E5425" s="18">
        <v>358.0</v>
      </c>
      <c r="F5425" s="18">
        <v>12.0</v>
      </c>
    </row>
    <row r="5426">
      <c r="A5426" s="15">
        <v>9.0</v>
      </c>
      <c r="B5426" s="16" t="s">
        <v>10202</v>
      </c>
      <c r="C5426" s="17" t="s">
        <v>5636</v>
      </c>
      <c r="D5426" s="18">
        <v>54.75</v>
      </c>
      <c r="E5426" s="18">
        <v>76.65</v>
      </c>
      <c r="F5426" s="18">
        <v>12.0</v>
      </c>
    </row>
    <row r="5427">
      <c r="A5427" s="15">
        <v>10.0</v>
      </c>
      <c r="B5427" s="16" t="s">
        <v>10203</v>
      </c>
      <c r="C5427" s="17" t="s">
        <v>10204</v>
      </c>
      <c r="D5427" s="18">
        <v>270.0</v>
      </c>
      <c r="E5427" s="18">
        <v>378.0</v>
      </c>
      <c r="F5427" s="18">
        <v>12.0</v>
      </c>
    </row>
    <row r="5428">
      <c r="A5428" s="15">
        <v>11.0</v>
      </c>
      <c r="B5428" s="16" t="s">
        <v>10205</v>
      </c>
      <c r="C5428" s="17" t="s">
        <v>5712</v>
      </c>
      <c r="D5428" s="18">
        <v>88.57</v>
      </c>
      <c r="E5428" s="18">
        <v>124.0</v>
      </c>
      <c r="F5428" s="18">
        <v>12.0</v>
      </c>
    </row>
    <row r="5429">
      <c r="A5429" s="15">
        <v>12.0</v>
      </c>
      <c r="B5429" s="16" t="s">
        <v>10206</v>
      </c>
      <c r="C5429" s="17" t="s">
        <v>10207</v>
      </c>
      <c r="D5429" s="18">
        <v>166.07</v>
      </c>
      <c r="E5429" s="18">
        <v>232.5</v>
      </c>
      <c r="F5429" s="18">
        <v>12.0</v>
      </c>
    </row>
    <row r="5430">
      <c r="A5430" s="15">
        <v>13.0</v>
      </c>
      <c r="B5430" s="16" t="s">
        <v>10208</v>
      </c>
      <c r="C5430" s="17" t="s">
        <v>10209</v>
      </c>
      <c r="D5430" s="18">
        <v>80.0</v>
      </c>
      <c r="E5430" s="18">
        <v>112.0</v>
      </c>
      <c r="F5430" s="18">
        <v>12.0</v>
      </c>
    </row>
    <row r="5431">
      <c r="A5431" s="15">
        <v>14.0</v>
      </c>
      <c r="B5431" s="16" t="s">
        <v>10210</v>
      </c>
      <c r="C5431" s="17" t="s">
        <v>6127</v>
      </c>
      <c r="D5431" s="18">
        <v>282.14</v>
      </c>
      <c r="E5431" s="18">
        <v>395.0</v>
      </c>
      <c r="F5431" s="18">
        <v>12.0</v>
      </c>
    </row>
    <row r="5432">
      <c r="A5432" s="15">
        <v>15.0</v>
      </c>
      <c r="B5432" s="16" t="s">
        <v>10210</v>
      </c>
      <c r="C5432" s="17" t="s">
        <v>5967</v>
      </c>
      <c r="D5432" s="18">
        <v>415.71</v>
      </c>
      <c r="E5432" s="18">
        <v>582.0</v>
      </c>
      <c r="F5432" s="18">
        <v>12.0</v>
      </c>
    </row>
    <row r="5433">
      <c r="A5433" s="15">
        <v>16.0</v>
      </c>
      <c r="B5433" s="16" t="s">
        <v>10210</v>
      </c>
      <c r="C5433" s="17" t="s">
        <v>5922</v>
      </c>
      <c r="D5433" s="18">
        <v>486.43</v>
      </c>
      <c r="E5433" s="18">
        <v>681.0</v>
      </c>
      <c r="F5433" s="18">
        <v>12.0</v>
      </c>
    </row>
    <row r="5434">
      <c r="A5434" s="15">
        <v>17.0</v>
      </c>
      <c r="B5434" s="16" t="s">
        <v>10211</v>
      </c>
      <c r="C5434" s="17" t="s">
        <v>5536</v>
      </c>
      <c r="D5434" s="18">
        <v>138.53</v>
      </c>
      <c r="E5434" s="18">
        <v>181.82</v>
      </c>
      <c r="F5434" s="18">
        <v>5.0</v>
      </c>
    </row>
    <row r="5435">
      <c r="A5435" s="15">
        <v>18.0</v>
      </c>
      <c r="B5435" s="16" t="s">
        <v>10212</v>
      </c>
      <c r="C5435" s="17" t="s">
        <v>5536</v>
      </c>
      <c r="D5435" s="18">
        <v>213.33</v>
      </c>
      <c r="E5435" s="18">
        <v>280.0</v>
      </c>
      <c r="F5435" s="18">
        <v>5.0</v>
      </c>
    </row>
    <row r="5436">
      <c r="A5436" s="15">
        <v>19.0</v>
      </c>
      <c r="B5436" s="16" t="s">
        <v>10213</v>
      </c>
      <c r="C5436" s="17" t="s">
        <v>5636</v>
      </c>
      <c r="D5436" s="18">
        <v>160.71</v>
      </c>
      <c r="E5436" s="18">
        <v>225.0</v>
      </c>
      <c r="F5436" s="18">
        <v>12.0</v>
      </c>
    </row>
    <row r="5437">
      <c r="A5437" s="15">
        <v>20.0</v>
      </c>
      <c r="B5437" s="16" t="s">
        <v>10214</v>
      </c>
      <c r="C5437" s="17" t="s">
        <v>5636</v>
      </c>
      <c r="D5437" s="18">
        <v>233.57</v>
      </c>
      <c r="E5437" s="18">
        <v>327.0</v>
      </c>
      <c r="F5437" s="18">
        <v>12.0</v>
      </c>
    </row>
    <row r="5438">
      <c r="A5438" s="6"/>
      <c r="B5438" s="7"/>
      <c r="C5438" s="7"/>
      <c r="D5438" s="7"/>
      <c r="E5438" s="7"/>
      <c r="F5438" s="8"/>
    </row>
    <row r="5439">
      <c r="A5439" s="9" t="s">
        <v>10215</v>
      </c>
      <c r="B5439" s="10"/>
      <c r="C5439" s="10"/>
      <c r="D5439" s="10"/>
      <c r="E5439" s="10"/>
      <c r="F5439" s="10"/>
    </row>
    <row r="5440">
      <c r="A5440" s="11">
        <v>1.0</v>
      </c>
      <c r="B5440" s="12" t="s">
        <v>4422</v>
      </c>
      <c r="C5440" s="12" t="s">
        <v>5558</v>
      </c>
      <c r="D5440" s="14">
        <v>50.0</v>
      </c>
      <c r="E5440" s="14">
        <v>70.0</v>
      </c>
      <c r="F5440" s="14">
        <v>12.0</v>
      </c>
    </row>
    <row r="5441">
      <c r="A5441" s="15">
        <v>2.0</v>
      </c>
      <c r="B5441" s="16" t="s">
        <v>10216</v>
      </c>
      <c r="C5441" s="17" t="s">
        <v>6337</v>
      </c>
      <c r="D5441" s="18">
        <v>76.42</v>
      </c>
      <c r="E5441" s="18">
        <v>99.0</v>
      </c>
      <c r="F5441" s="18">
        <v>12.0</v>
      </c>
    </row>
    <row r="5442">
      <c r="A5442" s="15">
        <v>3.0</v>
      </c>
      <c r="B5442" s="16" t="s">
        <v>4425</v>
      </c>
      <c r="C5442" s="16" t="s">
        <v>5558</v>
      </c>
      <c r="D5442" s="18">
        <v>72.86</v>
      </c>
      <c r="E5442" s="18">
        <v>102.0</v>
      </c>
      <c r="F5442" s="18">
        <v>12.0</v>
      </c>
    </row>
    <row r="5443">
      <c r="A5443" s="15">
        <v>4.0</v>
      </c>
      <c r="B5443" s="16" t="s">
        <v>10217</v>
      </c>
      <c r="C5443" s="17" t="s">
        <v>10218</v>
      </c>
      <c r="D5443" s="18">
        <v>268.0</v>
      </c>
      <c r="E5443" s="18">
        <v>335.0</v>
      </c>
      <c r="F5443" s="18">
        <v>0.0</v>
      </c>
    </row>
    <row r="5444">
      <c r="A5444" s="15">
        <v>5.0</v>
      </c>
      <c r="B5444" s="16" t="s">
        <v>10219</v>
      </c>
      <c r="C5444" s="17" t="s">
        <v>8578</v>
      </c>
      <c r="D5444" s="18">
        <v>382.4</v>
      </c>
      <c r="E5444" s="18">
        <v>478.0</v>
      </c>
      <c r="F5444" s="18">
        <v>0.0</v>
      </c>
    </row>
    <row r="5445">
      <c r="A5445" s="15">
        <v>6.0</v>
      </c>
      <c r="B5445" s="16" t="s">
        <v>4428</v>
      </c>
      <c r="C5445" s="16" t="s">
        <v>5558</v>
      </c>
      <c r="D5445" s="18">
        <v>23.24</v>
      </c>
      <c r="E5445" s="18">
        <v>31.46</v>
      </c>
      <c r="F5445" s="18">
        <v>12.0</v>
      </c>
    </row>
    <row r="5446">
      <c r="A5446" s="15">
        <v>7.0</v>
      </c>
      <c r="B5446" s="16" t="s">
        <v>10220</v>
      </c>
      <c r="C5446" s="17" t="s">
        <v>5636</v>
      </c>
      <c r="D5446" s="18">
        <v>164.29</v>
      </c>
      <c r="E5446" s="18">
        <v>230.0</v>
      </c>
      <c r="F5446" s="18">
        <v>18.0</v>
      </c>
    </row>
    <row r="5447">
      <c r="A5447" s="15">
        <v>8.0</v>
      </c>
      <c r="B5447" s="16" t="s">
        <v>10221</v>
      </c>
      <c r="C5447" s="17" t="s">
        <v>5636</v>
      </c>
      <c r="D5447" s="18">
        <v>199.66</v>
      </c>
      <c r="E5447" s="18">
        <v>294.5</v>
      </c>
      <c r="F5447" s="18">
        <v>18.0</v>
      </c>
    </row>
    <row r="5448">
      <c r="A5448" s="15">
        <v>9.0</v>
      </c>
      <c r="B5448" s="16" t="s">
        <v>10222</v>
      </c>
      <c r="C5448" s="17" t="s">
        <v>5536</v>
      </c>
      <c r="D5448" s="18">
        <v>115.36</v>
      </c>
      <c r="E5448" s="18">
        <v>161.5</v>
      </c>
      <c r="F5448" s="18">
        <v>12.0</v>
      </c>
    </row>
    <row r="5449">
      <c r="A5449" s="15">
        <v>10.0</v>
      </c>
      <c r="B5449" s="16" t="s">
        <v>10223</v>
      </c>
      <c r="C5449" s="17" t="s">
        <v>6339</v>
      </c>
      <c r="D5449" s="18">
        <v>146.83</v>
      </c>
      <c r="E5449" s="18">
        <v>205.56</v>
      </c>
      <c r="F5449" s="18">
        <v>12.0</v>
      </c>
    </row>
    <row r="5450">
      <c r="A5450" s="15">
        <v>11.0</v>
      </c>
      <c r="B5450" s="16" t="s">
        <v>10224</v>
      </c>
      <c r="C5450" s="17" t="s">
        <v>10225</v>
      </c>
      <c r="D5450" s="18">
        <v>92.2</v>
      </c>
      <c r="E5450" s="18">
        <v>136.0</v>
      </c>
      <c r="F5450" s="18">
        <v>18.0</v>
      </c>
    </row>
    <row r="5451">
      <c r="A5451" s="15">
        <v>12.0</v>
      </c>
      <c r="B5451" s="16" t="s">
        <v>10205</v>
      </c>
      <c r="C5451" s="17" t="s">
        <v>5614</v>
      </c>
      <c r="D5451" s="18">
        <v>106.79</v>
      </c>
      <c r="E5451" s="18">
        <v>149.5</v>
      </c>
      <c r="F5451" s="18">
        <v>12.0</v>
      </c>
    </row>
    <row r="5452">
      <c r="A5452" s="15">
        <v>13.0</v>
      </c>
      <c r="B5452" s="16" t="s">
        <v>10206</v>
      </c>
      <c r="C5452" s="17" t="s">
        <v>5614</v>
      </c>
      <c r="D5452" s="18">
        <v>197.14</v>
      </c>
      <c r="E5452" s="18">
        <v>276.0</v>
      </c>
      <c r="F5452" s="18">
        <v>12.0</v>
      </c>
    </row>
    <row r="5453">
      <c r="A5453" s="15">
        <v>14.0</v>
      </c>
      <c r="B5453" s="16" t="s">
        <v>10226</v>
      </c>
      <c r="C5453" s="17" t="s">
        <v>5614</v>
      </c>
      <c r="D5453" s="18">
        <v>272.86</v>
      </c>
      <c r="E5453" s="18">
        <v>382.0</v>
      </c>
      <c r="F5453" s="18">
        <v>12.0</v>
      </c>
    </row>
    <row r="5454">
      <c r="A5454" s="15">
        <v>15.0</v>
      </c>
      <c r="B5454" s="16" t="s">
        <v>10227</v>
      </c>
      <c r="C5454" s="17" t="s">
        <v>5614</v>
      </c>
      <c r="D5454" s="18">
        <v>387.86</v>
      </c>
      <c r="E5454" s="18">
        <v>543.0</v>
      </c>
      <c r="F5454" s="18">
        <v>12.0</v>
      </c>
    </row>
    <row r="5455">
      <c r="A5455" s="15">
        <v>16.0</v>
      </c>
      <c r="B5455" s="16" t="s">
        <v>10228</v>
      </c>
      <c r="C5455" s="17" t="s">
        <v>10229</v>
      </c>
      <c r="D5455" s="18">
        <v>108.83</v>
      </c>
      <c r="E5455" s="18">
        <v>151.0</v>
      </c>
      <c r="F5455" s="18">
        <v>12.0</v>
      </c>
    </row>
    <row r="5456">
      <c r="A5456" s="15">
        <v>17.0</v>
      </c>
      <c r="B5456" s="16" t="s">
        <v>10228</v>
      </c>
      <c r="C5456" s="17" t="s">
        <v>10230</v>
      </c>
      <c r="D5456" s="18">
        <v>235.0</v>
      </c>
      <c r="E5456" s="18">
        <v>329.0</v>
      </c>
      <c r="F5456" s="18">
        <v>12.0</v>
      </c>
    </row>
    <row r="5457">
      <c r="A5457" s="15">
        <v>18.0</v>
      </c>
      <c r="B5457" s="16" t="s">
        <v>10231</v>
      </c>
      <c r="C5457" s="17" t="s">
        <v>5765</v>
      </c>
      <c r="D5457" s="18">
        <v>47.36</v>
      </c>
      <c r="E5457" s="18">
        <v>78.5</v>
      </c>
      <c r="F5457" s="18">
        <v>12.0</v>
      </c>
    </row>
    <row r="5458">
      <c r="A5458" s="6"/>
      <c r="B5458" s="7"/>
      <c r="C5458" s="7"/>
      <c r="D5458" s="7"/>
      <c r="E5458" s="7"/>
      <c r="F5458" s="8"/>
    </row>
    <row r="5459">
      <c r="A5459" s="9" t="s">
        <v>10232</v>
      </c>
      <c r="B5459" s="10"/>
      <c r="C5459" s="10"/>
      <c r="D5459" s="10"/>
      <c r="E5459" s="10"/>
      <c r="F5459" s="10"/>
    </row>
    <row r="5460">
      <c r="A5460" s="11">
        <v>1.0</v>
      </c>
      <c r="B5460" s="12" t="s">
        <v>10233</v>
      </c>
      <c r="C5460" s="13" t="s">
        <v>5536</v>
      </c>
      <c r="D5460" s="14">
        <v>131.79</v>
      </c>
      <c r="E5460" s="14">
        <v>184.5</v>
      </c>
      <c r="F5460" s="14">
        <v>12.0</v>
      </c>
    </row>
    <row r="5461">
      <c r="A5461" s="6"/>
      <c r="B5461" s="7"/>
      <c r="C5461" s="7"/>
      <c r="D5461" s="7"/>
      <c r="E5461" s="8"/>
      <c r="F5461" s="16" t="s">
        <v>10234</v>
      </c>
    </row>
    <row r="5462">
      <c r="A5462" s="6"/>
      <c r="B5462" s="7"/>
      <c r="C5462" s="7"/>
      <c r="D5462" s="7"/>
      <c r="E5462" s="7"/>
      <c r="F5462" s="8"/>
    </row>
    <row r="5463">
      <c r="A5463" s="6"/>
      <c r="B5463" s="7"/>
      <c r="C5463" s="7"/>
      <c r="D5463" s="7"/>
      <c r="E5463" s="7"/>
      <c r="F5463" s="8"/>
    </row>
    <row r="5464">
      <c r="A5464" s="6"/>
      <c r="B5464" s="7"/>
      <c r="C5464" s="7"/>
      <c r="D5464" s="7"/>
      <c r="E5464" s="7"/>
      <c r="F5464" s="8"/>
    </row>
    <row r="5465">
      <c r="A5465" s="6"/>
      <c r="B5465" s="7"/>
      <c r="C5465" s="7"/>
      <c r="D5465" s="7"/>
      <c r="E5465" s="7"/>
      <c r="F5465" s="8"/>
    </row>
    <row r="5466">
      <c r="A5466" s="9" t="s">
        <v>5582</v>
      </c>
      <c r="B5466" s="10"/>
      <c r="C5466" s="10"/>
      <c r="D5466" s="10"/>
      <c r="E5466" s="10"/>
      <c r="F5466" s="10"/>
    </row>
    <row r="5467">
      <c r="A5467" s="19" t="s">
        <v>5583</v>
      </c>
    </row>
    <row r="5468">
      <c r="A5468" s="6"/>
      <c r="B5468" s="7"/>
      <c r="C5468" s="7"/>
      <c r="D5468" s="8"/>
      <c r="E5468" s="12" t="s">
        <v>5584</v>
      </c>
      <c r="F5468" s="12" t="s">
        <v>10235</v>
      </c>
    </row>
    <row r="5469">
      <c r="A5469" s="20" t="s">
        <v>5522</v>
      </c>
      <c r="B5469" s="16" t="s">
        <v>5523</v>
      </c>
      <c r="C5469" s="16" t="s">
        <v>5524</v>
      </c>
      <c r="D5469" s="16" t="s">
        <v>5525</v>
      </c>
      <c r="E5469" s="16" t="s">
        <v>5526</v>
      </c>
      <c r="F5469" s="16" t="s">
        <v>5586</v>
      </c>
    </row>
    <row r="5470">
      <c r="A5470" s="15">
        <v>2.0</v>
      </c>
      <c r="B5470" s="16" t="s">
        <v>10236</v>
      </c>
      <c r="C5470" s="17" t="s">
        <v>10237</v>
      </c>
      <c r="D5470" s="18">
        <v>117.5</v>
      </c>
      <c r="E5470" s="18">
        <v>164.5</v>
      </c>
      <c r="F5470" s="18">
        <v>12.0</v>
      </c>
    </row>
    <row r="5471">
      <c r="A5471" s="15">
        <v>3.0</v>
      </c>
      <c r="B5471" s="16" t="s">
        <v>10238</v>
      </c>
      <c r="C5471" s="17" t="s">
        <v>5536</v>
      </c>
      <c r="D5471" s="18">
        <v>76.43</v>
      </c>
      <c r="E5471" s="18">
        <v>107.0</v>
      </c>
      <c r="F5471" s="18">
        <v>12.0</v>
      </c>
    </row>
    <row r="5472">
      <c r="A5472" s="15">
        <v>4.0</v>
      </c>
      <c r="B5472" s="16" t="s">
        <v>10239</v>
      </c>
      <c r="C5472" s="17" t="s">
        <v>5536</v>
      </c>
      <c r="D5472" s="18">
        <v>91.79</v>
      </c>
      <c r="E5472" s="18">
        <v>128.5</v>
      </c>
      <c r="F5472" s="18">
        <v>12.0</v>
      </c>
    </row>
    <row r="5473">
      <c r="A5473" s="15">
        <v>5.0</v>
      </c>
      <c r="B5473" s="16" t="s">
        <v>10240</v>
      </c>
      <c r="C5473" s="17" t="s">
        <v>5636</v>
      </c>
      <c r="D5473" s="18">
        <v>150.36</v>
      </c>
      <c r="E5473" s="18">
        <v>210.5</v>
      </c>
      <c r="F5473" s="18">
        <v>12.0</v>
      </c>
    </row>
    <row r="5474">
      <c r="A5474" s="15">
        <v>6.0</v>
      </c>
      <c r="B5474" s="16" t="s">
        <v>10241</v>
      </c>
      <c r="C5474" s="17" t="s">
        <v>5636</v>
      </c>
      <c r="D5474" s="18">
        <v>162.86</v>
      </c>
      <c r="E5474" s="18">
        <v>228.0</v>
      </c>
      <c r="F5474" s="18">
        <v>12.0</v>
      </c>
    </row>
    <row r="5475">
      <c r="A5475" s="15">
        <v>7.0</v>
      </c>
      <c r="B5475" s="16" t="s">
        <v>10242</v>
      </c>
      <c r="C5475" s="17" t="s">
        <v>5620</v>
      </c>
      <c r="D5475" s="18">
        <v>2.93</v>
      </c>
      <c r="E5475" s="18">
        <v>4.1</v>
      </c>
      <c r="F5475" s="18">
        <v>12.0</v>
      </c>
    </row>
    <row r="5476">
      <c r="A5476" s="15">
        <v>8.0</v>
      </c>
      <c r="B5476" s="16" t="s">
        <v>10243</v>
      </c>
      <c r="C5476" s="17" t="s">
        <v>5620</v>
      </c>
      <c r="D5476" s="18">
        <v>5.36</v>
      </c>
      <c r="E5476" s="18">
        <v>7.5</v>
      </c>
      <c r="F5476" s="18">
        <v>12.0</v>
      </c>
    </row>
    <row r="5477">
      <c r="A5477" s="15">
        <v>9.0</v>
      </c>
      <c r="B5477" s="16" t="s">
        <v>10244</v>
      </c>
      <c r="C5477" s="17" t="s">
        <v>5536</v>
      </c>
      <c r="D5477" s="18">
        <v>61.15</v>
      </c>
      <c r="E5477" s="18">
        <v>84.0</v>
      </c>
      <c r="F5477" s="18">
        <v>12.0</v>
      </c>
    </row>
    <row r="5478">
      <c r="A5478" s="15">
        <v>10.0</v>
      </c>
      <c r="B5478" s="16" t="s">
        <v>10245</v>
      </c>
      <c r="C5478" s="17" t="s">
        <v>5562</v>
      </c>
      <c r="D5478" s="18">
        <v>55.71</v>
      </c>
      <c r="E5478" s="18">
        <v>78.0</v>
      </c>
      <c r="F5478" s="18">
        <v>12.0</v>
      </c>
    </row>
    <row r="5479">
      <c r="A5479" s="15">
        <v>11.0</v>
      </c>
      <c r="B5479" s="16" t="s">
        <v>10246</v>
      </c>
      <c r="C5479" s="17" t="s">
        <v>7980</v>
      </c>
      <c r="D5479" s="18">
        <v>79.78</v>
      </c>
      <c r="E5479" s="18">
        <v>109.57</v>
      </c>
      <c r="F5479" s="18">
        <v>12.0</v>
      </c>
    </row>
    <row r="5480">
      <c r="A5480" s="15">
        <v>12.0</v>
      </c>
      <c r="B5480" s="16" t="s">
        <v>10246</v>
      </c>
      <c r="C5480" s="17" t="s">
        <v>7708</v>
      </c>
      <c r="D5480" s="18">
        <v>188.41</v>
      </c>
      <c r="E5480" s="18">
        <v>263.78</v>
      </c>
      <c r="F5480" s="18">
        <v>12.0</v>
      </c>
    </row>
    <row r="5481">
      <c r="A5481" s="15">
        <v>13.0</v>
      </c>
      <c r="B5481" s="16" t="s">
        <v>10247</v>
      </c>
      <c r="C5481" s="17" t="s">
        <v>5562</v>
      </c>
      <c r="D5481" s="18">
        <v>150.0</v>
      </c>
      <c r="E5481" s="18">
        <v>210.0</v>
      </c>
      <c r="F5481" s="18">
        <v>12.0</v>
      </c>
    </row>
    <row r="5482">
      <c r="A5482" s="15">
        <v>14.0</v>
      </c>
      <c r="B5482" s="16" t="s">
        <v>5953</v>
      </c>
      <c r="C5482" s="17" t="s">
        <v>10248</v>
      </c>
      <c r="D5482" s="18">
        <v>125.76</v>
      </c>
      <c r="E5482" s="18">
        <v>185.5</v>
      </c>
      <c r="F5482" s="18">
        <v>18.0</v>
      </c>
    </row>
    <row r="5483">
      <c r="A5483" s="15">
        <v>15.0</v>
      </c>
      <c r="B5483" s="16" t="s">
        <v>10249</v>
      </c>
      <c r="C5483" s="17" t="s">
        <v>5536</v>
      </c>
      <c r="D5483" s="18">
        <v>45.72</v>
      </c>
      <c r="E5483" s="18">
        <v>64.0</v>
      </c>
      <c r="F5483" s="18">
        <v>12.0</v>
      </c>
    </row>
    <row r="5484">
      <c r="A5484" s="15">
        <v>16.0</v>
      </c>
      <c r="B5484" s="16" t="s">
        <v>10249</v>
      </c>
      <c r="C5484" s="17" t="s">
        <v>5546</v>
      </c>
      <c r="D5484" s="18">
        <v>78.57</v>
      </c>
      <c r="E5484" s="18">
        <v>110.0</v>
      </c>
      <c r="F5484" s="18">
        <v>12.0</v>
      </c>
    </row>
    <row r="5485">
      <c r="A5485" s="15">
        <v>17.0</v>
      </c>
      <c r="B5485" s="16" t="s">
        <v>10250</v>
      </c>
      <c r="C5485" s="17" t="s">
        <v>5546</v>
      </c>
      <c r="D5485" s="18">
        <v>108.21</v>
      </c>
      <c r="E5485" s="18">
        <v>151.5</v>
      </c>
      <c r="F5485" s="18">
        <v>12.0</v>
      </c>
    </row>
    <row r="5486">
      <c r="A5486" s="15">
        <v>18.0</v>
      </c>
      <c r="B5486" s="16" t="s">
        <v>10251</v>
      </c>
      <c r="C5486" s="17" t="s">
        <v>5536</v>
      </c>
      <c r="D5486" s="18">
        <v>127.14</v>
      </c>
      <c r="E5486" s="18">
        <v>178.0</v>
      </c>
      <c r="F5486" s="18">
        <v>12.0</v>
      </c>
    </row>
    <row r="5487">
      <c r="A5487" s="15">
        <v>19.0</v>
      </c>
      <c r="B5487" s="16" t="s">
        <v>10252</v>
      </c>
      <c r="C5487" s="17" t="s">
        <v>5562</v>
      </c>
      <c r="D5487" s="18">
        <v>68.93</v>
      </c>
      <c r="E5487" s="18">
        <v>96.5</v>
      </c>
      <c r="F5487" s="18">
        <v>12.0</v>
      </c>
    </row>
    <row r="5488">
      <c r="A5488" s="15">
        <v>20.0</v>
      </c>
      <c r="B5488" s="16" t="s">
        <v>10253</v>
      </c>
      <c r="C5488" s="17" t="s">
        <v>10254</v>
      </c>
      <c r="D5488" s="18">
        <v>139.64</v>
      </c>
      <c r="E5488" s="18">
        <v>195.5</v>
      </c>
      <c r="F5488" s="18">
        <v>12.0</v>
      </c>
    </row>
    <row r="5489">
      <c r="A5489" s="15">
        <v>21.0</v>
      </c>
      <c r="B5489" s="16" t="s">
        <v>10255</v>
      </c>
      <c r="C5489" s="17" t="s">
        <v>10256</v>
      </c>
      <c r="D5489" s="18">
        <v>34.84</v>
      </c>
      <c r="E5489" s="18">
        <v>48.78</v>
      </c>
      <c r="F5489" s="18">
        <v>12.0</v>
      </c>
    </row>
    <row r="5490">
      <c r="A5490" s="15">
        <v>22.0</v>
      </c>
      <c r="B5490" s="16" t="s">
        <v>10257</v>
      </c>
      <c r="C5490" s="17" t="s">
        <v>5562</v>
      </c>
      <c r="D5490" s="18">
        <v>159.11</v>
      </c>
      <c r="E5490" s="18">
        <v>222.75</v>
      </c>
      <c r="F5490" s="18">
        <v>12.0</v>
      </c>
    </row>
    <row r="5491">
      <c r="A5491" s="15">
        <v>23.0</v>
      </c>
      <c r="B5491" s="16" t="s">
        <v>4463</v>
      </c>
      <c r="C5491" s="16" t="s">
        <v>5558</v>
      </c>
      <c r="D5491" s="18">
        <v>58.27</v>
      </c>
      <c r="E5491" s="18">
        <v>80.0</v>
      </c>
      <c r="F5491" s="18">
        <v>12.0</v>
      </c>
    </row>
    <row r="5492">
      <c r="A5492" s="15">
        <v>24.0</v>
      </c>
      <c r="B5492" s="16" t="s">
        <v>10258</v>
      </c>
      <c r="C5492" s="17" t="s">
        <v>5636</v>
      </c>
      <c r="D5492" s="18">
        <v>93.57</v>
      </c>
      <c r="E5492" s="18">
        <v>131.0</v>
      </c>
      <c r="F5492" s="18">
        <v>12.0</v>
      </c>
    </row>
    <row r="5493">
      <c r="A5493" s="6"/>
      <c r="B5493" s="7"/>
      <c r="C5493" s="7"/>
      <c r="D5493" s="7"/>
      <c r="E5493" s="7"/>
      <c r="F5493" s="8"/>
    </row>
    <row r="5494">
      <c r="A5494" s="9" t="s">
        <v>10259</v>
      </c>
      <c r="B5494" s="10"/>
      <c r="C5494" s="10"/>
      <c r="D5494" s="10"/>
      <c r="E5494" s="10"/>
      <c r="F5494" s="10"/>
    </row>
    <row r="5495">
      <c r="A5495" s="11">
        <v>1.0</v>
      </c>
      <c r="B5495" s="12" t="s">
        <v>10260</v>
      </c>
      <c r="C5495" s="13" t="s">
        <v>5536</v>
      </c>
      <c r="D5495" s="14">
        <v>141.39</v>
      </c>
      <c r="E5495" s="14">
        <v>197.95</v>
      </c>
      <c r="F5495" s="14">
        <v>12.0</v>
      </c>
    </row>
    <row r="5496">
      <c r="A5496" s="15">
        <v>2.0</v>
      </c>
      <c r="B5496" s="16" t="s">
        <v>10261</v>
      </c>
      <c r="C5496" s="17" t="s">
        <v>5562</v>
      </c>
      <c r="D5496" s="18">
        <v>137.14</v>
      </c>
      <c r="E5496" s="18">
        <v>192.0</v>
      </c>
      <c r="F5496" s="18">
        <v>12.0</v>
      </c>
    </row>
    <row r="5497">
      <c r="A5497" s="15">
        <v>3.0</v>
      </c>
      <c r="B5497" s="16" t="s">
        <v>4468</v>
      </c>
      <c r="C5497" s="16" t="s">
        <v>5558</v>
      </c>
      <c r="D5497" s="18">
        <v>71.73</v>
      </c>
      <c r="E5497" s="18">
        <v>100.0</v>
      </c>
      <c r="F5497" s="18">
        <v>12.0</v>
      </c>
    </row>
    <row r="5498">
      <c r="A5498" s="15">
        <v>4.0</v>
      </c>
      <c r="B5498" s="16" t="s">
        <v>10262</v>
      </c>
      <c r="C5498" s="17" t="s">
        <v>5580</v>
      </c>
      <c r="D5498" s="18">
        <v>125.53</v>
      </c>
      <c r="E5498" s="18">
        <v>185.0</v>
      </c>
      <c r="F5498" s="18">
        <v>18.0</v>
      </c>
    </row>
    <row r="5499">
      <c r="A5499" s="15">
        <v>5.0</v>
      </c>
      <c r="B5499" s="16" t="s">
        <v>10262</v>
      </c>
      <c r="C5499" s="17" t="s">
        <v>5665</v>
      </c>
      <c r="D5499" s="18">
        <v>230.74</v>
      </c>
      <c r="E5499" s="18">
        <v>340.0</v>
      </c>
      <c r="F5499" s="18">
        <v>18.0</v>
      </c>
    </row>
    <row r="5500">
      <c r="A5500" s="15">
        <v>6.0</v>
      </c>
      <c r="B5500" s="16" t="s">
        <v>10263</v>
      </c>
      <c r="C5500" s="17" t="s">
        <v>5636</v>
      </c>
      <c r="D5500" s="18">
        <v>113.57</v>
      </c>
      <c r="E5500" s="18">
        <v>159.0</v>
      </c>
      <c r="F5500" s="18">
        <v>12.0</v>
      </c>
    </row>
    <row r="5501">
      <c r="A5501" s="15">
        <v>7.0</v>
      </c>
      <c r="B5501" s="16" t="s">
        <v>4472</v>
      </c>
      <c r="C5501" s="16" t="s">
        <v>10264</v>
      </c>
      <c r="D5501" s="18">
        <v>80.0</v>
      </c>
      <c r="E5501" s="18">
        <v>112.0</v>
      </c>
      <c r="F5501" s="18">
        <v>12.0</v>
      </c>
    </row>
    <row r="5502">
      <c r="A5502" s="15">
        <v>8.0</v>
      </c>
      <c r="B5502" s="16" t="s">
        <v>10265</v>
      </c>
      <c r="C5502" s="17" t="s">
        <v>10266</v>
      </c>
      <c r="D5502" s="18">
        <v>261.79</v>
      </c>
      <c r="E5502" s="18">
        <v>366.5</v>
      </c>
      <c r="F5502" s="18">
        <v>12.0</v>
      </c>
    </row>
    <row r="5503">
      <c r="A5503" s="15">
        <v>9.0</v>
      </c>
      <c r="B5503" s="16" t="s">
        <v>10265</v>
      </c>
      <c r="C5503" s="17" t="s">
        <v>10267</v>
      </c>
      <c r="D5503" s="18">
        <v>160.71</v>
      </c>
      <c r="E5503" s="18">
        <v>225.0</v>
      </c>
      <c r="F5503" s="18">
        <v>12.0</v>
      </c>
    </row>
    <row r="5504">
      <c r="A5504" s="15">
        <v>10.0</v>
      </c>
      <c r="B5504" s="16" t="s">
        <v>10265</v>
      </c>
      <c r="C5504" s="17" t="s">
        <v>10268</v>
      </c>
      <c r="D5504" s="18">
        <v>23.3</v>
      </c>
      <c r="E5504" s="18">
        <v>32.0</v>
      </c>
      <c r="F5504" s="18">
        <v>12.0</v>
      </c>
    </row>
    <row r="5505">
      <c r="A5505" s="15">
        <v>11.0</v>
      </c>
      <c r="B5505" s="16" t="s">
        <v>10269</v>
      </c>
      <c r="C5505" s="17" t="s">
        <v>6354</v>
      </c>
      <c r="D5505" s="18">
        <v>225.0</v>
      </c>
      <c r="E5505" s="18">
        <v>315.0</v>
      </c>
      <c r="F5505" s="18">
        <v>12.0</v>
      </c>
    </row>
    <row r="5506">
      <c r="A5506" s="15">
        <v>12.0</v>
      </c>
      <c r="B5506" s="16" t="s">
        <v>10270</v>
      </c>
      <c r="C5506" s="17" t="s">
        <v>6354</v>
      </c>
      <c r="D5506" s="18">
        <v>145.0</v>
      </c>
      <c r="E5506" s="18">
        <v>203.0</v>
      </c>
      <c r="F5506" s="18">
        <v>12.0</v>
      </c>
    </row>
    <row r="5507">
      <c r="A5507" s="15">
        <v>13.0</v>
      </c>
      <c r="B5507" s="16" t="s">
        <v>10271</v>
      </c>
      <c r="C5507" s="17" t="s">
        <v>5536</v>
      </c>
      <c r="D5507" s="18">
        <v>106.43</v>
      </c>
      <c r="E5507" s="18">
        <v>149.0</v>
      </c>
      <c r="F5507" s="18">
        <v>12.0</v>
      </c>
    </row>
    <row r="5508">
      <c r="A5508" s="15">
        <v>14.0</v>
      </c>
      <c r="B5508" s="16" t="s">
        <v>10271</v>
      </c>
      <c r="C5508" s="17" t="s">
        <v>5546</v>
      </c>
      <c r="D5508" s="18">
        <v>185.71</v>
      </c>
      <c r="E5508" s="18">
        <v>260.0</v>
      </c>
      <c r="F5508" s="18">
        <v>12.0</v>
      </c>
    </row>
    <row r="5509">
      <c r="A5509" s="15">
        <v>15.0</v>
      </c>
      <c r="B5509" s="16" t="s">
        <v>10272</v>
      </c>
      <c r="C5509" s="17" t="s">
        <v>10273</v>
      </c>
      <c r="D5509" s="18">
        <v>0.0</v>
      </c>
      <c r="E5509" s="18">
        <v>0.0</v>
      </c>
      <c r="F5509" s="18">
        <v>12.0</v>
      </c>
    </row>
    <row r="5510">
      <c r="A5510" s="15">
        <v>16.0</v>
      </c>
      <c r="B5510" s="16" t="s">
        <v>10272</v>
      </c>
      <c r="C5510" s="17" t="s">
        <v>10274</v>
      </c>
      <c r="D5510" s="18">
        <v>0.0</v>
      </c>
      <c r="E5510" s="18">
        <v>0.0</v>
      </c>
      <c r="F5510" s="18">
        <v>12.0</v>
      </c>
    </row>
    <row r="5511">
      <c r="A5511" s="15">
        <v>17.0</v>
      </c>
      <c r="B5511" s="16" t="s">
        <v>10272</v>
      </c>
      <c r="C5511" s="17" t="s">
        <v>5665</v>
      </c>
      <c r="D5511" s="18">
        <v>0.0</v>
      </c>
      <c r="E5511" s="18">
        <v>0.0</v>
      </c>
      <c r="F5511" s="18">
        <v>12.0</v>
      </c>
    </row>
    <row r="5512">
      <c r="A5512" s="15">
        <v>18.0</v>
      </c>
      <c r="B5512" s="16" t="s">
        <v>10275</v>
      </c>
      <c r="C5512" s="17" t="s">
        <v>5636</v>
      </c>
      <c r="D5512" s="18">
        <v>197.14</v>
      </c>
      <c r="E5512" s="18">
        <v>276.0</v>
      </c>
      <c r="F5512" s="18">
        <v>12.0</v>
      </c>
    </row>
    <row r="5513">
      <c r="A5513" s="15">
        <v>19.0</v>
      </c>
      <c r="B5513" s="16" t="s">
        <v>10275</v>
      </c>
      <c r="C5513" s="17" t="s">
        <v>5603</v>
      </c>
      <c r="D5513" s="18">
        <v>324.64</v>
      </c>
      <c r="E5513" s="18">
        <v>454.5</v>
      </c>
      <c r="F5513" s="18">
        <v>12.0</v>
      </c>
    </row>
    <row r="5514">
      <c r="A5514" s="15">
        <v>20.0</v>
      </c>
      <c r="B5514" s="16" t="s">
        <v>10276</v>
      </c>
      <c r="C5514" s="17" t="s">
        <v>10277</v>
      </c>
      <c r="D5514" s="18">
        <v>66.14</v>
      </c>
      <c r="E5514" s="18">
        <v>92.59</v>
      </c>
      <c r="F5514" s="18">
        <v>12.0</v>
      </c>
    </row>
    <row r="5515">
      <c r="A5515" s="15">
        <v>21.0</v>
      </c>
      <c r="B5515" s="16" t="s">
        <v>4485</v>
      </c>
      <c r="C5515" s="16" t="s">
        <v>5558</v>
      </c>
      <c r="D5515" s="18">
        <v>56.1</v>
      </c>
      <c r="E5515" s="18">
        <v>78.54</v>
      </c>
      <c r="F5515" s="18">
        <v>12.0</v>
      </c>
    </row>
    <row r="5516">
      <c r="A5516" s="15">
        <v>22.0</v>
      </c>
      <c r="B5516" s="16" t="s">
        <v>4485</v>
      </c>
      <c r="C5516" s="16" t="s">
        <v>5544</v>
      </c>
      <c r="D5516" s="18">
        <v>89.35</v>
      </c>
      <c r="E5516" s="18">
        <v>125.09</v>
      </c>
      <c r="F5516" s="18">
        <v>12.0</v>
      </c>
    </row>
    <row r="5517">
      <c r="A5517" s="15">
        <v>23.0</v>
      </c>
      <c r="B5517" s="16" t="s">
        <v>10278</v>
      </c>
      <c r="C5517" s="17" t="s">
        <v>5614</v>
      </c>
      <c r="D5517" s="18">
        <v>107.14</v>
      </c>
      <c r="E5517" s="18">
        <v>150.0</v>
      </c>
      <c r="F5517" s="18">
        <v>12.0</v>
      </c>
    </row>
    <row r="5518">
      <c r="A5518" s="15">
        <v>24.0</v>
      </c>
      <c r="B5518" s="16" t="s">
        <v>10279</v>
      </c>
      <c r="C5518" s="17" t="s">
        <v>5532</v>
      </c>
      <c r="D5518" s="18">
        <v>76.47</v>
      </c>
      <c r="E5518" s="18">
        <v>105.0</v>
      </c>
      <c r="F5518" s="18">
        <v>12.0</v>
      </c>
    </row>
    <row r="5519">
      <c r="A5519" s="15">
        <v>25.0</v>
      </c>
      <c r="B5519" s="16" t="s">
        <v>10280</v>
      </c>
      <c r="C5519" s="17" t="s">
        <v>5633</v>
      </c>
      <c r="D5519" s="18">
        <v>109.64</v>
      </c>
      <c r="E5519" s="18">
        <v>153.5</v>
      </c>
      <c r="F5519" s="16">
        <v>12.0</v>
      </c>
    </row>
    <row r="5520">
      <c r="A5520" s="15">
        <v>26.0</v>
      </c>
      <c r="B5520" s="16" t="s">
        <v>10281</v>
      </c>
      <c r="C5520" s="17" t="s">
        <v>10282</v>
      </c>
      <c r="D5520" s="18">
        <v>419.04</v>
      </c>
      <c r="E5520" s="18">
        <v>550.0</v>
      </c>
      <c r="F5520" s="18">
        <v>5.0</v>
      </c>
    </row>
    <row r="5521">
      <c r="A5521" s="15">
        <v>27.0</v>
      </c>
      <c r="B5521" s="16" t="s">
        <v>10283</v>
      </c>
      <c r="C5521" s="17" t="s">
        <v>5712</v>
      </c>
      <c r="D5521" s="18">
        <v>247.15</v>
      </c>
      <c r="E5521" s="18">
        <v>305.0</v>
      </c>
      <c r="F5521" s="18">
        <v>5.0</v>
      </c>
    </row>
    <row r="5522">
      <c r="A5522" s="15">
        <v>28.0</v>
      </c>
      <c r="B5522" s="16" t="s">
        <v>10284</v>
      </c>
      <c r="C5522" s="17" t="s">
        <v>10285</v>
      </c>
      <c r="D5522" s="18">
        <v>793.63</v>
      </c>
      <c r="E5522" s="18">
        <v>1090.0</v>
      </c>
      <c r="F5522" s="18">
        <v>12.0</v>
      </c>
    </row>
    <row r="5523">
      <c r="A5523" s="15">
        <v>29.0</v>
      </c>
      <c r="B5523" s="16" t="s">
        <v>10286</v>
      </c>
      <c r="C5523" s="17" t="s">
        <v>5562</v>
      </c>
      <c r="D5523" s="18">
        <v>85.72</v>
      </c>
      <c r="E5523" s="18">
        <v>120.0</v>
      </c>
      <c r="F5523" s="18">
        <v>12.0</v>
      </c>
    </row>
    <row r="5524">
      <c r="A5524" s="15">
        <v>30.0</v>
      </c>
      <c r="B5524" s="16" t="s">
        <v>10287</v>
      </c>
      <c r="C5524" s="17" t="s">
        <v>5562</v>
      </c>
      <c r="D5524" s="18">
        <v>147.14</v>
      </c>
      <c r="E5524" s="18">
        <v>206.0</v>
      </c>
      <c r="F5524" s="18">
        <v>12.0</v>
      </c>
    </row>
    <row r="5525">
      <c r="A5525" s="15">
        <v>31.0</v>
      </c>
      <c r="B5525" s="16" t="s">
        <v>4495</v>
      </c>
      <c r="C5525" s="16" t="s">
        <v>5558</v>
      </c>
      <c r="D5525" s="18">
        <v>47.33</v>
      </c>
      <c r="E5525" s="18">
        <v>65.0</v>
      </c>
      <c r="F5525" s="18">
        <v>12.0</v>
      </c>
    </row>
    <row r="5526">
      <c r="A5526" s="15">
        <v>32.0</v>
      </c>
      <c r="B5526" s="16" t="s">
        <v>4495</v>
      </c>
      <c r="C5526" s="16" t="s">
        <v>5544</v>
      </c>
      <c r="D5526" s="18">
        <v>90.71</v>
      </c>
      <c r="E5526" s="18">
        <v>127.0</v>
      </c>
      <c r="F5526" s="18">
        <v>12.0</v>
      </c>
    </row>
    <row r="5527">
      <c r="A5527" s="15">
        <v>33.0</v>
      </c>
      <c r="B5527" s="16" t="s">
        <v>10288</v>
      </c>
      <c r="C5527" s="17" t="s">
        <v>5536</v>
      </c>
      <c r="D5527" s="18">
        <v>106.67</v>
      </c>
      <c r="E5527" s="18">
        <v>140.0</v>
      </c>
      <c r="F5527" s="18">
        <v>5.0</v>
      </c>
    </row>
    <row r="5528">
      <c r="A5528" s="15">
        <v>34.0</v>
      </c>
      <c r="B5528" s="16" t="s">
        <v>10288</v>
      </c>
      <c r="C5528" s="17" t="s">
        <v>5546</v>
      </c>
      <c r="D5528" s="18">
        <v>174.86</v>
      </c>
      <c r="E5528" s="18">
        <v>229.5</v>
      </c>
      <c r="F5528" s="18">
        <v>5.0</v>
      </c>
    </row>
    <row r="5529">
      <c r="A5529" s="15">
        <v>35.0</v>
      </c>
      <c r="B5529" s="16" t="s">
        <v>10289</v>
      </c>
      <c r="C5529" s="17" t="s">
        <v>5536</v>
      </c>
      <c r="D5529" s="18">
        <v>182.86</v>
      </c>
      <c r="E5529" s="18">
        <v>240.0</v>
      </c>
      <c r="F5529" s="18">
        <v>5.0</v>
      </c>
    </row>
    <row r="5530">
      <c r="A5530" s="15">
        <v>36.0</v>
      </c>
      <c r="B5530" s="16" t="s">
        <v>10289</v>
      </c>
      <c r="C5530" s="17" t="s">
        <v>5546</v>
      </c>
      <c r="D5530" s="18">
        <v>329.91</v>
      </c>
      <c r="E5530" s="18">
        <v>433.0</v>
      </c>
      <c r="F5530" s="18">
        <v>5.0</v>
      </c>
    </row>
    <row r="5531">
      <c r="A5531" s="15">
        <v>37.0</v>
      </c>
      <c r="B5531" s="16" t="s">
        <v>10290</v>
      </c>
      <c r="C5531" s="17" t="s">
        <v>10291</v>
      </c>
      <c r="D5531" s="18">
        <v>235.0</v>
      </c>
      <c r="E5531" s="18">
        <v>329.0</v>
      </c>
      <c r="F5531" s="18">
        <v>5.0</v>
      </c>
    </row>
    <row r="5532">
      <c r="A5532" s="15">
        <v>38.0</v>
      </c>
      <c r="B5532" s="16" t="s">
        <v>10290</v>
      </c>
      <c r="C5532" s="17" t="s">
        <v>10292</v>
      </c>
      <c r="D5532" s="18">
        <v>412.95</v>
      </c>
      <c r="E5532" s="18">
        <v>542.0</v>
      </c>
      <c r="F5532" s="18">
        <v>5.0</v>
      </c>
    </row>
    <row r="5533">
      <c r="A5533" s="15">
        <v>39.0</v>
      </c>
      <c r="B5533" s="16" t="s">
        <v>4500</v>
      </c>
      <c r="C5533" s="16" t="s">
        <v>5679</v>
      </c>
      <c r="D5533" s="18">
        <v>265.71</v>
      </c>
      <c r="E5533" s="18">
        <v>372.0</v>
      </c>
      <c r="F5533" s="18">
        <v>12.0</v>
      </c>
    </row>
    <row r="5534">
      <c r="A5534" s="15">
        <v>40.0</v>
      </c>
      <c r="B5534" s="16" t="s">
        <v>10293</v>
      </c>
      <c r="C5534" s="17" t="s">
        <v>5562</v>
      </c>
      <c r="D5534" s="18">
        <v>116.51</v>
      </c>
      <c r="E5534" s="18">
        <v>160.0</v>
      </c>
      <c r="F5534" s="18">
        <v>12.0</v>
      </c>
    </row>
    <row r="5535">
      <c r="A5535" s="6"/>
      <c r="B5535" s="7"/>
      <c r="C5535" s="7"/>
      <c r="D5535" s="7"/>
      <c r="E5535" s="7"/>
      <c r="F5535" s="8"/>
    </row>
    <row r="5536">
      <c r="A5536" s="9" t="s">
        <v>10294</v>
      </c>
      <c r="B5536" s="10"/>
      <c r="C5536" s="10"/>
      <c r="D5536" s="10"/>
      <c r="E5536" s="10"/>
      <c r="F5536" s="10"/>
    </row>
    <row r="5537">
      <c r="A5537" s="11">
        <v>1.0</v>
      </c>
      <c r="B5537" s="12" t="s">
        <v>10295</v>
      </c>
      <c r="C5537" s="13" t="s">
        <v>5536</v>
      </c>
      <c r="D5537" s="14">
        <v>137.14</v>
      </c>
      <c r="E5537" s="14">
        <v>192.0</v>
      </c>
      <c r="F5537" s="14">
        <v>12.0</v>
      </c>
    </row>
    <row r="5538">
      <c r="A5538" s="15">
        <v>2.0</v>
      </c>
      <c r="B5538" s="16" t="s">
        <v>10296</v>
      </c>
      <c r="C5538" s="17" t="s">
        <v>5536</v>
      </c>
      <c r="D5538" s="18">
        <v>70.54</v>
      </c>
      <c r="E5538" s="18">
        <v>98.75</v>
      </c>
      <c r="F5538" s="18">
        <v>12.0</v>
      </c>
    </row>
    <row r="5539">
      <c r="A5539" s="15">
        <v>3.0</v>
      </c>
      <c r="B5539" s="16" t="s">
        <v>10297</v>
      </c>
      <c r="C5539" s="17" t="s">
        <v>5562</v>
      </c>
      <c r="D5539" s="18">
        <v>96.43</v>
      </c>
      <c r="E5539" s="18">
        <v>135.0</v>
      </c>
      <c r="F5539" s="18">
        <v>12.0</v>
      </c>
    </row>
    <row r="5540">
      <c r="A5540" s="15">
        <v>4.0</v>
      </c>
      <c r="B5540" s="16" t="s">
        <v>10297</v>
      </c>
      <c r="C5540" s="17" t="s">
        <v>5788</v>
      </c>
      <c r="D5540" s="18">
        <v>164.28</v>
      </c>
      <c r="E5540" s="18">
        <v>225.0</v>
      </c>
      <c r="F5540" s="18">
        <v>12.0</v>
      </c>
    </row>
    <row r="5541">
      <c r="A5541" s="15">
        <v>5.0</v>
      </c>
      <c r="B5541" s="16" t="s">
        <v>10297</v>
      </c>
      <c r="C5541" s="17" t="s">
        <v>5657</v>
      </c>
      <c r="D5541" s="18">
        <v>117.86</v>
      </c>
      <c r="E5541" s="18">
        <v>165.0</v>
      </c>
      <c r="F5541" s="18">
        <v>12.0</v>
      </c>
    </row>
    <row r="5542">
      <c r="A5542" s="15">
        <v>6.0</v>
      </c>
      <c r="B5542" s="21"/>
      <c r="C5542" s="17" t="s">
        <v>10298</v>
      </c>
      <c r="D5542" s="18">
        <v>4.11</v>
      </c>
      <c r="E5542" s="18">
        <v>5.75</v>
      </c>
      <c r="F5542" s="18">
        <v>12.0</v>
      </c>
    </row>
    <row r="5543">
      <c r="A5543" s="15">
        <v>7.0</v>
      </c>
      <c r="B5543" s="16" t="s">
        <v>4509</v>
      </c>
      <c r="C5543" s="16" t="s">
        <v>5558</v>
      </c>
      <c r="D5543" s="18">
        <v>297.86</v>
      </c>
      <c r="E5543" s="18">
        <v>417.0</v>
      </c>
      <c r="F5543" s="18">
        <v>12.0</v>
      </c>
    </row>
    <row r="5544">
      <c r="A5544" s="15">
        <v>8.0</v>
      </c>
      <c r="B5544" s="16" t="s">
        <v>4510</v>
      </c>
      <c r="C5544" s="16" t="s">
        <v>5558</v>
      </c>
      <c r="D5544" s="18">
        <v>77.97</v>
      </c>
      <c r="E5544" s="18">
        <v>115.0</v>
      </c>
      <c r="F5544" s="18">
        <v>18.0</v>
      </c>
    </row>
    <row r="5545">
      <c r="A5545" s="15">
        <v>9.0</v>
      </c>
      <c r="B5545" s="16" t="s">
        <v>10299</v>
      </c>
      <c r="C5545" s="17" t="s">
        <v>5536</v>
      </c>
      <c r="D5545" s="18">
        <v>145.0</v>
      </c>
      <c r="E5545" s="18">
        <v>203.0</v>
      </c>
      <c r="F5545" s="18">
        <v>12.0</v>
      </c>
    </row>
    <row r="5546">
      <c r="A5546" s="15">
        <v>10.0</v>
      </c>
      <c r="B5546" s="16" t="s">
        <v>10300</v>
      </c>
      <c r="C5546" s="17" t="s">
        <v>5536</v>
      </c>
      <c r="D5546" s="18">
        <v>100.36</v>
      </c>
      <c r="E5546" s="18">
        <v>140.5</v>
      </c>
      <c r="F5546" s="18">
        <v>12.0</v>
      </c>
    </row>
    <row r="5547">
      <c r="A5547" s="15">
        <v>11.0</v>
      </c>
      <c r="B5547" s="16" t="s">
        <v>10301</v>
      </c>
      <c r="C5547" s="17" t="s">
        <v>5788</v>
      </c>
      <c r="D5547" s="18">
        <v>141.43</v>
      </c>
      <c r="E5547" s="18">
        <v>198.0</v>
      </c>
      <c r="F5547" s="18">
        <v>12.0</v>
      </c>
    </row>
    <row r="5548">
      <c r="A5548" s="15">
        <v>12.0</v>
      </c>
      <c r="B5548" s="16" t="s">
        <v>10302</v>
      </c>
      <c r="C5548" s="17" t="s">
        <v>5536</v>
      </c>
      <c r="D5548" s="18">
        <v>18.24</v>
      </c>
      <c r="E5548" s="18">
        <v>25.53</v>
      </c>
      <c r="F5548" s="18">
        <v>12.0</v>
      </c>
    </row>
    <row r="5549">
      <c r="A5549" s="15">
        <v>13.0</v>
      </c>
      <c r="B5549" s="16" t="s">
        <v>10303</v>
      </c>
      <c r="C5549" s="17" t="s">
        <v>5536</v>
      </c>
      <c r="D5549" s="18">
        <v>17.68</v>
      </c>
      <c r="E5549" s="18">
        <v>24.75</v>
      </c>
      <c r="F5549" s="18">
        <v>12.0</v>
      </c>
    </row>
    <row r="5550">
      <c r="A5550" s="15">
        <v>14.0</v>
      </c>
      <c r="B5550" s="16" t="s">
        <v>10304</v>
      </c>
      <c r="C5550" s="17" t="s">
        <v>10305</v>
      </c>
      <c r="D5550" s="18">
        <v>100.0</v>
      </c>
      <c r="E5550" s="18">
        <v>140.0</v>
      </c>
      <c r="F5550" s="18">
        <v>12.0</v>
      </c>
    </row>
    <row r="5551">
      <c r="A5551" s="15">
        <v>15.0</v>
      </c>
      <c r="B5551" s="16" t="s">
        <v>10306</v>
      </c>
      <c r="C5551" s="17" t="s">
        <v>5818</v>
      </c>
      <c r="D5551" s="18">
        <v>178.57</v>
      </c>
      <c r="E5551" s="18">
        <v>250.0</v>
      </c>
      <c r="F5551" s="18">
        <v>12.0</v>
      </c>
    </row>
    <row r="5552">
      <c r="A5552" s="15">
        <v>16.0</v>
      </c>
      <c r="B5552" s="16" t="s">
        <v>10307</v>
      </c>
      <c r="C5552" s="17" t="s">
        <v>5536</v>
      </c>
      <c r="D5552" s="18">
        <v>111.07</v>
      </c>
      <c r="E5552" s="18">
        <v>155.5</v>
      </c>
      <c r="F5552" s="18">
        <v>12.0</v>
      </c>
    </row>
    <row r="5553">
      <c r="A5553" s="15">
        <v>17.0</v>
      </c>
      <c r="B5553" s="16" t="s">
        <v>10308</v>
      </c>
      <c r="C5553" s="17" t="s">
        <v>5818</v>
      </c>
      <c r="D5553" s="18">
        <v>195.71</v>
      </c>
      <c r="E5553" s="18">
        <v>274.0</v>
      </c>
      <c r="F5553" s="18">
        <v>12.0</v>
      </c>
    </row>
    <row r="5554">
      <c r="A5554" s="15">
        <v>18.0</v>
      </c>
      <c r="B5554" s="16" t="s">
        <v>10308</v>
      </c>
      <c r="C5554" s="17" t="s">
        <v>5531</v>
      </c>
      <c r="D5554" s="18">
        <v>112.86</v>
      </c>
      <c r="E5554" s="18">
        <v>158.0</v>
      </c>
      <c r="F5554" s="18">
        <v>12.0</v>
      </c>
    </row>
    <row r="5555">
      <c r="A5555" s="15">
        <v>19.0</v>
      </c>
      <c r="B5555" s="16" t="s">
        <v>10309</v>
      </c>
      <c r="C5555" s="17" t="s">
        <v>5536</v>
      </c>
      <c r="D5555" s="18">
        <v>65.0</v>
      </c>
      <c r="E5555" s="18">
        <v>91.0</v>
      </c>
      <c r="F5555" s="18">
        <v>12.0</v>
      </c>
    </row>
    <row r="5556">
      <c r="A5556" s="15">
        <v>20.0</v>
      </c>
      <c r="B5556" s="16" t="s">
        <v>10310</v>
      </c>
      <c r="C5556" s="17" t="s">
        <v>5536</v>
      </c>
      <c r="D5556" s="18">
        <v>85.71</v>
      </c>
      <c r="E5556" s="18">
        <v>120.0</v>
      </c>
      <c r="F5556" s="18">
        <v>12.0</v>
      </c>
    </row>
    <row r="5557">
      <c r="A5557" s="15">
        <v>21.0</v>
      </c>
      <c r="B5557" s="16" t="s">
        <v>10311</v>
      </c>
      <c r="C5557" s="17" t="s">
        <v>10312</v>
      </c>
      <c r="D5557" s="18">
        <v>196.07</v>
      </c>
      <c r="E5557" s="18">
        <v>274.5</v>
      </c>
      <c r="F5557" s="18">
        <v>12.0</v>
      </c>
    </row>
    <row r="5558">
      <c r="A5558" s="15">
        <v>22.0</v>
      </c>
      <c r="B5558" s="16" t="s">
        <v>10313</v>
      </c>
      <c r="C5558" s="17" t="s">
        <v>5536</v>
      </c>
      <c r="D5558" s="18">
        <v>46.61</v>
      </c>
      <c r="E5558" s="18">
        <v>65.26</v>
      </c>
      <c r="F5558" s="18">
        <v>12.0</v>
      </c>
    </row>
    <row r="5559">
      <c r="A5559" s="15">
        <v>23.0</v>
      </c>
      <c r="B5559" s="16" t="s">
        <v>10314</v>
      </c>
      <c r="C5559" s="17" t="s">
        <v>5536</v>
      </c>
      <c r="D5559" s="18">
        <v>94.29</v>
      </c>
      <c r="E5559" s="18">
        <v>132.0</v>
      </c>
      <c r="F5559" s="18">
        <v>12.0</v>
      </c>
    </row>
    <row r="5560">
      <c r="A5560" s="15">
        <v>24.0</v>
      </c>
      <c r="B5560" s="16" t="s">
        <v>10315</v>
      </c>
      <c r="C5560" s="17" t="s">
        <v>5536</v>
      </c>
      <c r="D5560" s="18">
        <v>144.9</v>
      </c>
      <c r="E5560" s="18">
        <v>202.86</v>
      </c>
      <c r="F5560" s="18">
        <v>12.0</v>
      </c>
    </row>
    <row r="5561">
      <c r="A5561" s="15">
        <v>25.0</v>
      </c>
      <c r="B5561" s="16" t="s">
        <v>4527</v>
      </c>
      <c r="C5561" s="16" t="s">
        <v>6551</v>
      </c>
      <c r="D5561" s="18">
        <v>85.4</v>
      </c>
      <c r="E5561" s="18">
        <v>108.4</v>
      </c>
      <c r="F5561" s="18">
        <v>12.0</v>
      </c>
    </row>
    <row r="5562">
      <c r="A5562" s="15">
        <v>26.0</v>
      </c>
      <c r="B5562" s="16" t="s">
        <v>10316</v>
      </c>
      <c r="C5562" s="17" t="s">
        <v>5768</v>
      </c>
      <c r="D5562" s="18">
        <v>290.55</v>
      </c>
      <c r="E5562" s="18">
        <v>406.77</v>
      </c>
      <c r="F5562" s="18">
        <v>12.0</v>
      </c>
    </row>
    <row r="5563">
      <c r="A5563" s="15">
        <v>27.0</v>
      </c>
      <c r="B5563" s="16" t="s">
        <v>10317</v>
      </c>
      <c r="C5563" s="17" t="s">
        <v>5665</v>
      </c>
      <c r="D5563" s="18">
        <v>104.53</v>
      </c>
      <c r="E5563" s="18">
        <v>145.0</v>
      </c>
      <c r="F5563" s="18">
        <v>12.0</v>
      </c>
    </row>
    <row r="5564">
      <c r="A5564" s="15">
        <v>28.0</v>
      </c>
      <c r="B5564" s="16" t="s">
        <v>10318</v>
      </c>
      <c r="C5564" s="17" t="s">
        <v>5536</v>
      </c>
      <c r="D5564" s="18">
        <v>74.51</v>
      </c>
      <c r="E5564" s="18">
        <v>104.31</v>
      </c>
      <c r="F5564" s="18">
        <v>12.0</v>
      </c>
    </row>
    <row r="5565">
      <c r="A5565" s="15">
        <v>29.0</v>
      </c>
      <c r="B5565" s="16" t="s">
        <v>10319</v>
      </c>
      <c r="C5565" s="17" t="s">
        <v>5536</v>
      </c>
      <c r="D5565" s="18">
        <v>132.14</v>
      </c>
      <c r="E5565" s="18">
        <v>185.0</v>
      </c>
      <c r="F5565" s="18">
        <v>12.0</v>
      </c>
    </row>
    <row r="5566">
      <c r="A5566" s="15">
        <v>30.0</v>
      </c>
      <c r="B5566" s="16" t="s">
        <v>10320</v>
      </c>
      <c r="C5566" s="17" t="s">
        <v>5536</v>
      </c>
      <c r="D5566" s="18">
        <v>55.69</v>
      </c>
      <c r="E5566" s="18">
        <v>77.96</v>
      </c>
      <c r="F5566" s="18">
        <v>12.0</v>
      </c>
    </row>
    <row r="5567">
      <c r="A5567" s="15">
        <v>31.0</v>
      </c>
      <c r="B5567" s="16" t="s">
        <v>10321</v>
      </c>
      <c r="C5567" s="17" t="s">
        <v>5818</v>
      </c>
      <c r="D5567" s="18">
        <v>138.32</v>
      </c>
      <c r="E5567" s="18">
        <v>190.0</v>
      </c>
      <c r="F5567" s="18">
        <v>12.0</v>
      </c>
    </row>
    <row r="5568">
      <c r="A5568" s="15">
        <v>32.0</v>
      </c>
      <c r="B5568" s="16" t="s">
        <v>10321</v>
      </c>
      <c r="C5568" s="17" t="s">
        <v>5530</v>
      </c>
      <c r="D5568" s="18">
        <v>53.57</v>
      </c>
      <c r="E5568" s="18">
        <v>75.0</v>
      </c>
      <c r="F5568" s="18">
        <v>12.0</v>
      </c>
    </row>
    <row r="5569">
      <c r="A5569" s="15">
        <v>33.0</v>
      </c>
      <c r="B5569" s="16" t="s">
        <v>10321</v>
      </c>
      <c r="C5569" s="17" t="s">
        <v>5531</v>
      </c>
      <c r="D5569" s="18">
        <v>85.0</v>
      </c>
      <c r="E5569" s="18">
        <v>119.0</v>
      </c>
      <c r="F5569" s="18">
        <v>12.0</v>
      </c>
    </row>
    <row r="5570">
      <c r="A5570" s="15">
        <v>34.0</v>
      </c>
      <c r="B5570" s="16" t="s">
        <v>10322</v>
      </c>
      <c r="C5570" s="17" t="s">
        <v>10323</v>
      </c>
      <c r="D5570" s="18">
        <v>35.0</v>
      </c>
      <c r="E5570" s="18">
        <v>49.0</v>
      </c>
      <c r="F5570" s="18">
        <v>12.0</v>
      </c>
    </row>
    <row r="5571">
      <c r="A5571" s="15">
        <v>35.0</v>
      </c>
      <c r="B5571" s="16" t="s">
        <v>10322</v>
      </c>
      <c r="C5571" s="17" t="s">
        <v>5992</v>
      </c>
      <c r="D5571" s="18">
        <v>56.43</v>
      </c>
      <c r="E5571" s="18">
        <v>79.0</v>
      </c>
      <c r="F5571" s="18">
        <v>12.0</v>
      </c>
    </row>
    <row r="5572">
      <c r="A5572" s="15">
        <v>36.0</v>
      </c>
      <c r="B5572" s="16" t="s">
        <v>10322</v>
      </c>
      <c r="C5572" s="17" t="s">
        <v>5886</v>
      </c>
      <c r="D5572" s="18">
        <v>90.71</v>
      </c>
      <c r="E5572" s="18">
        <v>127.0</v>
      </c>
      <c r="F5572" s="18">
        <v>12.0</v>
      </c>
    </row>
    <row r="5573">
      <c r="A5573" s="15">
        <v>37.0</v>
      </c>
      <c r="B5573" s="16" t="s">
        <v>10324</v>
      </c>
      <c r="C5573" s="17" t="s">
        <v>5536</v>
      </c>
      <c r="D5573" s="18">
        <v>125.49</v>
      </c>
      <c r="E5573" s="18">
        <v>175.68</v>
      </c>
      <c r="F5573" s="18">
        <v>12.0</v>
      </c>
    </row>
    <row r="5574">
      <c r="A5574" s="15">
        <v>38.0</v>
      </c>
      <c r="B5574" s="16" t="s">
        <v>10325</v>
      </c>
      <c r="C5574" s="17" t="s">
        <v>10326</v>
      </c>
      <c r="D5574" s="18">
        <v>58.57</v>
      </c>
      <c r="E5574" s="18">
        <v>82.0</v>
      </c>
      <c r="F5574" s="18">
        <v>12.0</v>
      </c>
    </row>
    <row r="5575">
      <c r="A5575" s="15">
        <v>39.0</v>
      </c>
      <c r="B5575" s="16" t="s">
        <v>10325</v>
      </c>
      <c r="C5575" s="17" t="s">
        <v>10327</v>
      </c>
      <c r="D5575" s="18">
        <v>92.14</v>
      </c>
      <c r="E5575" s="18">
        <v>129.0</v>
      </c>
      <c r="F5575" s="18">
        <v>12.0</v>
      </c>
    </row>
    <row r="5576">
      <c r="A5576" s="15">
        <v>40.0</v>
      </c>
      <c r="B5576" s="16" t="s">
        <v>10325</v>
      </c>
      <c r="C5576" s="17" t="s">
        <v>10328</v>
      </c>
      <c r="D5576" s="18">
        <v>148.57</v>
      </c>
      <c r="E5576" s="18">
        <v>208.0</v>
      </c>
      <c r="F5576" s="18">
        <v>12.0</v>
      </c>
    </row>
    <row r="5577">
      <c r="A5577" s="15">
        <v>41.0</v>
      </c>
      <c r="B5577" s="16" t="s">
        <v>4543</v>
      </c>
      <c r="C5577" s="16" t="s">
        <v>5558</v>
      </c>
      <c r="D5577" s="18">
        <v>23.21</v>
      </c>
      <c r="E5577" s="18">
        <v>32.5</v>
      </c>
      <c r="F5577" s="18">
        <v>12.0</v>
      </c>
    </row>
    <row r="5578">
      <c r="A5578" s="15">
        <v>42.0</v>
      </c>
      <c r="B5578" s="16" t="s">
        <v>10329</v>
      </c>
      <c r="C5578" s="17" t="s">
        <v>10330</v>
      </c>
      <c r="D5578" s="18">
        <v>42.95</v>
      </c>
      <c r="E5578" s="18">
        <v>59.0</v>
      </c>
      <c r="F5578" s="18">
        <v>12.0</v>
      </c>
    </row>
    <row r="5579">
      <c r="A5579" s="15">
        <v>43.0</v>
      </c>
      <c r="B5579" s="16" t="s">
        <v>10331</v>
      </c>
      <c r="C5579" s="17" t="s">
        <v>5536</v>
      </c>
      <c r="D5579" s="18">
        <v>60.0</v>
      </c>
      <c r="E5579" s="18">
        <v>84.0</v>
      </c>
      <c r="F5579" s="18">
        <v>12.0</v>
      </c>
    </row>
    <row r="5580">
      <c r="A5580" s="15">
        <v>44.0</v>
      </c>
      <c r="B5580" s="16" t="s">
        <v>10332</v>
      </c>
      <c r="C5580" s="17" t="s">
        <v>5536</v>
      </c>
      <c r="D5580" s="18">
        <v>103.57</v>
      </c>
      <c r="E5580" s="18">
        <v>145.0</v>
      </c>
      <c r="F5580" s="18">
        <v>12.0</v>
      </c>
    </row>
    <row r="5581">
      <c r="A5581" s="15">
        <v>45.0</v>
      </c>
      <c r="B5581" s="16" t="s">
        <v>10333</v>
      </c>
      <c r="C5581" s="17" t="s">
        <v>5536</v>
      </c>
      <c r="D5581" s="18">
        <v>38.57</v>
      </c>
      <c r="E5581" s="18">
        <v>54.0</v>
      </c>
      <c r="F5581" s="18">
        <v>12.0</v>
      </c>
    </row>
    <row r="5582">
      <c r="A5582" s="15">
        <v>46.0</v>
      </c>
      <c r="B5582" s="16" t="s">
        <v>10334</v>
      </c>
      <c r="C5582" s="17" t="s">
        <v>5536</v>
      </c>
      <c r="D5582" s="18">
        <v>148.57</v>
      </c>
      <c r="E5582" s="18">
        <v>208.0</v>
      </c>
      <c r="F5582" s="18">
        <v>12.0</v>
      </c>
    </row>
    <row r="5583">
      <c r="A5583" s="15">
        <v>47.0</v>
      </c>
      <c r="B5583" s="16" t="s">
        <v>10335</v>
      </c>
      <c r="C5583" s="17" t="s">
        <v>5536</v>
      </c>
      <c r="D5583" s="18">
        <v>50.0</v>
      </c>
      <c r="E5583" s="18">
        <v>70.0</v>
      </c>
      <c r="F5583" s="18">
        <v>12.0</v>
      </c>
    </row>
    <row r="5584">
      <c r="A5584" s="15">
        <v>48.0</v>
      </c>
      <c r="B5584" s="16" t="s">
        <v>10336</v>
      </c>
      <c r="C5584" s="17" t="s">
        <v>5818</v>
      </c>
      <c r="D5584" s="18">
        <v>63.57</v>
      </c>
      <c r="E5584" s="18">
        <v>89.0</v>
      </c>
      <c r="F5584" s="18">
        <v>12.0</v>
      </c>
    </row>
    <row r="5585">
      <c r="A5585" s="15">
        <v>49.0</v>
      </c>
      <c r="B5585" s="16" t="s">
        <v>10336</v>
      </c>
      <c r="C5585" s="17" t="s">
        <v>6127</v>
      </c>
      <c r="D5585" s="18">
        <v>107.14</v>
      </c>
      <c r="E5585" s="18">
        <v>150.0</v>
      </c>
      <c r="F5585" s="18">
        <v>12.0</v>
      </c>
    </row>
    <row r="5586">
      <c r="A5586" s="6"/>
      <c r="B5586" s="7"/>
      <c r="C5586" s="7"/>
      <c r="D5586" s="7"/>
      <c r="E5586" s="8"/>
      <c r="F5586" s="16" t="s">
        <v>10337</v>
      </c>
    </row>
    <row r="5587">
      <c r="A5587" s="6"/>
      <c r="B5587" s="7"/>
      <c r="C5587" s="7"/>
      <c r="D5587" s="7"/>
      <c r="E5587" s="7"/>
      <c r="F5587" s="8"/>
    </row>
    <row r="5588">
      <c r="A5588" s="6"/>
      <c r="B5588" s="7"/>
      <c r="C5588" s="7"/>
      <c r="D5588" s="7"/>
      <c r="E5588" s="7"/>
      <c r="F5588" s="8"/>
    </row>
    <row r="5589">
      <c r="A5589" s="6"/>
      <c r="B5589" s="7"/>
      <c r="C5589" s="7"/>
      <c r="D5589" s="7"/>
      <c r="E5589" s="7"/>
      <c r="F5589" s="8"/>
    </row>
    <row r="5590">
      <c r="A5590" s="6"/>
      <c r="B5590" s="7"/>
      <c r="C5590" s="7"/>
      <c r="D5590" s="7"/>
      <c r="E5590" s="7"/>
      <c r="F5590" s="8"/>
    </row>
    <row r="5591">
      <c r="A5591" s="9" t="s">
        <v>5582</v>
      </c>
      <c r="B5591" s="10"/>
      <c r="C5591" s="10"/>
      <c r="D5591" s="10"/>
      <c r="E5591" s="10"/>
      <c r="F5591" s="10"/>
    </row>
    <row r="5592">
      <c r="A5592" s="19" t="s">
        <v>5583</v>
      </c>
    </row>
    <row r="5593">
      <c r="A5593" s="6"/>
      <c r="B5593" s="7"/>
      <c r="C5593" s="7"/>
      <c r="D5593" s="8"/>
      <c r="E5593" s="12" t="s">
        <v>5584</v>
      </c>
      <c r="F5593" s="12" t="s">
        <v>10338</v>
      </c>
    </row>
    <row r="5594">
      <c r="A5594" s="20" t="s">
        <v>5522</v>
      </c>
      <c r="B5594" s="16" t="s">
        <v>5523</v>
      </c>
      <c r="C5594" s="16" t="s">
        <v>5524</v>
      </c>
      <c r="D5594" s="16" t="s">
        <v>5525</v>
      </c>
      <c r="E5594" s="16" t="s">
        <v>5526</v>
      </c>
      <c r="F5594" s="16" t="s">
        <v>5586</v>
      </c>
    </row>
    <row r="5595">
      <c r="A5595" s="15">
        <v>50.0</v>
      </c>
      <c r="B5595" s="16" t="s">
        <v>10336</v>
      </c>
      <c r="C5595" s="17" t="s">
        <v>5967</v>
      </c>
      <c r="D5595" s="18">
        <v>145.71</v>
      </c>
      <c r="E5595" s="18">
        <v>204.0</v>
      </c>
      <c r="F5595" s="18">
        <v>12.0</v>
      </c>
    </row>
    <row r="5596">
      <c r="A5596" s="15">
        <v>51.0</v>
      </c>
      <c r="B5596" s="16" t="s">
        <v>10336</v>
      </c>
      <c r="C5596" s="17" t="s">
        <v>5922</v>
      </c>
      <c r="D5596" s="18">
        <v>190.71</v>
      </c>
      <c r="E5596" s="18">
        <v>267.0</v>
      </c>
      <c r="F5596" s="18">
        <v>12.0</v>
      </c>
    </row>
    <row r="5597">
      <c r="A5597" s="15">
        <v>52.0</v>
      </c>
      <c r="B5597" s="16" t="s">
        <v>10336</v>
      </c>
      <c r="C5597" s="17" t="s">
        <v>5531</v>
      </c>
      <c r="D5597" s="18">
        <v>50.71</v>
      </c>
      <c r="E5597" s="18">
        <v>71.0</v>
      </c>
      <c r="F5597" s="18">
        <v>12.0</v>
      </c>
    </row>
    <row r="5598">
      <c r="A5598" s="15">
        <v>53.0</v>
      </c>
      <c r="B5598" s="16" t="s">
        <v>10339</v>
      </c>
      <c r="C5598" s="17" t="s">
        <v>5536</v>
      </c>
      <c r="D5598" s="18">
        <v>45.15</v>
      </c>
      <c r="E5598" s="18">
        <v>62.0</v>
      </c>
      <c r="F5598" s="18">
        <v>12.0</v>
      </c>
    </row>
    <row r="5599">
      <c r="A5599" s="15">
        <v>54.0</v>
      </c>
      <c r="B5599" s="16" t="s">
        <v>10340</v>
      </c>
      <c r="C5599" s="17" t="s">
        <v>10341</v>
      </c>
      <c r="D5599" s="18">
        <v>145.63</v>
      </c>
      <c r="E5599" s="18">
        <v>200.0</v>
      </c>
      <c r="F5599" s="18">
        <v>12.0</v>
      </c>
    </row>
    <row r="5600">
      <c r="A5600" s="15">
        <v>55.0</v>
      </c>
      <c r="B5600" s="16" t="s">
        <v>10342</v>
      </c>
      <c r="C5600" s="17" t="s">
        <v>6114</v>
      </c>
      <c r="D5600" s="18">
        <v>148.21</v>
      </c>
      <c r="E5600" s="18">
        <v>207.5</v>
      </c>
      <c r="F5600" s="18">
        <v>12.0</v>
      </c>
    </row>
    <row r="5601">
      <c r="A5601" s="15">
        <v>56.0</v>
      </c>
      <c r="B5601" s="16" t="s">
        <v>10342</v>
      </c>
      <c r="C5601" s="17" t="s">
        <v>6096</v>
      </c>
      <c r="D5601" s="18">
        <v>200.0</v>
      </c>
      <c r="E5601" s="18">
        <v>280.0</v>
      </c>
      <c r="F5601" s="18">
        <v>12.0</v>
      </c>
    </row>
    <row r="5602">
      <c r="A5602" s="15">
        <v>57.0</v>
      </c>
      <c r="B5602" s="16" t="s">
        <v>10343</v>
      </c>
      <c r="C5602" s="17" t="s">
        <v>5818</v>
      </c>
      <c r="D5602" s="18">
        <v>155.0</v>
      </c>
      <c r="E5602" s="18">
        <v>217.0</v>
      </c>
      <c r="F5602" s="18">
        <v>12.0</v>
      </c>
    </row>
    <row r="5603">
      <c r="A5603" s="15">
        <v>58.0</v>
      </c>
      <c r="B5603" s="16" t="s">
        <v>10344</v>
      </c>
      <c r="C5603" s="17" t="s">
        <v>5536</v>
      </c>
      <c r="D5603" s="18">
        <v>96.42</v>
      </c>
      <c r="E5603" s="18">
        <v>125.0</v>
      </c>
      <c r="F5603" s="18">
        <v>12.0</v>
      </c>
    </row>
    <row r="5604">
      <c r="A5604" s="15">
        <v>59.0</v>
      </c>
      <c r="B5604" s="16" t="s">
        <v>10345</v>
      </c>
      <c r="C5604" s="17" t="s">
        <v>5536</v>
      </c>
      <c r="D5604" s="18">
        <v>19.67</v>
      </c>
      <c r="E5604" s="18">
        <v>27.0</v>
      </c>
      <c r="F5604" s="18">
        <v>12.0</v>
      </c>
    </row>
    <row r="5605">
      <c r="A5605" s="15">
        <v>60.0</v>
      </c>
      <c r="B5605" s="16" t="s">
        <v>10346</v>
      </c>
      <c r="C5605" s="17" t="s">
        <v>5536</v>
      </c>
      <c r="D5605" s="18">
        <v>42.95</v>
      </c>
      <c r="E5605" s="18">
        <v>59.0</v>
      </c>
      <c r="F5605" s="18">
        <v>12.0</v>
      </c>
    </row>
    <row r="5606">
      <c r="A5606" s="15">
        <v>61.0</v>
      </c>
      <c r="B5606" s="16" t="s">
        <v>10347</v>
      </c>
      <c r="C5606" s="17" t="s">
        <v>5636</v>
      </c>
      <c r="D5606" s="18">
        <v>8.04</v>
      </c>
      <c r="E5606" s="18">
        <v>11.25</v>
      </c>
      <c r="F5606" s="18">
        <v>12.0</v>
      </c>
    </row>
    <row r="5607">
      <c r="A5607" s="6"/>
      <c r="B5607" s="7"/>
      <c r="C5607" s="7"/>
      <c r="D5607" s="7"/>
      <c r="E5607" s="7"/>
      <c r="F5607" s="8"/>
    </row>
    <row r="5608">
      <c r="A5608" s="9" t="s">
        <v>10348</v>
      </c>
      <c r="B5608" s="10"/>
      <c r="C5608" s="10"/>
      <c r="D5608" s="10"/>
      <c r="E5608" s="10"/>
      <c r="F5608" s="10"/>
    </row>
    <row r="5609">
      <c r="A5609" s="11">
        <v>1.0</v>
      </c>
      <c r="B5609" s="12" t="s">
        <v>10349</v>
      </c>
      <c r="C5609" s="13" t="s">
        <v>5536</v>
      </c>
      <c r="D5609" s="14">
        <v>63.57</v>
      </c>
      <c r="E5609" s="14">
        <v>89.0</v>
      </c>
      <c r="F5609" s="14">
        <v>12.0</v>
      </c>
    </row>
    <row r="5610">
      <c r="A5610" s="15">
        <v>2.0</v>
      </c>
      <c r="B5610" s="16" t="s">
        <v>10350</v>
      </c>
      <c r="C5610" s="17" t="s">
        <v>5536</v>
      </c>
      <c r="D5610" s="18">
        <v>41.43</v>
      </c>
      <c r="E5610" s="18">
        <v>58.0</v>
      </c>
      <c r="F5610" s="18">
        <v>12.0</v>
      </c>
    </row>
    <row r="5611">
      <c r="A5611" s="15">
        <v>3.0</v>
      </c>
      <c r="B5611" s="16" t="s">
        <v>10351</v>
      </c>
      <c r="C5611" s="17" t="s">
        <v>5614</v>
      </c>
      <c r="D5611" s="18">
        <v>68.57</v>
      </c>
      <c r="E5611" s="18">
        <v>96.0</v>
      </c>
      <c r="F5611" s="18">
        <v>12.0</v>
      </c>
    </row>
    <row r="5612">
      <c r="A5612" s="15">
        <v>4.0</v>
      </c>
      <c r="B5612" s="16" t="s">
        <v>10352</v>
      </c>
      <c r="C5612" s="17" t="s">
        <v>5614</v>
      </c>
      <c r="D5612" s="18">
        <v>97.14</v>
      </c>
      <c r="E5612" s="18">
        <v>136.0</v>
      </c>
      <c r="F5612" s="18">
        <v>12.0</v>
      </c>
    </row>
    <row r="5613">
      <c r="A5613" s="15">
        <v>5.0</v>
      </c>
      <c r="B5613" s="16" t="s">
        <v>10353</v>
      </c>
      <c r="C5613" s="17" t="s">
        <v>5614</v>
      </c>
      <c r="D5613" s="18">
        <v>114.29</v>
      </c>
      <c r="E5613" s="18">
        <v>160.0</v>
      </c>
      <c r="F5613" s="18">
        <v>12.0</v>
      </c>
    </row>
    <row r="5614">
      <c r="A5614" s="15">
        <v>6.0</v>
      </c>
      <c r="B5614" s="16" t="s">
        <v>10354</v>
      </c>
      <c r="C5614" s="17" t="s">
        <v>5614</v>
      </c>
      <c r="D5614" s="18">
        <v>115.07</v>
      </c>
      <c r="E5614" s="18">
        <v>170.0</v>
      </c>
      <c r="F5614" s="18">
        <v>12.0</v>
      </c>
    </row>
    <row r="5615">
      <c r="A5615" s="15">
        <v>7.0</v>
      </c>
      <c r="B5615" s="16" t="s">
        <v>10355</v>
      </c>
      <c r="C5615" s="17" t="s">
        <v>5614</v>
      </c>
      <c r="D5615" s="18">
        <v>80.0</v>
      </c>
      <c r="E5615" s="18">
        <v>112.0</v>
      </c>
      <c r="F5615" s="18">
        <v>12.0</v>
      </c>
    </row>
    <row r="5616">
      <c r="A5616" s="15">
        <v>8.0</v>
      </c>
      <c r="B5616" s="16" t="s">
        <v>10356</v>
      </c>
      <c r="C5616" s="17" t="s">
        <v>5614</v>
      </c>
      <c r="D5616" s="18">
        <v>95.71</v>
      </c>
      <c r="E5616" s="18">
        <v>134.0</v>
      </c>
      <c r="F5616" s="18">
        <v>12.0</v>
      </c>
    </row>
    <row r="5617">
      <c r="A5617" s="15">
        <v>9.0</v>
      </c>
      <c r="B5617" s="16" t="s">
        <v>10357</v>
      </c>
      <c r="C5617" s="17" t="s">
        <v>7481</v>
      </c>
      <c r="D5617" s="18">
        <v>22.51</v>
      </c>
      <c r="E5617" s="18">
        <v>31.51</v>
      </c>
      <c r="F5617" s="18">
        <v>12.0</v>
      </c>
    </row>
    <row r="5618">
      <c r="A5618" s="15">
        <v>10.0</v>
      </c>
      <c r="B5618" s="16" t="s">
        <v>10357</v>
      </c>
      <c r="C5618" s="17" t="s">
        <v>6127</v>
      </c>
      <c r="D5618" s="18">
        <v>24.68</v>
      </c>
      <c r="E5618" s="18">
        <v>34.55</v>
      </c>
      <c r="F5618" s="18">
        <v>12.0</v>
      </c>
    </row>
    <row r="5619">
      <c r="A5619" s="15">
        <v>11.0</v>
      </c>
      <c r="B5619" s="16" t="s">
        <v>10357</v>
      </c>
      <c r="C5619" s="17" t="s">
        <v>5967</v>
      </c>
      <c r="D5619" s="18">
        <v>31.68</v>
      </c>
      <c r="E5619" s="18">
        <v>44.35</v>
      </c>
      <c r="F5619" s="18">
        <v>12.0</v>
      </c>
    </row>
    <row r="5620">
      <c r="A5620" s="15">
        <v>12.0</v>
      </c>
      <c r="B5620" s="16" t="s">
        <v>10357</v>
      </c>
      <c r="C5620" s="17" t="s">
        <v>5665</v>
      </c>
      <c r="D5620" s="18">
        <v>55.26</v>
      </c>
      <c r="E5620" s="18">
        <v>77.37</v>
      </c>
      <c r="F5620" s="18">
        <v>12.0</v>
      </c>
    </row>
    <row r="5621">
      <c r="A5621" s="15">
        <v>13.0</v>
      </c>
      <c r="B5621" s="16" t="s">
        <v>10357</v>
      </c>
      <c r="C5621" s="17" t="s">
        <v>10358</v>
      </c>
      <c r="D5621" s="18">
        <v>24.67</v>
      </c>
      <c r="E5621" s="18">
        <v>32.54</v>
      </c>
      <c r="F5621" s="18">
        <v>12.0</v>
      </c>
    </row>
    <row r="5622">
      <c r="A5622" s="15">
        <v>14.0</v>
      </c>
      <c r="B5622" s="16" t="s">
        <v>10357</v>
      </c>
      <c r="C5622" s="17" t="s">
        <v>10359</v>
      </c>
      <c r="D5622" s="18">
        <v>50.18</v>
      </c>
      <c r="E5622" s="18">
        <v>70.25</v>
      </c>
      <c r="F5622" s="18">
        <v>12.0</v>
      </c>
    </row>
    <row r="5623">
      <c r="A5623" s="15">
        <v>15.0</v>
      </c>
      <c r="B5623" s="16" t="s">
        <v>10357</v>
      </c>
      <c r="C5623" s="17" t="s">
        <v>10360</v>
      </c>
      <c r="D5623" s="18">
        <v>74.29</v>
      </c>
      <c r="E5623" s="18">
        <v>104.0</v>
      </c>
      <c r="F5623" s="18">
        <v>12.0</v>
      </c>
    </row>
    <row r="5624">
      <c r="A5624" s="15">
        <v>16.0</v>
      </c>
      <c r="B5624" s="16" t="s">
        <v>10357</v>
      </c>
      <c r="C5624" s="17" t="s">
        <v>10361</v>
      </c>
      <c r="D5624" s="18">
        <v>77.76</v>
      </c>
      <c r="E5624" s="18">
        <v>108.86</v>
      </c>
      <c r="F5624" s="18">
        <v>12.0</v>
      </c>
    </row>
    <row r="5625">
      <c r="A5625" s="15">
        <v>17.0</v>
      </c>
      <c r="B5625" s="16" t="s">
        <v>10357</v>
      </c>
      <c r="C5625" s="17" t="s">
        <v>10362</v>
      </c>
      <c r="D5625" s="18">
        <v>106.43</v>
      </c>
      <c r="E5625" s="18">
        <v>149.0</v>
      </c>
      <c r="F5625" s="18">
        <v>12.0</v>
      </c>
    </row>
    <row r="5626">
      <c r="A5626" s="15">
        <v>18.0</v>
      </c>
      <c r="B5626" s="16" t="s">
        <v>10357</v>
      </c>
      <c r="C5626" s="17" t="s">
        <v>5960</v>
      </c>
      <c r="D5626" s="18">
        <v>91.01</v>
      </c>
      <c r="E5626" s="18">
        <v>127.42</v>
      </c>
      <c r="F5626" s="18">
        <v>12.0</v>
      </c>
    </row>
    <row r="5627">
      <c r="A5627" s="15">
        <v>19.0</v>
      </c>
      <c r="B5627" s="16" t="s">
        <v>10363</v>
      </c>
      <c r="C5627" s="17" t="s">
        <v>6167</v>
      </c>
      <c r="D5627" s="18">
        <v>49.29</v>
      </c>
      <c r="E5627" s="18">
        <v>69.0</v>
      </c>
      <c r="F5627" s="18">
        <v>12.0</v>
      </c>
    </row>
    <row r="5628">
      <c r="A5628" s="15">
        <v>20.0</v>
      </c>
      <c r="B5628" s="16" t="s">
        <v>10363</v>
      </c>
      <c r="C5628" s="17" t="s">
        <v>8316</v>
      </c>
      <c r="D5628" s="18">
        <v>125.0</v>
      </c>
      <c r="E5628" s="18">
        <v>175.0</v>
      </c>
      <c r="F5628" s="18">
        <v>12.0</v>
      </c>
    </row>
    <row r="5629">
      <c r="A5629" s="15">
        <v>21.0</v>
      </c>
      <c r="B5629" s="16" t="s">
        <v>10363</v>
      </c>
      <c r="C5629" s="17" t="s">
        <v>5788</v>
      </c>
      <c r="D5629" s="18">
        <v>122.86</v>
      </c>
      <c r="E5629" s="18">
        <v>172.0</v>
      </c>
      <c r="F5629" s="18">
        <v>12.0</v>
      </c>
    </row>
    <row r="5630">
      <c r="A5630" s="15">
        <v>22.0</v>
      </c>
      <c r="B5630" s="16" t="s">
        <v>10364</v>
      </c>
      <c r="C5630" s="17" t="s">
        <v>5636</v>
      </c>
      <c r="D5630" s="18">
        <v>157.14</v>
      </c>
      <c r="E5630" s="18">
        <v>220.0</v>
      </c>
      <c r="F5630" s="18">
        <v>12.0</v>
      </c>
    </row>
    <row r="5631">
      <c r="A5631" s="15">
        <v>23.0</v>
      </c>
      <c r="B5631" s="16" t="s">
        <v>10363</v>
      </c>
      <c r="C5631" s="17" t="s">
        <v>5657</v>
      </c>
      <c r="D5631" s="18">
        <v>60.0</v>
      </c>
      <c r="E5631" s="18">
        <v>84.0</v>
      </c>
      <c r="F5631" s="18">
        <v>12.0</v>
      </c>
    </row>
    <row r="5632">
      <c r="A5632" s="15">
        <v>24.0</v>
      </c>
      <c r="B5632" s="16" t="s">
        <v>10365</v>
      </c>
      <c r="C5632" s="17" t="s">
        <v>5653</v>
      </c>
      <c r="D5632" s="18">
        <v>77.66</v>
      </c>
      <c r="E5632" s="18">
        <v>106.0</v>
      </c>
      <c r="F5632" s="18">
        <v>12.0</v>
      </c>
    </row>
    <row r="5633">
      <c r="A5633" s="15">
        <v>25.0</v>
      </c>
      <c r="B5633" s="16" t="s">
        <v>10366</v>
      </c>
      <c r="C5633" s="17" t="s">
        <v>5992</v>
      </c>
      <c r="D5633" s="18">
        <v>12.75</v>
      </c>
      <c r="E5633" s="18">
        <v>17.85</v>
      </c>
      <c r="F5633" s="18">
        <v>12.0</v>
      </c>
    </row>
    <row r="5634">
      <c r="A5634" s="15">
        <v>26.0</v>
      </c>
      <c r="B5634" s="16" t="s">
        <v>10366</v>
      </c>
      <c r="C5634" s="17" t="s">
        <v>10367</v>
      </c>
      <c r="D5634" s="18">
        <v>21.84</v>
      </c>
      <c r="E5634" s="18">
        <v>30.57</v>
      </c>
      <c r="F5634" s="18">
        <v>12.0</v>
      </c>
    </row>
    <row r="5635">
      <c r="A5635" s="15">
        <v>27.0</v>
      </c>
      <c r="B5635" s="16" t="s">
        <v>10368</v>
      </c>
      <c r="C5635" s="17" t="s">
        <v>5536</v>
      </c>
      <c r="D5635" s="18">
        <v>22.01</v>
      </c>
      <c r="E5635" s="18">
        <v>30.24</v>
      </c>
      <c r="F5635" s="18">
        <v>12.0</v>
      </c>
    </row>
    <row r="5636">
      <c r="A5636" s="15">
        <v>28.0</v>
      </c>
      <c r="B5636" s="16" t="s">
        <v>10368</v>
      </c>
      <c r="C5636" s="17" t="s">
        <v>5546</v>
      </c>
      <c r="D5636" s="18">
        <v>37.11</v>
      </c>
      <c r="E5636" s="18">
        <v>51.96</v>
      </c>
      <c r="F5636" s="18">
        <v>12.0</v>
      </c>
    </row>
    <row r="5637">
      <c r="A5637" s="15">
        <v>29.0</v>
      </c>
      <c r="B5637" s="16" t="s">
        <v>10369</v>
      </c>
      <c r="C5637" s="17" t="s">
        <v>5536</v>
      </c>
      <c r="D5637" s="18">
        <v>33.69</v>
      </c>
      <c r="E5637" s="18">
        <v>47.16</v>
      </c>
      <c r="F5637" s="18">
        <v>12.0</v>
      </c>
    </row>
    <row r="5638">
      <c r="A5638" s="15">
        <v>30.0</v>
      </c>
      <c r="B5638" s="16" t="s">
        <v>10370</v>
      </c>
      <c r="C5638" s="17" t="s">
        <v>5536</v>
      </c>
      <c r="D5638" s="18">
        <v>69.29</v>
      </c>
      <c r="E5638" s="18">
        <v>97.0</v>
      </c>
      <c r="F5638" s="18">
        <v>12.0</v>
      </c>
    </row>
    <row r="5639">
      <c r="A5639" s="15">
        <v>31.0</v>
      </c>
      <c r="B5639" s="16" t="s">
        <v>10371</v>
      </c>
      <c r="C5639" s="17" t="s">
        <v>5992</v>
      </c>
      <c r="D5639" s="18">
        <v>14.55</v>
      </c>
      <c r="E5639" s="18">
        <v>20.37</v>
      </c>
      <c r="F5639" s="18">
        <v>12.0</v>
      </c>
    </row>
    <row r="5640">
      <c r="A5640" s="15">
        <v>32.0</v>
      </c>
      <c r="B5640" s="16" t="s">
        <v>10371</v>
      </c>
      <c r="C5640" s="17" t="s">
        <v>5886</v>
      </c>
      <c r="D5640" s="18">
        <v>24.74</v>
      </c>
      <c r="E5640" s="18">
        <v>34.64</v>
      </c>
      <c r="F5640" s="18">
        <v>12.0</v>
      </c>
    </row>
    <row r="5641">
      <c r="A5641" s="15">
        <v>33.0</v>
      </c>
      <c r="B5641" s="16" t="s">
        <v>10372</v>
      </c>
      <c r="C5641" s="17" t="s">
        <v>6127</v>
      </c>
      <c r="D5641" s="18">
        <v>33.49</v>
      </c>
      <c r="E5641" s="18">
        <v>46.0</v>
      </c>
      <c r="F5641" s="18">
        <v>12.0</v>
      </c>
    </row>
    <row r="5642">
      <c r="A5642" s="15">
        <v>34.0</v>
      </c>
      <c r="B5642" s="16" t="s">
        <v>10372</v>
      </c>
      <c r="C5642" s="17" t="s">
        <v>5967</v>
      </c>
      <c r="D5642" s="18">
        <v>62.14</v>
      </c>
      <c r="E5642" s="18">
        <v>87.0</v>
      </c>
      <c r="F5642" s="18">
        <v>12.0</v>
      </c>
    </row>
    <row r="5643">
      <c r="A5643" s="15">
        <v>35.0</v>
      </c>
      <c r="B5643" s="16" t="s">
        <v>10372</v>
      </c>
      <c r="C5643" s="17" t="s">
        <v>5922</v>
      </c>
      <c r="D5643" s="18">
        <v>72.86</v>
      </c>
      <c r="E5643" s="18">
        <v>102.0</v>
      </c>
      <c r="F5643" s="18">
        <v>12.0</v>
      </c>
    </row>
    <row r="5644">
      <c r="A5644" s="15">
        <v>36.0</v>
      </c>
      <c r="B5644" s="16" t="s">
        <v>10373</v>
      </c>
      <c r="C5644" s="17" t="s">
        <v>5536</v>
      </c>
      <c r="D5644" s="18">
        <v>64.64</v>
      </c>
      <c r="E5644" s="18">
        <v>90.49</v>
      </c>
      <c r="F5644" s="18">
        <v>12.0</v>
      </c>
    </row>
    <row r="5645">
      <c r="A5645" s="15">
        <v>37.0</v>
      </c>
      <c r="B5645" s="16" t="s">
        <v>10374</v>
      </c>
      <c r="C5645" s="17" t="s">
        <v>5536</v>
      </c>
      <c r="D5645" s="18">
        <v>102.04</v>
      </c>
      <c r="E5645" s="18">
        <v>142.86</v>
      </c>
      <c r="F5645" s="18">
        <v>12.0</v>
      </c>
    </row>
    <row r="5646">
      <c r="A5646" s="15">
        <v>38.0</v>
      </c>
      <c r="B5646" s="16" t="s">
        <v>10375</v>
      </c>
      <c r="C5646" s="17" t="s">
        <v>5636</v>
      </c>
      <c r="D5646" s="18">
        <v>36.4</v>
      </c>
      <c r="E5646" s="18">
        <v>50.96</v>
      </c>
      <c r="F5646" s="18">
        <v>12.0</v>
      </c>
    </row>
    <row r="5647">
      <c r="A5647" s="15">
        <v>39.0</v>
      </c>
      <c r="B5647" s="16" t="s">
        <v>10376</v>
      </c>
      <c r="C5647" s="17" t="s">
        <v>5788</v>
      </c>
      <c r="D5647" s="18">
        <v>92.14</v>
      </c>
      <c r="E5647" s="18">
        <v>129.0</v>
      </c>
      <c r="F5647" s="18">
        <v>12.0</v>
      </c>
    </row>
    <row r="5648">
      <c r="A5648" s="15">
        <v>40.0</v>
      </c>
      <c r="B5648" s="16" t="s">
        <v>10377</v>
      </c>
      <c r="C5648" s="17" t="s">
        <v>5636</v>
      </c>
      <c r="D5648" s="18">
        <v>80.71</v>
      </c>
      <c r="E5648" s="18">
        <v>113.0</v>
      </c>
      <c r="F5648" s="18">
        <v>12.0</v>
      </c>
    </row>
    <row r="5649">
      <c r="A5649" s="15">
        <v>41.0</v>
      </c>
      <c r="B5649" s="16" t="s">
        <v>10378</v>
      </c>
      <c r="C5649" s="17" t="s">
        <v>5636</v>
      </c>
      <c r="D5649" s="18">
        <v>63.5</v>
      </c>
      <c r="E5649" s="18">
        <v>88.9</v>
      </c>
      <c r="F5649" s="18">
        <v>12.0</v>
      </c>
    </row>
    <row r="5650">
      <c r="A5650" s="15">
        <v>42.0</v>
      </c>
      <c r="B5650" s="16" t="s">
        <v>10379</v>
      </c>
      <c r="C5650" s="17" t="s">
        <v>5536</v>
      </c>
      <c r="D5650" s="18">
        <v>92.14</v>
      </c>
      <c r="E5650" s="18">
        <v>129.0</v>
      </c>
      <c r="F5650" s="18">
        <v>12.0</v>
      </c>
    </row>
    <row r="5651">
      <c r="A5651" s="15">
        <v>43.0</v>
      </c>
      <c r="B5651" s="16" t="s">
        <v>10380</v>
      </c>
      <c r="C5651" s="17" t="s">
        <v>5536</v>
      </c>
      <c r="D5651" s="18">
        <v>59.29</v>
      </c>
      <c r="E5651" s="18">
        <v>83.0</v>
      </c>
      <c r="F5651" s="18">
        <v>12.0</v>
      </c>
    </row>
    <row r="5652">
      <c r="A5652" s="15">
        <v>44.0</v>
      </c>
      <c r="B5652" s="16" t="s">
        <v>4606</v>
      </c>
      <c r="C5652" s="16" t="s">
        <v>5679</v>
      </c>
      <c r="D5652" s="18">
        <v>63.57</v>
      </c>
      <c r="E5652" s="18">
        <v>89.0</v>
      </c>
      <c r="F5652" s="18">
        <v>12.0</v>
      </c>
    </row>
    <row r="5653">
      <c r="A5653" s="15">
        <v>45.0</v>
      </c>
      <c r="B5653" s="16" t="s">
        <v>10381</v>
      </c>
      <c r="C5653" s="17" t="s">
        <v>5636</v>
      </c>
      <c r="D5653" s="18">
        <v>127.14</v>
      </c>
      <c r="E5653" s="18">
        <v>178.0</v>
      </c>
      <c r="F5653" s="18">
        <v>12.0</v>
      </c>
    </row>
    <row r="5654">
      <c r="A5654" s="15">
        <v>46.0</v>
      </c>
      <c r="B5654" s="16" t="s">
        <v>10382</v>
      </c>
      <c r="C5654" s="17" t="s">
        <v>5536</v>
      </c>
      <c r="D5654" s="18">
        <v>37.86</v>
      </c>
      <c r="E5654" s="18">
        <v>53.0</v>
      </c>
      <c r="F5654" s="18">
        <v>12.0</v>
      </c>
    </row>
    <row r="5655">
      <c r="A5655" s="15">
        <v>47.0</v>
      </c>
      <c r="B5655" s="16" t="s">
        <v>10383</v>
      </c>
      <c r="C5655" s="17" t="s">
        <v>5536</v>
      </c>
      <c r="D5655" s="18">
        <v>25.71</v>
      </c>
      <c r="E5655" s="18">
        <v>36.0</v>
      </c>
      <c r="F5655" s="18">
        <v>12.0</v>
      </c>
    </row>
    <row r="5656">
      <c r="A5656" s="6"/>
      <c r="B5656" s="7"/>
      <c r="C5656" s="7"/>
      <c r="D5656" s="7"/>
      <c r="E5656" s="8"/>
      <c r="F5656" s="16" t="s">
        <v>10384</v>
      </c>
    </row>
    <row r="5657">
      <c r="A5657" s="6"/>
      <c r="B5657" s="7"/>
      <c r="C5657" s="7"/>
      <c r="D5657" s="7"/>
      <c r="E5657" s="7"/>
      <c r="F5657" s="8"/>
    </row>
    <row r="5658">
      <c r="A5658" s="6"/>
      <c r="B5658" s="7"/>
      <c r="C5658" s="7"/>
      <c r="D5658" s="7"/>
      <c r="E5658" s="7"/>
      <c r="F5658" s="8"/>
    </row>
    <row r="5659">
      <c r="A5659" s="6"/>
      <c r="B5659" s="7"/>
      <c r="C5659" s="7"/>
      <c r="D5659" s="7"/>
      <c r="E5659" s="7"/>
      <c r="F5659" s="8"/>
    </row>
    <row r="5660">
      <c r="A5660" s="6"/>
      <c r="B5660" s="7"/>
      <c r="C5660" s="7"/>
      <c r="D5660" s="7"/>
      <c r="E5660" s="7"/>
      <c r="F5660" s="8"/>
    </row>
    <row r="5661">
      <c r="A5661" s="9" t="s">
        <v>5582</v>
      </c>
      <c r="B5661" s="10"/>
      <c r="C5661" s="10"/>
      <c r="D5661" s="10"/>
      <c r="E5661" s="10"/>
      <c r="F5661" s="10"/>
    </row>
    <row r="5662">
      <c r="A5662" s="19" t="s">
        <v>5583</v>
      </c>
    </row>
    <row r="5663">
      <c r="A5663" s="6"/>
      <c r="B5663" s="7"/>
      <c r="C5663" s="7"/>
      <c r="D5663" s="8"/>
      <c r="E5663" s="12" t="s">
        <v>5584</v>
      </c>
      <c r="F5663" s="12" t="s">
        <v>10385</v>
      </c>
    </row>
    <row r="5664">
      <c r="A5664" s="20" t="s">
        <v>5522</v>
      </c>
      <c r="B5664" s="16" t="s">
        <v>5523</v>
      </c>
      <c r="C5664" s="16" t="s">
        <v>5524</v>
      </c>
      <c r="D5664" s="16" t="s">
        <v>5525</v>
      </c>
      <c r="E5664" s="16" t="s">
        <v>5526</v>
      </c>
      <c r="F5664" s="16" t="s">
        <v>5586</v>
      </c>
    </row>
    <row r="5665">
      <c r="A5665" s="15">
        <v>48.0</v>
      </c>
      <c r="B5665" s="16" t="s">
        <v>10386</v>
      </c>
      <c r="C5665" s="17" t="s">
        <v>5818</v>
      </c>
      <c r="D5665" s="18">
        <v>88.57</v>
      </c>
      <c r="E5665" s="18">
        <v>124.0</v>
      </c>
      <c r="F5665" s="18">
        <v>12.0</v>
      </c>
    </row>
    <row r="5666">
      <c r="A5666" s="15">
        <v>49.0</v>
      </c>
      <c r="B5666" s="16" t="s">
        <v>10386</v>
      </c>
      <c r="C5666" s="17" t="s">
        <v>6127</v>
      </c>
      <c r="D5666" s="18">
        <v>167.86</v>
      </c>
      <c r="E5666" s="18">
        <v>235.0</v>
      </c>
      <c r="F5666" s="18">
        <v>12.0</v>
      </c>
    </row>
    <row r="5667">
      <c r="A5667" s="15">
        <v>50.0</v>
      </c>
      <c r="B5667" s="16" t="s">
        <v>10386</v>
      </c>
      <c r="C5667" s="17" t="s">
        <v>5967</v>
      </c>
      <c r="D5667" s="18">
        <v>222.14</v>
      </c>
      <c r="E5667" s="18">
        <v>311.0</v>
      </c>
      <c r="F5667" s="18">
        <v>12.0</v>
      </c>
    </row>
    <row r="5668">
      <c r="A5668" s="15">
        <v>51.0</v>
      </c>
      <c r="B5668" s="16" t="s">
        <v>10387</v>
      </c>
      <c r="C5668" s="17" t="s">
        <v>5536</v>
      </c>
      <c r="D5668" s="18">
        <v>57.14</v>
      </c>
      <c r="E5668" s="18">
        <v>80.0</v>
      </c>
      <c r="F5668" s="18">
        <v>12.0</v>
      </c>
    </row>
    <row r="5669">
      <c r="A5669" s="15">
        <v>52.0</v>
      </c>
      <c r="B5669" s="16" t="s">
        <v>10388</v>
      </c>
      <c r="C5669" s="17" t="s">
        <v>6127</v>
      </c>
      <c r="D5669" s="18">
        <v>128.88</v>
      </c>
      <c r="E5669" s="18">
        <v>177.0</v>
      </c>
      <c r="F5669" s="18">
        <v>12.0</v>
      </c>
    </row>
    <row r="5670">
      <c r="A5670" s="15">
        <v>53.0</v>
      </c>
      <c r="B5670" s="16" t="s">
        <v>10389</v>
      </c>
      <c r="C5670" s="17" t="s">
        <v>5922</v>
      </c>
      <c r="D5670" s="18">
        <v>285.0</v>
      </c>
      <c r="E5670" s="18">
        <v>399.0</v>
      </c>
      <c r="F5670" s="18">
        <v>12.0</v>
      </c>
    </row>
    <row r="5671">
      <c r="A5671" s="15">
        <v>54.0</v>
      </c>
      <c r="B5671" s="16" t="s">
        <v>10390</v>
      </c>
      <c r="C5671" s="17" t="s">
        <v>5536</v>
      </c>
      <c r="D5671" s="18">
        <v>12.36</v>
      </c>
      <c r="E5671" s="18">
        <v>17.31</v>
      </c>
      <c r="F5671" s="18">
        <v>12.0</v>
      </c>
    </row>
    <row r="5672">
      <c r="A5672" s="15">
        <v>55.0</v>
      </c>
      <c r="B5672" s="16" t="s">
        <v>10390</v>
      </c>
      <c r="C5672" s="17" t="s">
        <v>5546</v>
      </c>
      <c r="D5672" s="18">
        <v>18.54</v>
      </c>
      <c r="E5672" s="18">
        <v>25.96</v>
      </c>
      <c r="F5672" s="18">
        <v>12.0</v>
      </c>
    </row>
    <row r="5673">
      <c r="A5673" s="15">
        <v>56.0</v>
      </c>
      <c r="B5673" s="16" t="s">
        <v>10391</v>
      </c>
      <c r="C5673" s="17" t="s">
        <v>5536</v>
      </c>
      <c r="D5673" s="18">
        <v>29.74</v>
      </c>
      <c r="E5673" s="18">
        <v>41.63</v>
      </c>
      <c r="F5673" s="18">
        <v>12.0</v>
      </c>
    </row>
    <row r="5674">
      <c r="A5674" s="15">
        <v>57.0</v>
      </c>
      <c r="B5674" s="16" t="s">
        <v>10392</v>
      </c>
      <c r="C5674" s="17" t="s">
        <v>5636</v>
      </c>
      <c r="D5674" s="18">
        <v>32.74</v>
      </c>
      <c r="E5674" s="18">
        <v>45.84</v>
      </c>
      <c r="F5674" s="18">
        <v>12.0</v>
      </c>
    </row>
    <row r="5675">
      <c r="A5675" s="15">
        <v>58.0</v>
      </c>
      <c r="B5675" s="16" t="s">
        <v>10393</v>
      </c>
      <c r="C5675" s="17" t="s">
        <v>5657</v>
      </c>
      <c r="D5675" s="18">
        <v>16.96</v>
      </c>
      <c r="E5675" s="18">
        <v>23.74</v>
      </c>
      <c r="F5675" s="18">
        <v>12.0</v>
      </c>
    </row>
    <row r="5676">
      <c r="A5676" s="15">
        <v>59.0</v>
      </c>
      <c r="B5676" s="16" t="s">
        <v>10393</v>
      </c>
      <c r="C5676" s="17" t="s">
        <v>6031</v>
      </c>
      <c r="D5676" s="18">
        <v>27.0</v>
      </c>
      <c r="E5676" s="18">
        <v>37.8</v>
      </c>
      <c r="F5676" s="18">
        <v>12.0</v>
      </c>
    </row>
    <row r="5677">
      <c r="A5677" s="15">
        <v>60.0</v>
      </c>
      <c r="B5677" s="16" t="s">
        <v>10394</v>
      </c>
      <c r="C5677" s="17" t="s">
        <v>5818</v>
      </c>
      <c r="D5677" s="18">
        <v>102.86</v>
      </c>
      <c r="E5677" s="18">
        <v>144.0</v>
      </c>
      <c r="F5677" s="18">
        <v>12.0</v>
      </c>
    </row>
    <row r="5678">
      <c r="A5678" s="15">
        <v>61.0</v>
      </c>
      <c r="B5678" s="16" t="s">
        <v>10394</v>
      </c>
      <c r="C5678" s="17" t="s">
        <v>5967</v>
      </c>
      <c r="D5678" s="18">
        <v>163.57</v>
      </c>
      <c r="E5678" s="18">
        <v>229.0</v>
      </c>
      <c r="F5678" s="18">
        <v>12.0</v>
      </c>
    </row>
    <row r="5679">
      <c r="A5679" s="15">
        <v>62.0</v>
      </c>
      <c r="B5679" s="16" t="s">
        <v>4622</v>
      </c>
      <c r="C5679" s="16" t="s">
        <v>5558</v>
      </c>
      <c r="D5679" s="18">
        <v>92.86</v>
      </c>
      <c r="E5679" s="18">
        <v>130.0</v>
      </c>
      <c r="F5679" s="18">
        <v>12.0</v>
      </c>
    </row>
    <row r="5680">
      <c r="A5680" s="15">
        <v>63.0</v>
      </c>
      <c r="B5680" s="16" t="s">
        <v>10395</v>
      </c>
      <c r="C5680" s="17" t="s">
        <v>5536</v>
      </c>
      <c r="D5680" s="18">
        <v>142.86</v>
      </c>
      <c r="E5680" s="18">
        <v>200.0</v>
      </c>
      <c r="F5680" s="18">
        <v>12.0</v>
      </c>
    </row>
    <row r="5681">
      <c r="A5681" s="15">
        <v>64.0</v>
      </c>
      <c r="B5681" s="16" t="s">
        <v>10396</v>
      </c>
      <c r="C5681" s="17" t="s">
        <v>5536</v>
      </c>
      <c r="D5681" s="18">
        <v>239.29</v>
      </c>
      <c r="E5681" s="18">
        <v>335.0</v>
      </c>
      <c r="F5681" s="18">
        <v>12.0</v>
      </c>
    </row>
    <row r="5682">
      <c r="A5682" s="15">
        <v>65.0</v>
      </c>
      <c r="B5682" s="16" t="s">
        <v>10397</v>
      </c>
      <c r="C5682" s="17" t="s">
        <v>5614</v>
      </c>
      <c r="D5682" s="18">
        <v>113.57</v>
      </c>
      <c r="E5682" s="18">
        <v>159.0</v>
      </c>
      <c r="F5682" s="18">
        <v>12.0</v>
      </c>
    </row>
    <row r="5683">
      <c r="A5683" s="15">
        <v>66.0</v>
      </c>
      <c r="B5683" s="16" t="s">
        <v>10398</v>
      </c>
      <c r="C5683" s="17" t="s">
        <v>5536</v>
      </c>
      <c r="D5683" s="18">
        <v>26.43</v>
      </c>
      <c r="E5683" s="18">
        <v>37.0</v>
      </c>
      <c r="F5683" s="18">
        <v>12.0</v>
      </c>
    </row>
    <row r="5684">
      <c r="A5684" s="15">
        <v>67.0</v>
      </c>
      <c r="B5684" s="16" t="s">
        <v>10399</v>
      </c>
      <c r="C5684" s="17" t="s">
        <v>5614</v>
      </c>
      <c r="D5684" s="18">
        <v>60.71</v>
      </c>
      <c r="E5684" s="18">
        <v>85.0</v>
      </c>
      <c r="F5684" s="18">
        <v>12.0</v>
      </c>
    </row>
    <row r="5685">
      <c r="A5685" s="6"/>
      <c r="B5685" s="7"/>
      <c r="C5685" s="7"/>
      <c r="D5685" s="7"/>
      <c r="E5685" s="7"/>
      <c r="F5685" s="8"/>
    </row>
    <row r="5686">
      <c r="A5686" s="9" t="s">
        <v>10400</v>
      </c>
      <c r="B5686" s="10"/>
      <c r="C5686" s="10"/>
      <c r="D5686" s="10"/>
      <c r="E5686" s="10"/>
      <c r="F5686" s="10"/>
    </row>
    <row r="5687">
      <c r="A5687" s="11">
        <v>1.0</v>
      </c>
      <c r="B5687" s="12" t="s">
        <v>10401</v>
      </c>
      <c r="C5687" s="13" t="s">
        <v>5636</v>
      </c>
      <c r="D5687" s="14">
        <v>27.85</v>
      </c>
      <c r="E5687" s="14">
        <v>36.0</v>
      </c>
      <c r="F5687" s="14">
        <v>12.0</v>
      </c>
    </row>
    <row r="5688">
      <c r="A5688" s="15">
        <v>2.0</v>
      </c>
      <c r="B5688" s="16" t="s">
        <v>4630</v>
      </c>
      <c r="C5688" s="16" t="s">
        <v>5558</v>
      </c>
      <c r="D5688" s="18">
        <v>37.86</v>
      </c>
      <c r="E5688" s="18">
        <v>53.0</v>
      </c>
      <c r="F5688" s="18">
        <v>12.0</v>
      </c>
    </row>
    <row r="5689">
      <c r="A5689" s="15">
        <v>3.0</v>
      </c>
      <c r="B5689" s="16" t="s">
        <v>10402</v>
      </c>
      <c r="C5689" s="17" t="s">
        <v>5536</v>
      </c>
      <c r="D5689" s="18">
        <v>69.29</v>
      </c>
      <c r="E5689" s="18">
        <v>97.0</v>
      </c>
      <c r="F5689" s="18">
        <v>12.0</v>
      </c>
    </row>
    <row r="5690">
      <c r="A5690" s="15">
        <v>4.0</v>
      </c>
      <c r="B5690" s="16" t="s">
        <v>10403</v>
      </c>
      <c r="C5690" s="17" t="s">
        <v>5536</v>
      </c>
      <c r="D5690" s="18">
        <v>90.0</v>
      </c>
      <c r="E5690" s="18">
        <v>126.0</v>
      </c>
      <c r="F5690" s="18">
        <v>12.0</v>
      </c>
    </row>
    <row r="5691">
      <c r="A5691" s="15">
        <v>5.0</v>
      </c>
      <c r="B5691" s="16" t="s">
        <v>10404</v>
      </c>
      <c r="C5691" s="17" t="s">
        <v>5536</v>
      </c>
      <c r="D5691" s="18">
        <v>120.0</v>
      </c>
      <c r="E5691" s="18">
        <v>168.0</v>
      </c>
      <c r="F5691" s="18">
        <v>12.0</v>
      </c>
    </row>
    <row r="5692">
      <c r="A5692" s="15">
        <v>6.0</v>
      </c>
      <c r="B5692" s="16" t="s">
        <v>10405</v>
      </c>
      <c r="C5692" s="17" t="s">
        <v>5536</v>
      </c>
      <c r="D5692" s="18">
        <v>84.29</v>
      </c>
      <c r="E5692" s="18">
        <v>118.0</v>
      </c>
      <c r="F5692" s="18">
        <v>12.0</v>
      </c>
    </row>
    <row r="5693">
      <c r="A5693" s="15">
        <v>7.0</v>
      </c>
      <c r="B5693" s="16" t="s">
        <v>10406</v>
      </c>
      <c r="C5693" s="17" t="s">
        <v>5536</v>
      </c>
      <c r="D5693" s="18">
        <v>114.29</v>
      </c>
      <c r="E5693" s="18">
        <v>160.0</v>
      </c>
      <c r="F5693" s="18">
        <v>12.0</v>
      </c>
    </row>
    <row r="5694">
      <c r="A5694" s="15">
        <v>8.0</v>
      </c>
      <c r="B5694" s="16" t="s">
        <v>10407</v>
      </c>
      <c r="C5694" s="17" t="s">
        <v>5536</v>
      </c>
      <c r="D5694" s="18">
        <v>50.71</v>
      </c>
      <c r="E5694" s="18">
        <v>71.0</v>
      </c>
      <c r="F5694" s="18">
        <v>12.0</v>
      </c>
    </row>
    <row r="5695">
      <c r="A5695" s="15">
        <v>9.0</v>
      </c>
      <c r="B5695" s="16" t="s">
        <v>10408</v>
      </c>
      <c r="C5695" s="17" t="s">
        <v>10409</v>
      </c>
      <c r="D5695" s="18">
        <v>97.14</v>
      </c>
      <c r="E5695" s="18">
        <v>136.0</v>
      </c>
      <c r="F5695" s="18">
        <v>12.0</v>
      </c>
    </row>
    <row r="5696">
      <c r="A5696" s="15">
        <v>10.0</v>
      </c>
      <c r="B5696" s="16" t="s">
        <v>10410</v>
      </c>
      <c r="C5696" s="17" t="s">
        <v>5966</v>
      </c>
      <c r="D5696" s="18">
        <v>85.0</v>
      </c>
      <c r="E5696" s="18">
        <v>119.0</v>
      </c>
      <c r="F5696" s="18">
        <v>12.0</v>
      </c>
    </row>
    <row r="5697">
      <c r="A5697" s="15">
        <v>11.0</v>
      </c>
      <c r="B5697" s="16" t="s">
        <v>10411</v>
      </c>
      <c r="C5697" s="17" t="s">
        <v>5966</v>
      </c>
      <c r="D5697" s="18">
        <v>97.86</v>
      </c>
      <c r="E5697" s="18">
        <v>137.0</v>
      </c>
      <c r="F5697" s="18">
        <v>12.0</v>
      </c>
    </row>
    <row r="5698">
      <c r="A5698" s="15">
        <v>12.0</v>
      </c>
      <c r="B5698" s="16" t="s">
        <v>10411</v>
      </c>
      <c r="C5698" s="17" t="s">
        <v>5967</v>
      </c>
      <c r="D5698" s="18">
        <v>165.71</v>
      </c>
      <c r="E5698" s="18">
        <v>232.0</v>
      </c>
      <c r="F5698" s="18">
        <v>12.0</v>
      </c>
    </row>
    <row r="5699">
      <c r="A5699" s="15">
        <v>13.0</v>
      </c>
      <c r="B5699" s="21"/>
      <c r="C5699" s="17" t="s">
        <v>4641</v>
      </c>
      <c r="D5699" s="18">
        <v>586.12</v>
      </c>
      <c r="E5699" s="18">
        <v>805.0</v>
      </c>
      <c r="F5699" s="18">
        <v>12.0</v>
      </c>
    </row>
    <row r="5700">
      <c r="A5700" s="15">
        <v>14.0</v>
      </c>
      <c r="B5700" s="16" t="s">
        <v>10412</v>
      </c>
      <c r="C5700" s="17" t="s">
        <v>5653</v>
      </c>
      <c r="D5700" s="18">
        <v>41.65</v>
      </c>
      <c r="E5700" s="18">
        <v>58.31</v>
      </c>
      <c r="F5700" s="18">
        <v>12.0</v>
      </c>
    </row>
    <row r="5701">
      <c r="A5701" s="15">
        <v>15.0</v>
      </c>
      <c r="B5701" s="16" t="s">
        <v>10412</v>
      </c>
      <c r="C5701" s="17" t="s">
        <v>5530</v>
      </c>
      <c r="D5701" s="18">
        <v>44.24</v>
      </c>
      <c r="E5701" s="18">
        <v>61.93</v>
      </c>
      <c r="F5701" s="18">
        <v>12.0</v>
      </c>
    </row>
    <row r="5702">
      <c r="A5702" s="15">
        <v>16.0</v>
      </c>
      <c r="B5702" s="16" t="s">
        <v>10412</v>
      </c>
      <c r="C5702" s="17" t="s">
        <v>5531</v>
      </c>
      <c r="D5702" s="18">
        <v>91.43</v>
      </c>
      <c r="E5702" s="18">
        <v>128.0</v>
      </c>
      <c r="F5702" s="18">
        <v>12.0</v>
      </c>
    </row>
    <row r="5703">
      <c r="A5703" s="15">
        <v>17.0</v>
      </c>
      <c r="B5703" s="16" t="s">
        <v>10412</v>
      </c>
      <c r="C5703" s="17" t="s">
        <v>5847</v>
      </c>
      <c r="D5703" s="18">
        <v>114.4</v>
      </c>
      <c r="E5703" s="18">
        <v>160.16</v>
      </c>
      <c r="F5703" s="18">
        <v>12.0</v>
      </c>
    </row>
    <row r="5704">
      <c r="A5704" s="15">
        <v>18.0</v>
      </c>
      <c r="B5704" s="16" t="s">
        <v>10413</v>
      </c>
      <c r="C5704" s="17" t="s">
        <v>6930</v>
      </c>
      <c r="D5704" s="18">
        <v>33.57</v>
      </c>
      <c r="E5704" s="18">
        <v>47.0</v>
      </c>
      <c r="F5704" s="18">
        <v>12.0</v>
      </c>
    </row>
    <row r="5705">
      <c r="A5705" s="15">
        <v>19.0</v>
      </c>
      <c r="B5705" s="16" t="s">
        <v>10413</v>
      </c>
      <c r="C5705" s="17" t="s">
        <v>10414</v>
      </c>
      <c r="D5705" s="18">
        <v>123.57</v>
      </c>
      <c r="E5705" s="18">
        <v>160.0</v>
      </c>
      <c r="F5705" s="18">
        <v>12.0</v>
      </c>
    </row>
    <row r="5706">
      <c r="A5706" s="15">
        <v>20.0</v>
      </c>
      <c r="B5706" s="16" t="s">
        <v>10413</v>
      </c>
      <c r="C5706" s="17" t="s">
        <v>5580</v>
      </c>
      <c r="D5706" s="18">
        <v>58.57</v>
      </c>
      <c r="E5706" s="18">
        <v>82.0</v>
      </c>
      <c r="F5706" s="18">
        <v>12.0</v>
      </c>
    </row>
    <row r="5707">
      <c r="A5707" s="15">
        <v>21.0</v>
      </c>
      <c r="B5707" s="16" t="s">
        <v>10413</v>
      </c>
      <c r="C5707" s="17" t="s">
        <v>5665</v>
      </c>
      <c r="D5707" s="18">
        <v>99.29</v>
      </c>
      <c r="E5707" s="18">
        <v>139.0</v>
      </c>
      <c r="F5707" s="18">
        <v>12.0</v>
      </c>
    </row>
    <row r="5708">
      <c r="A5708" s="15">
        <v>22.0</v>
      </c>
      <c r="B5708" s="16" t="s">
        <v>10413</v>
      </c>
      <c r="C5708" s="17" t="s">
        <v>6083</v>
      </c>
      <c r="D5708" s="18">
        <v>116.43</v>
      </c>
      <c r="E5708" s="18">
        <v>163.0</v>
      </c>
      <c r="F5708" s="18">
        <v>12.0</v>
      </c>
    </row>
    <row r="5709">
      <c r="A5709" s="15">
        <v>23.0</v>
      </c>
      <c r="B5709" s="16" t="s">
        <v>4651</v>
      </c>
      <c r="C5709" s="16" t="s">
        <v>5558</v>
      </c>
      <c r="D5709" s="18">
        <v>67.86</v>
      </c>
      <c r="E5709" s="18">
        <v>95.0</v>
      </c>
      <c r="F5709" s="18">
        <v>12.0</v>
      </c>
    </row>
    <row r="5710">
      <c r="A5710" s="15">
        <v>24.0</v>
      </c>
      <c r="B5710" s="16" t="s">
        <v>10415</v>
      </c>
      <c r="C5710" s="17" t="s">
        <v>10416</v>
      </c>
      <c r="D5710" s="18">
        <v>12.57</v>
      </c>
      <c r="E5710" s="18">
        <v>17.6</v>
      </c>
      <c r="F5710" s="18">
        <v>12.0</v>
      </c>
    </row>
    <row r="5711">
      <c r="A5711" s="15">
        <v>25.0</v>
      </c>
      <c r="B5711" s="16" t="s">
        <v>10415</v>
      </c>
      <c r="C5711" s="17" t="s">
        <v>10417</v>
      </c>
      <c r="D5711" s="18">
        <v>8.79</v>
      </c>
      <c r="E5711" s="18">
        <v>12.3</v>
      </c>
      <c r="F5711" s="18">
        <v>12.0</v>
      </c>
    </row>
    <row r="5712">
      <c r="A5712" s="15">
        <v>26.0</v>
      </c>
      <c r="B5712" s="16" t="s">
        <v>10418</v>
      </c>
      <c r="C5712" s="17" t="s">
        <v>10419</v>
      </c>
      <c r="D5712" s="18">
        <v>152.14</v>
      </c>
      <c r="E5712" s="18">
        <v>213.0</v>
      </c>
      <c r="F5712" s="18">
        <v>12.0</v>
      </c>
    </row>
    <row r="5713">
      <c r="A5713" s="15">
        <v>27.0</v>
      </c>
      <c r="B5713" s="16" t="s">
        <v>10418</v>
      </c>
      <c r="C5713" s="17" t="s">
        <v>10420</v>
      </c>
      <c r="D5713" s="18">
        <v>192.86</v>
      </c>
      <c r="E5713" s="18">
        <v>270.0</v>
      </c>
      <c r="F5713" s="18">
        <v>12.0</v>
      </c>
    </row>
    <row r="5714">
      <c r="A5714" s="15">
        <v>28.0</v>
      </c>
      <c r="B5714" s="16" t="s">
        <v>10421</v>
      </c>
      <c r="C5714" s="17" t="s">
        <v>10422</v>
      </c>
      <c r="D5714" s="18">
        <v>175.0</v>
      </c>
      <c r="E5714" s="18">
        <v>245.0</v>
      </c>
      <c r="F5714" s="18">
        <v>12.0</v>
      </c>
    </row>
    <row r="5715">
      <c r="A5715" s="15">
        <v>29.0</v>
      </c>
      <c r="B5715" s="16" t="s">
        <v>10423</v>
      </c>
      <c r="C5715" s="17" t="s">
        <v>5536</v>
      </c>
      <c r="D5715" s="18">
        <v>98.57</v>
      </c>
      <c r="E5715" s="18">
        <v>138.0</v>
      </c>
      <c r="F5715" s="18">
        <v>12.0</v>
      </c>
    </row>
    <row r="5716">
      <c r="A5716" s="15">
        <v>30.0</v>
      </c>
      <c r="B5716" s="16" t="s">
        <v>10424</v>
      </c>
      <c r="C5716" s="17" t="s">
        <v>5818</v>
      </c>
      <c r="D5716" s="18">
        <v>164.29</v>
      </c>
      <c r="E5716" s="18">
        <v>230.0</v>
      </c>
      <c r="F5716" s="18">
        <v>12.0</v>
      </c>
    </row>
    <row r="5717">
      <c r="A5717" s="15">
        <v>31.0</v>
      </c>
      <c r="B5717" s="16" t="s">
        <v>10424</v>
      </c>
      <c r="C5717" s="17" t="s">
        <v>5531</v>
      </c>
      <c r="D5717" s="18">
        <v>114.29</v>
      </c>
      <c r="E5717" s="18">
        <v>160.0</v>
      </c>
      <c r="F5717" s="18">
        <v>12.0</v>
      </c>
    </row>
    <row r="5718">
      <c r="A5718" s="15">
        <v>32.0</v>
      </c>
      <c r="B5718" s="16" t="s">
        <v>10425</v>
      </c>
      <c r="C5718" s="17" t="s">
        <v>5967</v>
      </c>
      <c r="D5718" s="18">
        <v>11.59</v>
      </c>
      <c r="E5718" s="18">
        <v>16.22</v>
      </c>
      <c r="F5718" s="18">
        <v>12.0</v>
      </c>
    </row>
    <row r="5719">
      <c r="A5719" s="15">
        <v>33.0</v>
      </c>
      <c r="B5719" s="16" t="s">
        <v>10426</v>
      </c>
      <c r="C5719" s="17" t="s">
        <v>5636</v>
      </c>
      <c r="D5719" s="18">
        <v>34.29</v>
      </c>
      <c r="E5719" s="18">
        <v>48.0</v>
      </c>
      <c r="F5719" s="18">
        <v>12.0</v>
      </c>
    </row>
    <row r="5720">
      <c r="A5720" s="15">
        <v>34.0</v>
      </c>
      <c r="B5720" s="16" t="s">
        <v>10427</v>
      </c>
      <c r="C5720" s="17" t="s">
        <v>5536</v>
      </c>
      <c r="D5720" s="18">
        <v>72.02</v>
      </c>
      <c r="E5720" s="18">
        <v>100.83</v>
      </c>
      <c r="F5720" s="18">
        <v>12.0</v>
      </c>
    </row>
    <row r="5721">
      <c r="A5721" s="15">
        <v>35.0</v>
      </c>
      <c r="B5721" s="16" t="s">
        <v>10428</v>
      </c>
      <c r="C5721" s="17" t="s">
        <v>5536</v>
      </c>
      <c r="D5721" s="18">
        <v>24.16</v>
      </c>
      <c r="E5721" s="18">
        <v>33.82</v>
      </c>
      <c r="F5721" s="18">
        <v>12.0</v>
      </c>
    </row>
    <row r="5722">
      <c r="A5722" s="15">
        <v>36.0</v>
      </c>
      <c r="B5722" s="16" t="s">
        <v>10429</v>
      </c>
      <c r="C5722" s="17" t="s">
        <v>5536</v>
      </c>
      <c r="D5722" s="18">
        <v>40.96</v>
      </c>
      <c r="E5722" s="18">
        <v>57.34</v>
      </c>
      <c r="F5722" s="18">
        <v>12.0</v>
      </c>
    </row>
    <row r="5723">
      <c r="A5723" s="15">
        <v>37.0</v>
      </c>
      <c r="B5723" s="16" t="s">
        <v>10430</v>
      </c>
      <c r="C5723" s="17" t="s">
        <v>5536</v>
      </c>
      <c r="D5723" s="18">
        <v>56.31</v>
      </c>
      <c r="E5723" s="18">
        <v>78.84</v>
      </c>
      <c r="F5723" s="18">
        <v>12.0</v>
      </c>
    </row>
    <row r="5724">
      <c r="A5724" s="15">
        <v>38.0</v>
      </c>
      <c r="B5724" s="16" t="s">
        <v>10431</v>
      </c>
      <c r="C5724" s="17" t="s">
        <v>5614</v>
      </c>
      <c r="D5724" s="18">
        <v>77.86</v>
      </c>
      <c r="E5724" s="18">
        <v>109.0</v>
      </c>
      <c r="F5724" s="18">
        <v>12.0</v>
      </c>
    </row>
    <row r="5725">
      <c r="A5725" s="15">
        <v>39.0</v>
      </c>
      <c r="B5725" s="16" t="s">
        <v>10432</v>
      </c>
      <c r="C5725" s="17" t="s">
        <v>5788</v>
      </c>
      <c r="D5725" s="18">
        <v>125.0</v>
      </c>
      <c r="E5725" s="18">
        <v>175.0</v>
      </c>
      <c r="F5725" s="18">
        <v>12.0</v>
      </c>
    </row>
    <row r="5726">
      <c r="A5726" s="6"/>
      <c r="B5726" s="7"/>
      <c r="C5726" s="7"/>
      <c r="D5726" s="7"/>
      <c r="E5726" s="8"/>
      <c r="F5726" s="16" t="s">
        <v>10433</v>
      </c>
    </row>
    <row r="5727">
      <c r="A5727" s="6"/>
      <c r="B5727" s="7"/>
      <c r="C5727" s="7"/>
      <c r="D5727" s="7"/>
      <c r="E5727" s="7"/>
      <c r="F5727" s="8"/>
    </row>
    <row r="5728">
      <c r="A5728" s="6"/>
      <c r="B5728" s="7"/>
      <c r="C5728" s="7"/>
      <c r="D5728" s="7"/>
      <c r="E5728" s="7"/>
      <c r="F5728" s="8"/>
    </row>
    <row r="5729">
      <c r="A5729" s="6"/>
      <c r="B5729" s="7"/>
      <c r="C5729" s="7"/>
      <c r="D5729" s="7"/>
      <c r="E5729" s="7"/>
      <c r="F5729" s="8"/>
    </row>
    <row r="5730">
      <c r="A5730" s="6"/>
      <c r="B5730" s="7"/>
      <c r="C5730" s="7"/>
      <c r="D5730" s="7"/>
      <c r="E5730" s="7"/>
      <c r="F5730" s="8"/>
    </row>
    <row r="5731">
      <c r="A5731" s="9" t="s">
        <v>5582</v>
      </c>
      <c r="B5731" s="10"/>
      <c r="C5731" s="10"/>
      <c r="D5731" s="10"/>
      <c r="E5731" s="10"/>
      <c r="F5731" s="10"/>
    </row>
    <row r="5732">
      <c r="A5732" s="19" t="s">
        <v>5583</v>
      </c>
    </row>
    <row r="5733">
      <c r="A5733" s="6"/>
      <c r="B5733" s="7"/>
      <c r="C5733" s="7"/>
      <c r="D5733" s="8"/>
      <c r="E5733" s="12" t="s">
        <v>5584</v>
      </c>
      <c r="F5733" s="12" t="s">
        <v>10434</v>
      </c>
    </row>
    <row r="5734">
      <c r="A5734" s="20" t="s">
        <v>5522</v>
      </c>
      <c r="B5734" s="16" t="s">
        <v>5523</v>
      </c>
      <c r="C5734" s="16" t="s">
        <v>5524</v>
      </c>
      <c r="D5734" s="16" t="s">
        <v>5525</v>
      </c>
      <c r="E5734" s="16" t="s">
        <v>5526</v>
      </c>
      <c r="F5734" s="16" t="s">
        <v>5586</v>
      </c>
    </row>
    <row r="5735">
      <c r="A5735" s="15">
        <v>40.0</v>
      </c>
      <c r="B5735" s="16" t="s">
        <v>4668</v>
      </c>
      <c r="C5735" s="16" t="s">
        <v>5558</v>
      </c>
      <c r="D5735" s="18">
        <v>112.86</v>
      </c>
      <c r="E5735" s="18">
        <v>158.0</v>
      </c>
      <c r="F5735" s="18">
        <v>12.0</v>
      </c>
    </row>
    <row r="5736">
      <c r="A5736" s="15">
        <v>41.0</v>
      </c>
      <c r="B5736" s="16" t="s">
        <v>10435</v>
      </c>
      <c r="C5736" s="17" t="s">
        <v>5818</v>
      </c>
      <c r="D5736" s="18">
        <v>110.71</v>
      </c>
      <c r="E5736" s="18">
        <v>155.0</v>
      </c>
      <c r="F5736" s="18">
        <v>12.0</v>
      </c>
    </row>
    <row r="5737">
      <c r="A5737" s="15">
        <v>42.0</v>
      </c>
      <c r="B5737" s="16" t="s">
        <v>10435</v>
      </c>
      <c r="C5737" s="17" t="s">
        <v>6127</v>
      </c>
      <c r="D5737" s="18">
        <v>175.0</v>
      </c>
      <c r="E5737" s="18">
        <v>245.0</v>
      </c>
      <c r="F5737" s="18">
        <v>12.0</v>
      </c>
    </row>
    <row r="5738">
      <c r="A5738" s="15">
        <v>43.0</v>
      </c>
      <c r="B5738" s="16" t="s">
        <v>10436</v>
      </c>
      <c r="C5738" s="17" t="s">
        <v>5536</v>
      </c>
      <c r="D5738" s="18">
        <v>41.43</v>
      </c>
      <c r="E5738" s="18">
        <v>58.0</v>
      </c>
      <c r="F5738" s="18">
        <v>12.0</v>
      </c>
    </row>
    <row r="5739">
      <c r="A5739" s="15">
        <v>44.0</v>
      </c>
      <c r="B5739" s="16" t="s">
        <v>10437</v>
      </c>
      <c r="C5739" s="17" t="s">
        <v>5614</v>
      </c>
      <c r="D5739" s="18">
        <v>56.43</v>
      </c>
      <c r="E5739" s="18">
        <v>79.0</v>
      </c>
      <c r="F5739" s="18">
        <v>12.0</v>
      </c>
    </row>
    <row r="5740">
      <c r="A5740" s="15">
        <v>45.0</v>
      </c>
      <c r="B5740" s="16" t="s">
        <v>10438</v>
      </c>
      <c r="C5740" s="17" t="s">
        <v>5614</v>
      </c>
      <c r="D5740" s="18">
        <v>23.68</v>
      </c>
      <c r="E5740" s="18">
        <v>33.15</v>
      </c>
      <c r="F5740" s="18">
        <v>12.0</v>
      </c>
    </row>
    <row r="5741">
      <c r="A5741" s="15">
        <v>46.0</v>
      </c>
      <c r="B5741" s="16" t="s">
        <v>10439</v>
      </c>
      <c r="C5741" s="17" t="s">
        <v>5614</v>
      </c>
      <c r="D5741" s="18">
        <v>29.04</v>
      </c>
      <c r="E5741" s="18">
        <v>40.65</v>
      </c>
      <c r="F5741" s="18">
        <v>12.0</v>
      </c>
    </row>
    <row r="5742">
      <c r="A5742" s="15">
        <v>47.0</v>
      </c>
      <c r="B5742" s="16" t="s">
        <v>10440</v>
      </c>
      <c r="C5742" s="17" t="s">
        <v>5614</v>
      </c>
      <c r="D5742" s="18">
        <v>78.04</v>
      </c>
      <c r="E5742" s="18">
        <v>109.25</v>
      </c>
      <c r="F5742" s="18">
        <v>12.0</v>
      </c>
    </row>
    <row r="5743">
      <c r="A5743" s="15">
        <v>48.0</v>
      </c>
      <c r="B5743" s="16" t="s">
        <v>4676</v>
      </c>
      <c r="C5743" s="16" t="s">
        <v>5558</v>
      </c>
      <c r="D5743" s="18">
        <v>202.86</v>
      </c>
      <c r="E5743" s="18">
        <v>284.0</v>
      </c>
      <c r="F5743" s="18">
        <v>12.0</v>
      </c>
    </row>
    <row r="5744">
      <c r="A5744" s="15">
        <v>49.0</v>
      </c>
      <c r="B5744" s="16" t="s">
        <v>10441</v>
      </c>
      <c r="C5744" s="17" t="s">
        <v>5614</v>
      </c>
      <c r="D5744" s="18">
        <v>95.0</v>
      </c>
      <c r="E5744" s="18">
        <v>133.0</v>
      </c>
      <c r="F5744" s="18">
        <v>12.0</v>
      </c>
    </row>
    <row r="5745">
      <c r="A5745" s="15">
        <v>50.0</v>
      </c>
      <c r="B5745" s="16" t="s">
        <v>10442</v>
      </c>
      <c r="C5745" s="17" t="s">
        <v>5614</v>
      </c>
      <c r="D5745" s="18">
        <v>123.57</v>
      </c>
      <c r="E5745" s="18">
        <v>173.0</v>
      </c>
      <c r="F5745" s="18">
        <v>12.0</v>
      </c>
    </row>
    <row r="5746">
      <c r="A5746" s="15">
        <v>51.0</v>
      </c>
      <c r="B5746" s="16" t="s">
        <v>10443</v>
      </c>
      <c r="C5746" s="17" t="s">
        <v>5536</v>
      </c>
      <c r="D5746" s="18">
        <v>21.69</v>
      </c>
      <c r="E5746" s="18">
        <v>30.36</v>
      </c>
      <c r="F5746" s="18">
        <v>12.0</v>
      </c>
    </row>
    <row r="5747">
      <c r="A5747" s="15">
        <v>52.0</v>
      </c>
      <c r="B5747" s="16" t="s">
        <v>10444</v>
      </c>
      <c r="C5747" s="17" t="s">
        <v>5536</v>
      </c>
      <c r="D5747" s="18">
        <v>33.55</v>
      </c>
      <c r="E5747" s="18">
        <v>46.97</v>
      </c>
      <c r="F5747" s="18">
        <v>12.0</v>
      </c>
    </row>
    <row r="5748">
      <c r="A5748" s="15">
        <v>53.0</v>
      </c>
      <c r="B5748" s="16" t="s">
        <v>10445</v>
      </c>
      <c r="C5748" s="17" t="s">
        <v>5536</v>
      </c>
      <c r="D5748" s="18">
        <v>43.57</v>
      </c>
      <c r="E5748" s="18">
        <v>61.0</v>
      </c>
      <c r="F5748" s="18">
        <v>12.0</v>
      </c>
    </row>
    <row r="5749">
      <c r="A5749" s="15">
        <v>54.0</v>
      </c>
      <c r="B5749" s="16" t="s">
        <v>10446</v>
      </c>
      <c r="C5749" s="17" t="s">
        <v>5536</v>
      </c>
      <c r="D5749" s="18">
        <v>57.31</v>
      </c>
      <c r="E5749" s="18">
        <v>80.23</v>
      </c>
      <c r="F5749" s="18">
        <v>12.0</v>
      </c>
    </row>
    <row r="5750">
      <c r="A5750" s="15">
        <v>55.0</v>
      </c>
      <c r="B5750" s="16" t="s">
        <v>10447</v>
      </c>
      <c r="C5750" s="17" t="s">
        <v>5788</v>
      </c>
      <c r="D5750" s="18">
        <v>65.71</v>
      </c>
      <c r="E5750" s="18">
        <v>92.0</v>
      </c>
      <c r="F5750" s="18">
        <v>12.0</v>
      </c>
    </row>
    <row r="5751">
      <c r="A5751" s="15">
        <v>56.0</v>
      </c>
      <c r="B5751" s="16" t="s">
        <v>10448</v>
      </c>
      <c r="C5751" s="17" t="s">
        <v>5636</v>
      </c>
      <c r="D5751" s="18">
        <v>42.86</v>
      </c>
      <c r="E5751" s="18">
        <v>60.0</v>
      </c>
      <c r="F5751" s="18">
        <v>12.0</v>
      </c>
    </row>
    <row r="5752">
      <c r="A5752" s="15">
        <v>57.0</v>
      </c>
      <c r="B5752" s="16" t="s">
        <v>10449</v>
      </c>
      <c r="C5752" s="17" t="s">
        <v>5886</v>
      </c>
      <c r="D5752" s="18">
        <v>19.29</v>
      </c>
      <c r="E5752" s="18">
        <v>27.0</v>
      </c>
      <c r="F5752" s="18">
        <v>12.0</v>
      </c>
    </row>
    <row r="5753">
      <c r="A5753" s="15">
        <v>58.0</v>
      </c>
      <c r="B5753" s="16" t="s">
        <v>10447</v>
      </c>
      <c r="C5753" s="17" t="s">
        <v>6384</v>
      </c>
      <c r="D5753" s="18">
        <v>91.8</v>
      </c>
      <c r="E5753" s="18">
        <v>128.52</v>
      </c>
      <c r="F5753" s="18">
        <v>12.0</v>
      </c>
    </row>
    <row r="5754">
      <c r="A5754" s="15">
        <v>59.0</v>
      </c>
      <c r="B5754" s="16" t="s">
        <v>10447</v>
      </c>
      <c r="C5754" s="17" t="s">
        <v>5657</v>
      </c>
      <c r="D5754" s="18">
        <v>57.86</v>
      </c>
      <c r="E5754" s="18">
        <v>81.0</v>
      </c>
      <c r="F5754" s="18">
        <v>12.0</v>
      </c>
    </row>
    <row r="5755">
      <c r="A5755" s="15">
        <v>60.0</v>
      </c>
      <c r="B5755" s="16" t="s">
        <v>10450</v>
      </c>
      <c r="C5755" s="17" t="s">
        <v>5818</v>
      </c>
      <c r="D5755" s="18">
        <v>70.0</v>
      </c>
      <c r="E5755" s="18">
        <v>98.0</v>
      </c>
      <c r="F5755" s="18">
        <v>12.0</v>
      </c>
    </row>
    <row r="5756">
      <c r="A5756" s="15">
        <v>61.0</v>
      </c>
      <c r="B5756" s="16" t="s">
        <v>10450</v>
      </c>
      <c r="C5756" s="17" t="s">
        <v>5966</v>
      </c>
      <c r="D5756" s="18">
        <v>62.18</v>
      </c>
      <c r="E5756" s="18">
        <v>85.41</v>
      </c>
      <c r="F5756" s="18">
        <v>12.0</v>
      </c>
    </row>
    <row r="5757">
      <c r="A5757" s="15">
        <v>62.0</v>
      </c>
      <c r="B5757" s="16" t="s">
        <v>10450</v>
      </c>
      <c r="C5757" s="17" t="s">
        <v>5531</v>
      </c>
      <c r="D5757" s="18">
        <v>60.0</v>
      </c>
      <c r="E5757" s="18">
        <v>84.0</v>
      </c>
      <c r="F5757" s="18">
        <v>12.0</v>
      </c>
    </row>
    <row r="5758">
      <c r="A5758" s="15">
        <v>63.0</v>
      </c>
      <c r="B5758" s="16" t="s">
        <v>9957</v>
      </c>
      <c r="C5758" s="17" t="s">
        <v>5831</v>
      </c>
      <c r="D5758" s="18">
        <v>88.93</v>
      </c>
      <c r="E5758" s="18">
        <v>124.5</v>
      </c>
      <c r="F5758" s="18">
        <v>12.0</v>
      </c>
    </row>
    <row r="5759">
      <c r="A5759" s="6"/>
      <c r="B5759" s="7"/>
      <c r="C5759" s="7"/>
      <c r="D5759" s="7"/>
      <c r="E5759" s="7"/>
      <c r="F5759" s="8"/>
    </row>
    <row r="5760">
      <c r="A5760" s="9" t="s">
        <v>10451</v>
      </c>
      <c r="B5760" s="10"/>
      <c r="C5760" s="10"/>
      <c r="D5760" s="10"/>
      <c r="E5760" s="10"/>
      <c r="F5760" s="10"/>
    </row>
    <row r="5761">
      <c r="A5761" s="11">
        <v>1.0</v>
      </c>
      <c r="B5761" s="12" t="s">
        <v>10452</v>
      </c>
      <c r="C5761" s="13" t="s">
        <v>5536</v>
      </c>
      <c r="D5761" s="14">
        <v>92.5</v>
      </c>
      <c r="E5761" s="14">
        <v>129.5</v>
      </c>
      <c r="F5761" s="14">
        <v>12.0</v>
      </c>
    </row>
    <row r="5762">
      <c r="A5762" s="15">
        <v>2.0</v>
      </c>
      <c r="B5762" s="16" t="s">
        <v>10453</v>
      </c>
      <c r="C5762" s="17" t="s">
        <v>5536</v>
      </c>
      <c r="D5762" s="18">
        <v>125.36</v>
      </c>
      <c r="E5762" s="18">
        <v>175.5</v>
      </c>
      <c r="F5762" s="18">
        <v>12.0</v>
      </c>
    </row>
    <row r="5763">
      <c r="A5763" s="15">
        <v>3.0</v>
      </c>
      <c r="B5763" s="16" t="s">
        <v>10454</v>
      </c>
      <c r="C5763" s="17" t="s">
        <v>10455</v>
      </c>
      <c r="D5763" s="18">
        <v>125.36</v>
      </c>
      <c r="E5763" s="18">
        <v>175.5</v>
      </c>
      <c r="F5763" s="18">
        <v>12.0</v>
      </c>
    </row>
    <row r="5764">
      <c r="A5764" s="15">
        <v>4.0</v>
      </c>
      <c r="B5764" s="16" t="s">
        <v>10454</v>
      </c>
      <c r="C5764" s="17" t="s">
        <v>10456</v>
      </c>
      <c r="D5764" s="18">
        <v>192.86</v>
      </c>
      <c r="E5764" s="18">
        <v>270.0</v>
      </c>
      <c r="F5764" s="18">
        <v>12.0</v>
      </c>
    </row>
    <row r="5765">
      <c r="A5765" s="15">
        <v>5.0</v>
      </c>
      <c r="B5765" s="16" t="s">
        <v>10457</v>
      </c>
      <c r="C5765" s="17" t="s">
        <v>5636</v>
      </c>
      <c r="D5765" s="18">
        <v>50.36</v>
      </c>
      <c r="E5765" s="18">
        <v>70.5</v>
      </c>
      <c r="F5765" s="18">
        <v>12.0</v>
      </c>
    </row>
    <row r="5766">
      <c r="A5766" s="15">
        <v>6.0</v>
      </c>
      <c r="B5766" s="16" t="s">
        <v>10458</v>
      </c>
      <c r="C5766" s="17" t="s">
        <v>6785</v>
      </c>
      <c r="D5766" s="18">
        <v>49.99</v>
      </c>
      <c r="E5766" s="18">
        <v>69.98</v>
      </c>
      <c r="F5766" s="18">
        <v>12.0</v>
      </c>
    </row>
    <row r="5767">
      <c r="A5767" s="15">
        <v>7.0</v>
      </c>
      <c r="B5767" s="16" t="s">
        <v>10459</v>
      </c>
      <c r="C5767" s="17" t="s">
        <v>5636</v>
      </c>
      <c r="D5767" s="18">
        <v>66.43</v>
      </c>
      <c r="E5767" s="18">
        <v>93.0</v>
      </c>
      <c r="F5767" s="18">
        <v>12.0</v>
      </c>
    </row>
    <row r="5768">
      <c r="A5768" s="15">
        <v>8.0</v>
      </c>
      <c r="B5768" s="16" t="s">
        <v>10460</v>
      </c>
      <c r="C5768" s="17" t="s">
        <v>5614</v>
      </c>
      <c r="D5768" s="18">
        <v>68.57</v>
      </c>
      <c r="E5768" s="18">
        <v>96.0</v>
      </c>
      <c r="F5768" s="18">
        <v>12.0</v>
      </c>
    </row>
    <row r="5769">
      <c r="A5769" s="15">
        <v>9.0</v>
      </c>
      <c r="B5769" s="16" t="s">
        <v>10461</v>
      </c>
      <c r="C5769" s="17" t="s">
        <v>5614</v>
      </c>
      <c r="D5769" s="18">
        <v>97.14</v>
      </c>
      <c r="E5769" s="18">
        <v>136.0</v>
      </c>
      <c r="F5769" s="18">
        <v>12.0</v>
      </c>
    </row>
    <row r="5770">
      <c r="A5770" s="15">
        <v>10.0</v>
      </c>
      <c r="B5770" s="16" t="s">
        <v>10462</v>
      </c>
      <c r="C5770" s="17" t="s">
        <v>5614</v>
      </c>
      <c r="D5770" s="18">
        <v>80.0</v>
      </c>
      <c r="E5770" s="18">
        <v>112.0</v>
      </c>
      <c r="F5770" s="18">
        <v>12.0</v>
      </c>
    </row>
    <row r="5771">
      <c r="A5771" s="15">
        <v>11.0</v>
      </c>
      <c r="B5771" s="16" t="s">
        <v>10463</v>
      </c>
      <c r="C5771" s="17" t="s">
        <v>5536</v>
      </c>
      <c r="D5771" s="18">
        <v>117.5</v>
      </c>
      <c r="E5771" s="18">
        <v>164.5</v>
      </c>
      <c r="F5771" s="18">
        <v>12.0</v>
      </c>
    </row>
    <row r="5772">
      <c r="A5772" s="15">
        <v>12.0</v>
      </c>
      <c r="B5772" s="16" t="s">
        <v>10464</v>
      </c>
      <c r="C5772" s="17" t="s">
        <v>5636</v>
      </c>
      <c r="D5772" s="18">
        <v>76.43</v>
      </c>
      <c r="E5772" s="18">
        <v>107.0</v>
      </c>
      <c r="F5772" s="18">
        <v>12.0</v>
      </c>
    </row>
    <row r="5773">
      <c r="A5773" s="15">
        <v>13.0</v>
      </c>
      <c r="B5773" s="16" t="s">
        <v>10465</v>
      </c>
      <c r="C5773" s="17" t="s">
        <v>5636</v>
      </c>
      <c r="D5773" s="18">
        <v>91.79</v>
      </c>
      <c r="E5773" s="18">
        <v>128.5</v>
      </c>
      <c r="F5773" s="18">
        <v>12.0</v>
      </c>
    </row>
    <row r="5774">
      <c r="A5774" s="15">
        <v>14.0</v>
      </c>
      <c r="B5774" s="16" t="s">
        <v>10466</v>
      </c>
      <c r="C5774" s="17" t="s">
        <v>5636</v>
      </c>
      <c r="D5774" s="18">
        <v>150.36</v>
      </c>
      <c r="E5774" s="18">
        <v>210.5</v>
      </c>
      <c r="F5774" s="18">
        <v>12.0</v>
      </c>
    </row>
    <row r="5775">
      <c r="A5775" s="15">
        <v>15.0</v>
      </c>
      <c r="B5775" s="16" t="s">
        <v>10467</v>
      </c>
      <c r="C5775" s="17" t="s">
        <v>5536</v>
      </c>
      <c r="D5775" s="18">
        <v>77.5</v>
      </c>
      <c r="E5775" s="18">
        <v>108.5</v>
      </c>
      <c r="F5775" s="18">
        <v>12.0</v>
      </c>
    </row>
    <row r="5776">
      <c r="A5776" s="15">
        <v>16.0</v>
      </c>
      <c r="B5776" s="16" t="s">
        <v>10468</v>
      </c>
      <c r="C5776" s="17" t="s">
        <v>5536</v>
      </c>
      <c r="D5776" s="18">
        <v>137.86</v>
      </c>
      <c r="E5776" s="18">
        <v>193.0</v>
      </c>
      <c r="F5776" s="18">
        <v>12.0</v>
      </c>
    </row>
    <row r="5777">
      <c r="A5777" s="15">
        <v>17.0</v>
      </c>
      <c r="B5777" s="16" t="s">
        <v>10469</v>
      </c>
      <c r="C5777" s="17" t="s">
        <v>5765</v>
      </c>
      <c r="D5777" s="18">
        <v>79.29</v>
      </c>
      <c r="E5777" s="18">
        <v>111.0</v>
      </c>
      <c r="F5777" s="18">
        <v>12.0</v>
      </c>
    </row>
    <row r="5778">
      <c r="A5778" s="15">
        <v>18.0</v>
      </c>
      <c r="B5778" s="16" t="s">
        <v>4710</v>
      </c>
      <c r="C5778" s="16" t="s">
        <v>5558</v>
      </c>
      <c r="D5778" s="18">
        <v>52.86</v>
      </c>
      <c r="E5778" s="18">
        <v>74.0</v>
      </c>
      <c r="F5778" s="18">
        <v>12.0</v>
      </c>
    </row>
    <row r="5779">
      <c r="A5779" s="15">
        <v>19.0</v>
      </c>
      <c r="B5779" s="16" t="s">
        <v>10470</v>
      </c>
      <c r="C5779" s="17" t="s">
        <v>6785</v>
      </c>
      <c r="D5779" s="18">
        <v>46.6</v>
      </c>
      <c r="E5779" s="18">
        <v>55.0</v>
      </c>
      <c r="F5779" s="18">
        <v>12.0</v>
      </c>
    </row>
    <row r="5780">
      <c r="A5780" s="15">
        <v>20.0</v>
      </c>
      <c r="B5780" s="16" t="s">
        <v>10470</v>
      </c>
      <c r="C5780" s="17" t="s">
        <v>10471</v>
      </c>
      <c r="D5780" s="18">
        <v>60.0</v>
      </c>
      <c r="E5780" s="18">
        <v>84.0</v>
      </c>
      <c r="F5780" s="18">
        <v>12.0</v>
      </c>
    </row>
    <row r="5781">
      <c r="A5781" s="15">
        <v>21.0</v>
      </c>
      <c r="B5781" s="16" t="s">
        <v>10472</v>
      </c>
      <c r="C5781" s="17" t="s">
        <v>5532</v>
      </c>
      <c r="D5781" s="18">
        <v>131.79</v>
      </c>
      <c r="E5781" s="18">
        <v>184.5</v>
      </c>
      <c r="F5781" s="18">
        <v>12.0</v>
      </c>
    </row>
    <row r="5782">
      <c r="A5782" s="15">
        <v>22.0</v>
      </c>
      <c r="B5782" s="16" t="s">
        <v>10470</v>
      </c>
      <c r="C5782" s="17" t="s">
        <v>5636</v>
      </c>
      <c r="D5782" s="18">
        <v>64.29</v>
      </c>
      <c r="E5782" s="18">
        <v>90.0</v>
      </c>
      <c r="F5782" s="18">
        <v>12.0</v>
      </c>
    </row>
    <row r="5783">
      <c r="A5783" s="15">
        <v>23.0</v>
      </c>
      <c r="B5783" s="16" t="s">
        <v>10473</v>
      </c>
      <c r="C5783" s="17" t="s">
        <v>5636</v>
      </c>
      <c r="D5783" s="18">
        <v>123.57</v>
      </c>
      <c r="E5783" s="18">
        <v>173.0</v>
      </c>
      <c r="F5783" s="18">
        <v>12.0</v>
      </c>
    </row>
    <row r="5784">
      <c r="A5784" s="15">
        <v>24.0</v>
      </c>
      <c r="B5784" s="16" t="s">
        <v>10474</v>
      </c>
      <c r="C5784" s="17" t="s">
        <v>9358</v>
      </c>
      <c r="D5784" s="18">
        <v>385.71</v>
      </c>
      <c r="E5784" s="18">
        <v>540.0</v>
      </c>
      <c r="F5784" s="18">
        <v>12.0</v>
      </c>
    </row>
    <row r="5785">
      <c r="A5785" s="15">
        <v>25.0</v>
      </c>
      <c r="B5785" s="16" t="s">
        <v>10474</v>
      </c>
      <c r="C5785" s="17" t="s">
        <v>5562</v>
      </c>
      <c r="D5785" s="18">
        <v>148.93</v>
      </c>
      <c r="E5785" s="18">
        <v>208.5</v>
      </c>
      <c r="F5785" s="18">
        <v>12.0</v>
      </c>
    </row>
    <row r="5786">
      <c r="A5786" s="15">
        <v>26.0</v>
      </c>
      <c r="B5786" s="16" t="s">
        <v>10475</v>
      </c>
      <c r="C5786" s="17" t="s">
        <v>10476</v>
      </c>
      <c r="D5786" s="18">
        <v>180.36</v>
      </c>
      <c r="E5786" s="18">
        <v>252.5</v>
      </c>
      <c r="F5786" s="18">
        <v>12.0</v>
      </c>
    </row>
    <row r="5787">
      <c r="A5787" s="15">
        <v>27.0</v>
      </c>
      <c r="B5787" s="16" t="s">
        <v>10477</v>
      </c>
      <c r="C5787" s="17" t="s">
        <v>10478</v>
      </c>
      <c r="D5787" s="18">
        <v>147.5</v>
      </c>
      <c r="E5787" s="18">
        <v>206.5</v>
      </c>
      <c r="F5787" s="18">
        <v>12.0</v>
      </c>
    </row>
    <row r="5788">
      <c r="A5788" s="15">
        <v>28.0</v>
      </c>
      <c r="B5788" s="16" t="s">
        <v>10477</v>
      </c>
      <c r="C5788" s="17" t="s">
        <v>10479</v>
      </c>
      <c r="D5788" s="18">
        <v>233.06</v>
      </c>
      <c r="E5788" s="18">
        <v>320.0</v>
      </c>
      <c r="F5788" s="18">
        <v>12.0</v>
      </c>
    </row>
    <row r="5789">
      <c r="A5789" s="15">
        <v>29.0</v>
      </c>
      <c r="B5789" s="16" t="s">
        <v>10480</v>
      </c>
      <c r="C5789" s="17" t="s">
        <v>5536</v>
      </c>
      <c r="D5789" s="18">
        <v>71.1</v>
      </c>
      <c r="E5789" s="18">
        <v>99.54</v>
      </c>
      <c r="F5789" s="18">
        <v>12.0</v>
      </c>
    </row>
    <row r="5790">
      <c r="A5790" s="15">
        <v>30.0</v>
      </c>
      <c r="B5790" s="16" t="s">
        <v>10481</v>
      </c>
      <c r="C5790" s="17" t="s">
        <v>5536</v>
      </c>
      <c r="D5790" s="18">
        <v>33.21</v>
      </c>
      <c r="E5790" s="18">
        <v>46.5</v>
      </c>
      <c r="F5790" s="18">
        <v>12.0</v>
      </c>
    </row>
    <row r="5791">
      <c r="A5791" s="15">
        <v>31.0</v>
      </c>
      <c r="B5791" s="16" t="s">
        <v>10482</v>
      </c>
      <c r="C5791" s="17" t="s">
        <v>5536</v>
      </c>
      <c r="D5791" s="18">
        <v>40.64</v>
      </c>
      <c r="E5791" s="18">
        <v>56.89</v>
      </c>
      <c r="F5791" s="18">
        <v>12.0</v>
      </c>
    </row>
    <row r="5792">
      <c r="A5792" s="15">
        <v>32.0</v>
      </c>
      <c r="B5792" s="16" t="s">
        <v>10483</v>
      </c>
      <c r="C5792" s="17" t="s">
        <v>5562</v>
      </c>
      <c r="D5792" s="18">
        <v>81.95</v>
      </c>
      <c r="E5792" s="18">
        <v>112.5</v>
      </c>
      <c r="F5792" s="18">
        <v>12.0</v>
      </c>
    </row>
    <row r="5793">
      <c r="A5793" s="15">
        <v>33.0</v>
      </c>
      <c r="B5793" s="16" t="s">
        <v>4726</v>
      </c>
      <c r="C5793" s="16" t="s">
        <v>5679</v>
      </c>
      <c r="D5793" s="18">
        <v>63.57</v>
      </c>
      <c r="E5793" s="18">
        <v>89.0</v>
      </c>
      <c r="F5793" s="18">
        <v>12.0</v>
      </c>
    </row>
    <row r="5794">
      <c r="A5794" s="15">
        <v>34.0</v>
      </c>
      <c r="B5794" s="16" t="s">
        <v>10484</v>
      </c>
      <c r="C5794" s="17" t="s">
        <v>5636</v>
      </c>
      <c r="D5794" s="18">
        <v>107.07</v>
      </c>
      <c r="E5794" s="18">
        <v>147.0</v>
      </c>
      <c r="F5794" s="18">
        <v>12.0</v>
      </c>
    </row>
    <row r="5795">
      <c r="A5795" s="15">
        <v>35.0</v>
      </c>
      <c r="B5795" s="16" t="s">
        <v>10485</v>
      </c>
      <c r="C5795" s="17" t="s">
        <v>5546</v>
      </c>
      <c r="D5795" s="18">
        <v>61.07</v>
      </c>
      <c r="E5795" s="18">
        <v>85.5</v>
      </c>
      <c r="F5795" s="18">
        <v>12.0</v>
      </c>
    </row>
    <row r="5796">
      <c r="A5796" s="6"/>
      <c r="B5796" s="7"/>
      <c r="C5796" s="7"/>
      <c r="D5796" s="7"/>
      <c r="E5796" s="8"/>
      <c r="F5796" s="16" t="s">
        <v>10486</v>
      </c>
    </row>
    <row r="5797">
      <c r="A5797" s="6"/>
      <c r="B5797" s="7"/>
      <c r="C5797" s="7"/>
      <c r="D5797" s="7"/>
      <c r="E5797" s="7"/>
      <c r="F5797" s="8"/>
    </row>
    <row r="5798">
      <c r="A5798" s="6"/>
      <c r="B5798" s="7"/>
      <c r="C5798" s="7"/>
      <c r="D5798" s="7"/>
      <c r="E5798" s="7"/>
      <c r="F5798" s="8"/>
    </row>
    <row r="5799">
      <c r="A5799" s="6"/>
      <c r="B5799" s="7"/>
      <c r="C5799" s="7"/>
      <c r="D5799" s="7"/>
      <c r="E5799" s="7"/>
      <c r="F5799" s="8"/>
    </row>
    <row r="5800">
      <c r="A5800" s="6"/>
      <c r="B5800" s="7"/>
      <c r="C5800" s="7"/>
      <c r="D5800" s="7"/>
      <c r="E5800" s="7"/>
      <c r="F5800" s="8"/>
    </row>
    <row r="5801">
      <c r="A5801" s="9" t="s">
        <v>5582</v>
      </c>
      <c r="B5801" s="10"/>
      <c r="C5801" s="10"/>
      <c r="D5801" s="10"/>
      <c r="E5801" s="10"/>
      <c r="F5801" s="10"/>
    </row>
    <row r="5802">
      <c r="A5802" s="19" t="s">
        <v>5583</v>
      </c>
    </row>
    <row r="5803">
      <c r="A5803" s="6"/>
      <c r="B5803" s="7"/>
      <c r="C5803" s="7"/>
      <c r="D5803" s="8"/>
      <c r="E5803" s="12" t="s">
        <v>5584</v>
      </c>
      <c r="F5803" s="12" t="s">
        <v>10487</v>
      </c>
    </row>
    <row r="5804">
      <c r="A5804" s="20" t="s">
        <v>5522</v>
      </c>
      <c r="B5804" s="16" t="s">
        <v>5523</v>
      </c>
      <c r="C5804" s="16" t="s">
        <v>5524</v>
      </c>
      <c r="D5804" s="16" t="s">
        <v>5525</v>
      </c>
      <c r="E5804" s="16" t="s">
        <v>5526</v>
      </c>
      <c r="F5804" s="16" t="s">
        <v>5586</v>
      </c>
    </row>
    <row r="5805">
      <c r="A5805" s="15">
        <v>36.0</v>
      </c>
      <c r="B5805" s="16" t="s">
        <v>10488</v>
      </c>
      <c r="C5805" s="17" t="s">
        <v>5546</v>
      </c>
      <c r="D5805" s="18">
        <v>83.04</v>
      </c>
      <c r="E5805" s="18">
        <v>116.25</v>
      </c>
      <c r="F5805" s="18">
        <v>12.0</v>
      </c>
    </row>
    <row r="5806">
      <c r="A5806" s="15">
        <v>37.0</v>
      </c>
      <c r="B5806" s="16" t="s">
        <v>10489</v>
      </c>
      <c r="C5806" s="17" t="s">
        <v>7169</v>
      </c>
      <c r="D5806" s="18">
        <v>55.72</v>
      </c>
      <c r="E5806" s="18">
        <v>78.0</v>
      </c>
      <c r="F5806" s="18">
        <v>12.0</v>
      </c>
    </row>
    <row r="5807">
      <c r="A5807" s="15">
        <v>38.0</v>
      </c>
      <c r="B5807" s="16" t="s">
        <v>10489</v>
      </c>
      <c r="C5807" s="17" t="s">
        <v>10490</v>
      </c>
      <c r="D5807" s="18">
        <v>97.5</v>
      </c>
      <c r="E5807" s="18">
        <v>136.5</v>
      </c>
      <c r="F5807" s="18">
        <v>12.0</v>
      </c>
    </row>
    <row r="5808">
      <c r="A5808" s="15">
        <v>39.0</v>
      </c>
      <c r="B5808" s="16" t="s">
        <v>10489</v>
      </c>
      <c r="C5808" s="17" t="s">
        <v>8672</v>
      </c>
      <c r="D5808" s="18">
        <v>76.43</v>
      </c>
      <c r="E5808" s="18">
        <v>107.0</v>
      </c>
      <c r="F5808" s="18">
        <v>12.0</v>
      </c>
    </row>
    <row r="5809">
      <c r="A5809" s="15">
        <v>40.0</v>
      </c>
      <c r="B5809" s="16" t="s">
        <v>10489</v>
      </c>
      <c r="C5809" s="17" t="s">
        <v>10491</v>
      </c>
      <c r="D5809" s="18">
        <v>130.54</v>
      </c>
      <c r="E5809" s="18">
        <v>182.75</v>
      </c>
      <c r="F5809" s="18">
        <v>12.0</v>
      </c>
    </row>
    <row r="5810">
      <c r="A5810" s="15">
        <v>41.0</v>
      </c>
      <c r="B5810" s="16" t="s">
        <v>10492</v>
      </c>
      <c r="C5810" s="17" t="s">
        <v>10493</v>
      </c>
      <c r="D5810" s="18">
        <v>125.36</v>
      </c>
      <c r="E5810" s="18">
        <v>175.5</v>
      </c>
      <c r="F5810" s="18">
        <v>12.0</v>
      </c>
    </row>
    <row r="5811">
      <c r="A5811" s="15">
        <v>42.0</v>
      </c>
      <c r="B5811" s="16" t="s">
        <v>10494</v>
      </c>
      <c r="C5811" s="17" t="s">
        <v>5636</v>
      </c>
      <c r="D5811" s="18">
        <v>145.0</v>
      </c>
      <c r="E5811" s="18">
        <v>203.0</v>
      </c>
      <c r="F5811" s="18">
        <v>12.0</v>
      </c>
    </row>
    <row r="5812">
      <c r="A5812" s="15">
        <v>43.0</v>
      </c>
      <c r="B5812" s="16" t="s">
        <v>10495</v>
      </c>
      <c r="C5812" s="17" t="s">
        <v>5562</v>
      </c>
      <c r="D5812" s="18">
        <v>152.14</v>
      </c>
      <c r="E5812" s="18">
        <v>213.0</v>
      </c>
      <c r="F5812" s="18">
        <v>12.0</v>
      </c>
    </row>
    <row r="5813">
      <c r="A5813" s="15">
        <v>44.0</v>
      </c>
      <c r="B5813" s="16" t="s">
        <v>10496</v>
      </c>
      <c r="C5813" s="17" t="s">
        <v>5614</v>
      </c>
      <c r="D5813" s="18">
        <v>110.36</v>
      </c>
      <c r="E5813" s="18">
        <v>154.5</v>
      </c>
      <c r="F5813" s="18">
        <v>12.0</v>
      </c>
    </row>
    <row r="5814">
      <c r="A5814" s="15">
        <v>45.0</v>
      </c>
      <c r="B5814" s="16" t="s">
        <v>10497</v>
      </c>
      <c r="C5814" s="17" t="s">
        <v>5614</v>
      </c>
      <c r="D5814" s="18">
        <v>133.42</v>
      </c>
      <c r="E5814" s="18">
        <v>183.2</v>
      </c>
      <c r="F5814" s="18">
        <v>12.0</v>
      </c>
    </row>
    <row r="5815">
      <c r="A5815" s="15">
        <v>46.0</v>
      </c>
      <c r="B5815" s="16" t="s">
        <v>10498</v>
      </c>
      <c r="C5815" s="17" t="s">
        <v>5614</v>
      </c>
      <c r="D5815" s="18">
        <v>122.5</v>
      </c>
      <c r="E5815" s="18">
        <v>171.5</v>
      </c>
      <c r="F5815" s="18">
        <v>12.0</v>
      </c>
    </row>
    <row r="5816">
      <c r="A5816" s="15">
        <v>47.0</v>
      </c>
      <c r="B5816" s="16" t="s">
        <v>10499</v>
      </c>
      <c r="C5816" s="17" t="s">
        <v>5614</v>
      </c>
      <c r="D5816" s="18">
        <v>150.04</v>
      </c>
      <c r="E5816" s="18">
        <v>206.0</v>
      </c>
      <c r="F5816" s="18">
        <v>12.0</v>
      </c>
    </row>
    <row r="5817">
      <c r="A5817" s="6"/>
      <c r="B5817" s="7"/>
      <c r="C5817" s="7"/>
      <c r="D5817" s="7"/>
      <c r="E5817" s="7"/>
      <c r="F5817" s="8"/>
    </row>
    <row r="5818">
      <c r="A5818" s="9" t="s">
        <v>10500</v>
      </c>
      <c r="B5818" s="10"/>
      <c r="C5818" s="10"/>
      <c r="D5818" s="10"/>
      <c r="E5818" s="10"/>
      <c r="F5818" s="10"/>
    </row>
    <row r="5819">
      <c r="A5819" s="11">
        <v>1.0</v>
      </c>
      <c r="B5819" s="12" t="s">
        <v>10501</v>
      </c>
      <c r="C5819" s="12" t="s">
        <v>7779</v>
      </c>
      <c r="D5819" s="14">
        <v>89.32</v>
      </c>
      <c r="E5819" s="14">
        <v>131.75</v>
      </c>
      <c r="F5819" s="14">
        <v>18.0</v>
      </c>
    </row>
    <row r="5820">
      <c r="A5820" s="15">
        <v>2.0</v>
      </c>
      <c r="B5820" s="16" t="s">
        <v>9582</v>
      </c>
      <c r="C5820" s="17" t="s">
        <v>5727</v>
      </c>
      <c r="D5820" s="18">
        <v>89.29</v>
      </c>
      <c r="E5820" s="18">
        <v>125.0</v>
      </c>
      <c r="F5820" s="18">
        <v>12.0</v>
      </c>
    </row>
    <row r="5821">
      <c r="A5821" s="15">
        <v>3.0</v>
      </c>
      <c r="B5821" s="16" t="s">
        <v>10502</v>
      </c>
      <c r="C5821" s="17" t="s">
        <v>6359</v>
      </c>
      <c r="D5821" s="18">
        <v>547.5</v>
      </c>
      <c r="E5821" s="18">
        <v>766.5</v>
      </c>
      <c r="F5821" s="18">
        <v>12.0</v>
      </c>
    </row>
    <row r="5822">
      <c r="A5822" s="15">
        <v>4.0</v>
      </c>
      <c r="B5822" s="16" t="s">
        <v>10503</v>
      </c>
      <c r="C5822" s="17" t="s">
        <v>6359</v>
      </c>
      <c r="D5822" s="18">
        <v>1090.0</v>
      </c>
      <c r="E5822" s="18">
        <v>1526.0</v>
      </c>
      <c r="F5822" s="18">
        <v>12.0</v>
      </c>
    </row>
    <row r="5823">
      <c r="A5823" s="15">
        <v>5.0</v>
      </c>
      <c r="B5823" s="16" t="s">
        <v>10504</v>
      </c>
      <c r="C5823" s="17" t="s">
        <v>5928</v>
      </c>
      <c r="D5823" s="18">
        <v>219.66</v>
      </c>
      <c r="E5823" s="18">
        <v>324.0</v>
      </c>
      <c r="F5823" s="18">
        <v>18.0</v>
      </c>
    </row>
    <row r="5824">
      <c r="A5824" s="15">
        <v>6.0</v>
      </c>
      <c r="B5824" s="16" t="s">
        <v>10504</v>
      </c>
      <c r="C5824" s="17" t="s">
        <v>7299</v>
      </c>
      <c r="D5824" s="18">
        <v>205.42</v>
      </c>
      <c r="E5824" s="18">
        <v>303.0</v>
      </c>
      <c r="F5824" s="18">
        <v>18.0</v>
      </c>
    </row>
    <row r="5825">
      <c r="A5825" s="15">
        <v>7.0</v>
      </c>
      <c r="B5825" s="16" t="s">
        <v>10505</v>
      </c>
      <c r="C5825" s="17" t="s">
        <v>10506</v>
      </c>
      <c r="D5825" s="18">
        <v>751.86</v>
      </c>
      <c r="E5825" s="18">
        <v>1109.0</v>
      </c>
      <c r="F5825" s="18">
        <v>18.0</v>
      </c>
    </row>
    <row r="5826">
      <c r="A5826" s="15">
        <v>8.0</v>
      </c>
      <c r="B5826" s="16" t="s">
        <v>10505</v>
      </c>
      <c r="C5826" s="17" t="s">
        <v>7299</v>
      </c>
      <c r="D5826" s="18">
        <v>262.03</v>
      </c>
      <c r="E5826" s="18">
        <v>386.5</v>
      </c>
      <c r="F5826" s="18">
        <v>18.0</v>
      </c>
    </row>
    <row r="5827">
      <c r="A5827" s="15">
        <v>9.0</v>
      </c>
      <c r="B5827" s="16" t="s">
        <v>10507</v>
      </c>
      <c r="C5827" s="17" t="s">
        <v>8393</v>
      </c>
      <c r="D5827" s="18">
        <v>548.21</v>
      </c>
      <c r="E5827" s="18">
        <v>767.5</v>
      </c>
      <c r="F5827" s="18">
        <v>12.0</v>
      </c>
    </row>
    <row r="5828">
      <c r="A5828" s="15">
        <v>10.0</v>
      </c>
      <c r="B5828" s="16" t="s">
        <v>10508</v>
      </c>
      <c r="C5828" s="17" t="s">
        <v>8995</v>
      </c>
      <c r="D5828" s="18">
        <v>61.43</v>
      </c>
      <c r="E5828" s="18">
        <v>86.0</v>
      </c>
      <c r="F5828" s="18">
        <v>12.0</v>
      </c>
    </row>
    <row r="5829">
      <c r="A5829" s="15">
        <v>11.0</v>
      </c>
      <c r="B5829" s="16" t="s">
        <v>10509</v>
      </c>
      <c r="C5829" s="17" t="s">
        <v>8995</v>
      </c>
      <c r="D5829" s="18">
        <v>56.43</v>
      </c>
      <c r="E5829" s="18">
        <v>79.0</v>
      </c>
      <c r="F5829" s="18">
        <v>12.0</v>
      </c>
    </row>
    <row r="5830">
      <c r="A5830" s="15">
        <v>12.0</v>
      </c>
      <c r="B5830" s="16" t="s">
        <v>10509</v>
      </c>
      <c r="C5830" s="17" t="s">
        <v>8984</v>
      </c>
      <c r="D5830" s="18">
        <v>117.14</v>
      </c>
      <c r="E5830" s="18">
        <v>164.0</v>
      </c>
      <c r="F5830" s="18">
        <v>12.0</v>
      </c>
    </row>
    <row r="5831">
      <c r="A5831" s="15">
        <v>13.0</v>
      </c>
      <c r="B5831" s="16" t="s">
        <v>10509</v>
      </c>
      <c r="C5831" s="17" t="s">
        <v>10510</v>
      </c>
      <c r="D5831" s="18">
        <v>20.18</v>
      </c>
      <c r="E5831" s="18">
        <v>28.25</v>
      </c>
      <c r="F5831" s="18">
        <v>12.0</v>
      </c>
    </row>
    <row r="5832">
      <c r="A5832" s="15">
        <v>14.0</v>
      </c>
      <c r="B5832" s="16" t="s">
        <v>10511</v>
      </c>
      <c r="C5832" s="17" t="s">
        <v>6452</v>
      </c>
      <c r="D5832" s="18">
        <v>97.86</v>
      </c>
      <c r="E5832" s="18">
        <v>137.0</v>
      </c>
      <c r="F5832" s="18">
        <v>12.0</v>
      </c>
    </row>
    <row r="5833">
      <c r="A5833" s="15">
        <v>15.0</v>
      </c>
      <c r="B5833" s="16" t="s">
        <v>10512</v>
      </c>
      <c r="C5833" s="17" t="s">
        <v>5731</v>
      </c>
      <c r="D5833" s="18">
        <v>611.07</v>
      </c>
      <c r="E5833" s="18">
        <v>855.0</v>
      </c>
      <c r="F5833" s="18">
        <v>12.0</v>
      </c>
    </row>
    <row r="5834">
      <c r="A5834" s="15">
        <v>16.0</v>
      </c>
      <c r="B5834" s="16" t="s">
        <v>10513</v>
      </c>
      <c r="C5834" s="17" t="s">
        <v>5731</v>
      </c>
      <c r="D5834" s="18">
        <v>47.86</v>
      </c>
      <c r="E5834" s="18">
        <v>67.0</v>
      </c>
      <c r="F5834" s="18">
        <v>12.0</v>
      </c>
    </row>
    <row r="5835">
      <c r="A5835" s="15">
        <v>17.0</v>
      </c>
      <c r="B5835" s="16" t="s">
        <v>10514</v>
      </c>
      <c r="C5835" s="17" t="s">
        <v>5731</v>
      </c>
      <c r="D5835" s="18">
        <v>107.06</v>
      </c>
      <c r="E5835" s="18">
        <v>149.88</v>
      </c>
      <c r="F5835" s="18">
        <v>12.0</v>
      </c>
    </row>
    <row r="5836">
      <c r="A5836" s="15">
        <v>18.0</v>
      </c>
      <c r="B5836" s="16" t="s">
        <v>10514</v>
      </c>
      <c r="C5836" s="17" t="s">
        <v>6734</v>
      </c>
      <c r="D5836" s="18">
        <v>33.09</v>
      </c>
      <c r="E5836" s="18">
        <v>46.32</v>
      </c>
      <c r="F5836" s="18">
        <v>12.0</v>
      </c>
    </row>
    <row r="5837">
      <c r="A5837" s="15">
        <v>19.0</v>
      </c>
      <c r="B5837" s="16" t="s">
        <v>10515</v>
      </c>
      <c r="C5837" s="17" t="s">
        <v>5731</v>
      </c>
      <c r="D5837" s="18">
        <v>133.21</v>
      </c>
      <c r="E5837" s="18">
        <v>186.5</v>
      </c>
      <c r="F5837" s="18">
        <v>12.0</v>
      </c>
    </row>
    <row r="5838">
      <c r="A5838" s="15">
        <v>20.0</v>
      </c>
      <c r="B5838" s="16" t="s">
        <v>10514</v>
      </c>
      <c r="C5838" s="17" t="s">
        <v>8104</v>
      </c>
      <c r="D5838" s="18">
        <v>107.06</v>
      </c>
      <c r="E5838" s="18">
        <v>149.88</v>
      </c>
      <c r="F5838" s="18">
        <v>12.0</v>
      </c>
    </row>
    <row r="5839">
      <c r="A5839" s="15">
        <v>21.0</v>
      </c>
      <c r="B5839" s="16" t="s">
        <v>10514</v>
      </c>
      <c r="C5839" s="17" t="s">
        <v>6422</v>
      </c>
      <c r="D5839" s="18">
        <v>33.09</v>
      </c>
      <c r="E5839" s="18">
        <v>46.32</v>
      </c>
      <c r="F5839" s="18">
        <v>12.0</v>
      </c>
    </row>
    <row r="5840">
      <c r="A5840" s="15">
        <v>22.0</v>
      </c>
      <c r="B5840" s="16" t="s">
        <v>10516</v>
      </c>
      <c r="C5840" s="17" t="s">
        <v>5827</v>
      </c>
      <c r="D5840" s="18">
        <v>109.29</v>
      </c>
      <c r="E5840" s="18">
        <v>153.0</v>
      </c>
      <c r="F5840" s="18">
        <v>12.0</v>
      </c>
    </row>
    <row r="5841">
      <c r="A5841" s="15">
        <v>23.0</v>
      </c>
      <c r="B5841" s="16" t="s">
        <v>10516</v>
      </c>
      <c r="C5841" s="17" t="s">
        <v>5828</v>
      </c>
      <c r="D5841" s="18">
        <v>250.71</v>
      </c>
      <c r="E5841" s="18">
        <v>351.0</v>
      </c>
      <c r="F5841" s="18">
        <v>12.0</v>
      </c>
    </row>
    <row r="5842">
      <c r="A5842" s="15">
        <v>24.0</v>
      </c>
      <c r="B5842" s="16" t="s">
        <v>10517</v>
      </c>
      <c r="C5842" s="17" t="s">
        <v>10518</v>
      </c>
      <c r="D5842" s="18">
        <v>60.71</v>
      </c>
      <c r="E5842" s="18">
        <v>85.0</v>
      </c>
      <c r="F5842" s="18">
        <v>12.0</v>
      </c>
    </row>
    <row r="5843">
      <c r="A5843" s="15">
        <v>25.0</v>
      </c>
      <c r="B5843" s="16" t="s">
        <v>10519</v>
      </c>
      <c r="C5843" s="17" t="s">
        <v>10520</v>
      </c>
      <c r="D5843" s="18">
        <v>112.5</v>
      </c>
      <c r="E5843" s="18">
        <v>157.5</v>
      </c>
      <c r="F5843" s="18">
        <v>12.0</v>
      </c>
    </row>
    <row r="5844">
      <c r="A5844" s="15">
        <v>26.0</v>
      </c>
      <c r="B5844" s="16" t="s">
        <v>10519</v>
      </c>
      <c r="C5844" s="17" t="s">
        <v>10521</v>
      </c>
      <c r="D5844" s="18">
        <v>87.93</v>
      </c>
      <c r="E5844" s="18">
        <v>122.0</v>
      </c>
      <c r="F5844" s="18">
        <v>12.0</v>
      </c>
    </row>
    <row r="5845">
      <c r="A5845" s="15">
        <v>27.0</v>
      </c>
      <c r="B5845" s="16" t="s">
        <v>10522</v>
      </c>
      <c r="C5845" s="17" t="s">
        <v>10523</v>
      </c>
      <c r="D5845" s="18">
        <v>109.83</v>
      </c>
      <c r="E5845" s="18">
        <v>162.0</v>
      </c>
      <c r="F5845" s="18">
        <v>18.0</v>
      </c>
    </row>
    <row r="5846">
      <c r="A5846" s="15">
        <v>28.0</v>
      </c>
      <c r="B5846" s="16" t="s">
        <v>10522</v>
      </c>
      <c r="C5846" s="17" t="s">
        <v>5867</v>
      </c>
      <c r="D5846" s="18">
        <v>156.79</v>
      </c>
      <c r="E5846" s="18">
        <v>219.5</v>
      </c>
      <c r="F5846" s="18">
        <v>12.0</v>
      </c>
    </row>
    <row r="5847">
      <c r="A5847" s="15">
        <v>29.0</v>
      </c>
      <c r="B5847" s="16" t="s">
        <v>10522</v>
      </c>
      <c r="C5847" s="17" t="s">
        <v>10524</v>
      </c>
      <c r="D5847" s="18">
        <v>195.71</v>
      </c>
      <c r="E5847" s="18">
        <v>274.0</v>
      </c>
      <c r="F5847" s="18">
        <v>12.0</v>
      </c>
    </row>
    <row r="5848">
      <c r="A5848" s="15">
        <v>30.0</v>
      </c>
      <c r="B5848" s="16" t="s">
        <v>10522</v>
      </c>
      <c r="C5848" s="17" t="s">
        <v>10525</v>
      </c>
      <c r="D5848" s="18">
        <v>415.71</v>
      </c>
      <c r="E5848" s="18">
        <v>582.0</v>
      </c>
      <c r="F5848" s="18">
        <v>12.0</v>
      </c>
    </row>
    <row r="5849">
      <c r="A5849" s="15">
        <v>31.0</v>
      </c>
      <c r="B5849" s="16" t="s">
        <v>10522</v>
      </c>
      <c r="C5849" s="17" t="s">
        <v>10526</v>
      </c>
      <c r="D5849" s="18">
        <v>232.14</v>
      </c>
      <c r="E5849" s="18">
        <v>325.0</v>
      </c>
      <c r="F5849" s="18">
        <v>12.0</v>
      </c>
    </row>
    <row r="5850">
      <c r="A5850" s="15">
        <v>32.0</v>
      </c>
      <c r="B5850" s="16" t="s">
        <v>10522</v>
      </c>
      <c r="C5850" s="17" t="s">
        <v>10527</v>
      </c>
      <c r="D5850" s="18">
        <v>110.85</v>
      </c>
      <c r="E5850" s="18">
        <v>163.5</v>
      </c>
      <c r="F5850" s="18">
        <v>18.0</v>
      </c>
    </row>
    <row r="5851">
      <c r="A5851" s="15">
        <v>33.0</v>
      </c>
      <c r="B5851" s="16" t="s">
        <v>10528</v>
      </c>
      <c r="C5851" s="17" t="s">
        <v>10529</v>
      </c>
      <c r="D5851" s="18">
        <v>261.69</v>
      </c>
      <c r="E5851" s="18">
        <v>386.0</v>
      </c>
      <c r="F5851" s="18">
        <v>18.0</v>
      </c>
    </row>
    <row r="5852">
      <c r="A5852" s="15">
        <v>34.0</v>
      </c>
      <c r="B5852" s="16" t="s">
        <v>10530</v>
      </c>
      <c r="C5852" s="17" t="s">
        <v>5636</v>
      </c>
      <c r="D5852" s="18">
        <v>147.86</v>
      </c>
      <c r="E5852" s="18">
        <v>207.0</v>
      </c>
      <c r="F5852" s="18">
        <v>12.0</v>
      </c>
    </row>
    <row r="5853">
      <c r="A5853" s="15">
        <v>35.0</v>
      </c>
      <c r="B5853" s="16" t="s">
        <v>10531</v>
      </c>
      <c r="C5853" s="17" t="s">
        <v>5636</v>
      </c>
      <c r="D5853" s="18">
        <v>121.36</v>
      </c>
      <c r="E5853" s="18">
        <v>179.0</v>
      </c>
      <c r="F5853" s="18">
        <v>18.0</v>
      </c>
    </row>
    <row r="5854">
      <c r="A5854" s="15">
        <v>36.0</v>
      </c>
      <c r="B5854" s="16" t="s">
        <v>10532</v>
      </c>
      <c r="C5854" s="17" t="s">
        <v>5536</v>
      </c>
      <c r="D5854" s="18">
        <v>127.32</v>
      </c>
      <c r="E5854" s="18">
        <v>157.12</v>
      </c>
      <c r="F5854" s="18">
        <v>5.0</v>
      </c>
    </row>
    <row r="5855">
      <c r="A5855" s="15">
        <v>37.0</v>
      </c>
      <c r="B5855" s="16" t="s">
        <v>10533</v>
      </c>
      <c r="C5855" s="17" t="s">
        <v>5833</v>
      </c>
      <c r="D5855" s="18">
        <v>34.72</v>
      </c>
      <c r="E5855" s="18">
        <v>45.57</v>
      </c>
      <c r="F5855" s="18">
        <v>5.0</v>
      </c>
    </row>
    <row r="5856">
      <c r="A5856" s="15">
        <v>38.0</v>
      </c>
      <c r="B5856" s="16" t="s">
        <v>10534</v>
      </c>
      <c r="C5856" s="17" t="s">
        <v>5536</v>
      </c>
      <c r="D5856" s="18">
        <v>65.52</v>
      </c>
      <c r="E5856" s="18">
        <v>86.0</v>
      </c>
      <c r="F5856" s="18">
        <v>5.0</v>
      </c>
    </row>
    <row r="5857">
      <c r="A5857" s="15">
        <v>39.0</v>
      </c>
      <c r="B5857" s="16" t="s">
        <v>10533</v>
      </c>
      <c r="C5857" s="17" t="s">
        <v>6367</v>
      </c>
      <c r="D5857" s="18">
        <v>90.72</v>
      </c>
      <c r="E5857" s="18">
        <v>110.46</v>
      </c>
      <c r="F5857" s="18">
        <v>5.0</v>
      </c>
    </row>
    <row r="5858">
      <c r="A5858" s="15">
        <v>40.0</v>
      </c>
      <c r="B5858" s="16" t="s">
        <v>10535</v>
      </c>
      <c r="C5858" s="17" t="s">
        <v>6456</v>
      </c>
      <c r="D5858" s="18">
        <v>244.19</v>
      </c>
      <c r="E5858" s="18">
        <v>320.5</v>
      </c>
      <c r="F5858" s="18">
        <v>5.0</v>
      </c>
    </row>
    <row r="5859">
      <c r="A5859" s="15">
        <v>41.0</v>
      </c>
      <c r="B5859" s="16" t="s">
        <v>10536</v>
      </c>
      <c r="C5859" s="17" t="s">
        <v>10537</v>
      </c>
      <c r="D5859" s="18">
        <v>166.86</v>
      </c>
      <c r="E5859" s="18">
        <v>200.0</v>
      </c>
      <c r="F5859" s="18">
        <v>5.0</v>
      </c>
    </row>
    <row r="5860">
      <c r="A5860" s="15">
        <v>42.0</v>
      </c>
      <c r="B5860" s="16" t="s">
        <v>10536</v>
      </c>
      <c r="C5860" s="17" t="s">
        <v>10538</v>
      </c>
      <c r="D5860" s="18">
        <v>154.95</v>
      </c>
      <c r="E5860" s="18">
        <v>215.0</v>
      </c>
      <c r="F5860" s="18">
        <v>12.0</v>
      </c>
    </row>
    <row r="5861">
      <c r="A5861" s="15">
        <v>43.0</v>
      </c>
      <c r="B5861" s="16" t="s">
        <v>10539</v>
      </c>
      <c r="C5861" s="17" t="s">
        <v>5546</v>
      </c>
      <c r="D5861" s="18">
        <v>148.93</v>
      </c>
      <c r="E5861" s="18">
        <v>208.5</v>
      </c>
      <c r="F5861" s="18">
        <v>12.0</v>
      </c>
    </row>
    <row r="5862">
      <c r="A5862" s="15">
        <v>44.0</v>
      </c>
      <c r="B5862" s="16" t="s">
        <v>10540</v>
      </c>
      <c r="C5862" s="17" t="s">
        <v>5536</v>
      </c>
      <c r="D5862" s="18">
        <v>47.86</v>
      </c>
      <c r="E5862" s="18">
        <v>67.0</v>
      </c>
      <c r="F5862" s="18">
        <v>12.0</v>
      </c>
    </row>
    <row r="5863">
      <c r="A5863" s="15">
        <v>45.0</v>
      </c>
      <c r="B5863" s="16" t="s">
        <v>10541</v>
      </c>
      <c r="C5863" s="17" t="s">
        <v>5804</v>
      </c>
      <c r="D5863" s="18">
        <v>71.43</v>
      </c>
      <c r="E5863" s="18">
        <v>100.0</v>
      </c>
      <c r="F5863" s="18">
        <v>12.0</v>
      </c>
    </row>
    <row r="5864">
      <c r="A5864" s="15">
        <v>46.0</v>
      </c>
      <c r="B5864" s="16" t="s">
        <v>10541</v>
      </c>
      <c r="C5864" s="17" t="s">
        <v>5636</v>
      </c>
      <c r="D5864" s="18">
        <v>69.29</v>
      </c>
      <c r="E5864" s="18">
        <v>97.0</v>
      </c>
      <c r="F5864" s="18">
        <v>12.0</v>
      </c>
    </row>
    <row r="5865">
      <c r="A5865" s="15">
        <v>47.0</v>
      </c>
      <c r="B5865" s="16" t="s">
        <v>10542</v>
      </c>
      <c r="C5865" s="17" t="s">
        <v>6393</v>
      </c>
      <c r="D5865" s="18">
        <v>27.39</v>
      </c>
      <c r="E5865" s="18">
        <v>38.0</v>
      </c>
      <c r="F5865" s="18">
        <v>12.0</v>
      </c>
    </row>
    <row r="5866">
      <c r="A5866" s="6"/>
      <c r="B5866" s="7"/>
      <c r="C5866" s="7"/>
      <c r="D5866" s="7"/>
      <c r="E5866" s="8"/>
      <c r="F5866" s="16" t="s">
        <v>10543</v>
      </c>
    </row>
    <row r="5867">
      <c r="A5867" s="6"/>
      <c r="B5867" s="7"/>
      <c r="C5867" s="7"/>
      <c r="D5867" s="7"/>
      <c r="E5867" s="7"/>
      <c r="F5867" s="8"/>
    </row>
    <row r="5868">
      <c r="A5868" s="6"/>
      <c r="B5868" s="7"/>
      <c r="C5868" s="7"/>
      <c r="D5868" s="7"/>
      <c r="E5868" s="7"/>
      <c r="F5868" s="8"/>
    </row>
    <row r="5869">
      <c r="A5869" s="6"/>
      <c r="B5869" s="7"/>
      <c r="C5869" s="7"/>
      <c r="D5869" s="7"/>
      <c r="E5869" s="7"/>
      <c r="F5869" s="8"/>
    </row>
    <row r="5870">
      <c r="A5870" s="6"/>
      <c r="B5870" s="7"/>
      <c r="C5870" s="7"/>
      <c r="D5870" s="7"/>
      <c r="E5870" s="7"/>
      <c r="F5870" s="8"/>
    </row>
    <row r="5871">
      <c r="A5871" s="9" t="s">
        <v>5582</v>
      </c>
      <c r="B5871" s="10"/>
      <c r="C5871" s="10"/>
      <c r="D5871" s="10"/>
      <c r="E5871" s="10"/>
      <c r="F5871" s="10"/>
    </row>
    <row r="5872">
      <c r="A5872" s="19" t="s">
        <v>5583</v>
      </c>
    </row>
    <row r="5873">
      <c r="A5873" s="6"/>
      <c r="B5873" s="7"/>
      <c r="C5873" s="7"/>
      <c r="D5873" s="8"/>
      <c r="E5873" s="12" t="s">
        <v>5584</v>
      </c>
      <c r="F5873" s="12" t="s">
        <v>10544</v>
      </c>
    </row>
    <row r="5874">
      <c r="A5874" s="20" t="s">
        <v>5522</v>
      </c>
      <c r="B5874" s="16" t="s">
        <v>5523</v>
      </c>
      <c r="C5874" s="16" t="s">
        <v>5524</v>
      </c>
      <c r="D5874" s="16" t="s">
        <v>5525</v>
      </c>
      <c r="E5874" s="16" t="s">
        <v>5526</v>
      </c>
      <c r="F5874" s="16" t="s">
        <v>5586</v>
      </c>
    </row>
    <row r="5875">
      <c r="A5875" s="15">
        <v>48.0</v>
      </c>
      <c r="B5875" s="16" t="s">
        <v>10542</v>
      </c>
      <c r="C5875" s="17" t="s">
        <v>5804</v>
      </c>
      <c r="D5875" s="18">
        <v>65.0</v>
      </c>
      <c r="E5875" s="18">
        <v>91.0</v>
      </c>
      <c r="F5875" s="18">
        <v>12.0</v>
      </c>
    </row>
    <row r="5876">
      <c r="A5876" s="6"/>
      <c r="B5876" s="7"/>
      <c r="C5876" s="7"/>
      <c r="D5876" s="7"/>
      <c r="E5876" s="7"/>
      <c r="F5876" s="8"/>
    </row>
    <row r="5877">
      <c r="A5877" s="9" t="s">
        <v>10545</v>
      </c>
      <c r="B5877" s="10"/>
      <c r="C5877" s="10"/>
      <c r="D5877" s="10"/>
      <c r="E5877" s="10"/>
      <c r="F5877" s="10"/>
    </row>
    <row r="5878">
      <c r="A5878" s="11">
        <v>1.0</v>
      </c>
      <c r="B5878" s="12" t="s">
        <v>10546</v>
      </c>
      <c r="C5878" s="13" t="s">
        <v>5654</v>
      </c>
      <c r="D5878" s="14">
        <v>77.14</v>
      </c>
      <c r="E5878" s="14">
        <v>108.0</v>
      </c>
      <c r="F5878" s="14">
        <v>12.0</v>
      </c>
    </row>
    <row r="5879">
      <c r="A5879" s="15">
        <v>2.0</v>
      </c>
      <c r="B5879" s="16" t="s">
        <v>10546</v>
      </c>
      <c r="C5879" s="17" t="s">
        <v>5671</v>
      </c>
      <c r="D5879" s="18">
        <v>51.43</v>
      </c>
      <c r="E5879" s="18">
        <v>72.0</v>
      </c>
      <c r="F5879" s="18">
        <v>12.0</v>
      </c>
    </row>
    <row r="5880">
      <c r="A5880" s="15">
        <v>3.0</v>
      </c>
      <c r="B5880" s="16" t="s">
        <v>10547</v>
      </c>
      <c r="C5880" s="17" t="s">
        <v>5536</v>
      </c>
      <c r="D5880" s="18">
        <v>246.43</v>
      </c>
      <c r="E5880" s="18">
        <v>345.0</v>
      </c>
      <c r="F5880" s="18">
        <v>12.0</v>
      </c>
    </row>
    <row r="5881">
      <c r="A5881" s="15">
        <v>4.0</v>
      </c>
      <c r="B5881" s="16" t="s">
        <v>10548</v>
      </c>
      <c r="C5881" s="17" t="s">
        <v>5636</v>
      </c>
      <c r="D5881" s="18">
        <v>180.36</v>
      </c>
      <c r="E5881" s="18">
        <v>252.5</v>
      </c>
      <c r="F5881" s="18">
        <v>12.0</v>
      </c>
    </row>
    <row r="5882">
      <c r="A5882" s="15">
        <v>5.0</v>
      </c>
      <c r="B5882" s="16" t="s">
        <v>10549</v>
      </c>
      <c r="C5882" s="17" t="s">
        <v>6456</v>
      </c>
      <c r="D5882" s="18">
        <v>227.14</v>
      </c>
      <c r="E5882" s="18">
        <v>318.0</v>
      </c>
      <c r="F5882" s="18">
        <v>12.0</v>
      </c>
    </row>
    <row r="5883">
      <c r="A5883" s="15">
        <v>6.0</v>
      </c>
      <c r="B5883" s="16" t="s">
        <v>10550</v>
      </c>
      <c r="C5883" s="17" t="s">
        <v>5536</v>
      </c>
      <c r="D5883" s="18">
        <v>149.29</v>
      </c>
      <c r="E5883" s="18">
        <v>209.0</v>
      </c>
      <c r="F5883" s="18">
        <v>12.0</v>
      </c>
    </row>
    <row r="5884">
      <c r="A5884" s="15">
        <v>7.0</v>
      </c>
      <c r="B5884" s="16" t="s">
        <v>10551</v>
      </c>
      <c r="C5884" s="17" t="s">
        <v>5536</v>
      </c>
      <c r="D5884" s="18">
        <v>245.71</v>
      </c>
      <c r="E5884" s="18">
        <v>344.0</v>
      </c>
      <c r="F5884" s="18">
        <v>12.0</v>
      </c>
    </row>
    <row r="5885">
      <c r="A5885" s="15">
        <v>8.0</v>
      </c>
      <c r="B5885" s="16" t="s">
        <v>10552</v>
      </c>
      <c r="C5885" s="17" t="s">
        <v>10553</v>
      </c>
      <c r="D5885" s="18">
        <v>285.0</v>
      </c>
      <c r="E5885" s="18">
        <v>399.0</v>
      </c>
      <c r="F5885" s="18">
        <v>12.0</v>
      </c>
    </row>
    <row r="5886">
      <c r="A5886" s="15">
        <v>9.0</v>
      </c>
      <c r="B5886" s="16" t="s">
        <v>10554</v>
      </c>
      <c r="C5886" s="17" t="s">
        <v>5614</v>
      </c>
      <c r="D5886" s="18">
        <v>178.57</v>
      </c>
      <c r="E5886" s="18">
        <v>250.0</v>
      </c>
      <c r="F5886" s="18">
        <v>12.0</v>
      </c>
    </row>
    <row r="5887">
      <c r="A5887" s="15">
        <v>10.0</v>
      </c>
      <c r="B5887" s="16" t="s">
        <v>4798</v>
      </c>
      <c r="C5887" s="16" t="s">
        <v>7497</v>
      </c>
      <c r="D5887" s="18">
        <v>467.8</v>
      </c>
      <c r="E5887" s="18">
        <v>690.0</v>
      </c>
      <c r="F5887" s="18">
        <v>18.0</v>
      </c>
    </row>
    <row r="5888">
      <c r="A5888" s="15">
        <v>11.0</v>
      </c>
      <c r="B5888" s="16" t="s">
        <v>10555</v>
      </c>
      <c r="C5888" s="17" t="s">
        <v>10556</v>
      </c>
      <c r="D5888" s="18">
        <v>281.43</v>
      </c>
      <c r="E5888" s="18">
        <v>394.0</v>
      </c>
      <c r="F5888" s="18">
        <v>12.0</v>
      </c>
    </row>
    <row r="5889">
      <c r="A5889" s="15">
        <v>12.0</v>
      </c>
      <c r="B5889" s="16" t="s">
        <v>10555</v>
      </c>
      <c r="C5889" s="17" t="s">
        <v>10557</v>
      </c>
      <c r="D5889" s="18">
        <v>257.4</v>
      </c>
      <c r="E5889" s="18">
        <v>327.0</v>
      </c>
      <c r="F5889" s="18">
        <v>18.0</v>
      </c>
    </row>
    <row r="5890">
      <c r="A5890" s="15">
        <v>13.0</v>
      </c>
      <c r="B5890" s="16" t="s">
        <v>10555</v>
      </c>
      <c r="C5890" s="17" t="s">
        <v>10558</v>
      </c>
      <c r="D5890" s="18">
        <v>230.0</v>
      </c>
      <c r="E5890" s="18">
        <v>322.0</v>
      </c>
      <c r="F5890" s="18">
        <v>12.0</v>
      </c>
    </row>
    <row r="5891">
      <c r="A5891" s="15">
        <v>14.0</v>
      </c>
      <c r="B5891" s="16" t="s">
        <v>10559</v>
      </c>
      <c r="C5891" s="17" t="s">
        <v>10560</v>
      </c>
      <c r="D5891" s="18">
        <v>315.36</v>
      </c>
      <c r="E5891" s="18">
        <v>441.5</v>
      </c>
      <c r="F5891" s="18">
        <v>12.0</v>
      </c>
    </row>
    <row r="5892">
      <c r="A5892" s="15">
        <v>15.0</v>
      </c>
      <c r="B5892" s="16" t="s">
        <v>10561</v>
      </c>
      <c r="C5892" s="17" t="s">
        <v>10562</v>
      </c>
      <c r="D5892" s="18">
        <v>389.83</v>
      </c>
      <c r="E5892" s="18">
        <v>575.0</v>
      </c>
      <c r="F5892" s="18">
        <v>18.0</v>
      </c>
    </row>
    <row r="5893">
      <c r="A5893" s="15">
        <v>16.0</v>
      </c>
      <c r="B5893" s="16" t="s">
        <v>10561</v>
      </c>
      <c r="C5893" s="17" t="s">
        <v>10563</v>
      </c>
      <c r="D5893" s="18">
        <v>168.82</v>
      </c>
      <c r="E5893" s="18">
        <v>249.0</v>
      </c>
      <c r="F5893" s="18">
        <v>18.0</v>
      </c>
    </row>
    <row r="5894">
      <c r="A5894" s="15">
        <v>17.0</v>
      </c>
      <c r="B5894" s="16" t="s">
        <v>10561</v>
      </c>
      <c r="C5894" s="17" t="s">
        <v>10564</v>
      </c>
      <c r="D5894" s="18">
        <v>507.46</v>
      </c>
      <c r="E5894" s="18">
        <v>748.5</v>
      </c>
      <c r="F5894" s="18">
        <v>18.0</v>
      </c>
    </row>
    <row r="5895">
      <c r="A5895" s="15">
        <v>18.0</v>
      </c>
      <c r="B5895" s="16" t="s">
        <v>10561</v>
      </c>
      <c r="C5895" s="17" t="s">
        <v>8432</v>
      </c>
      <c r="D5895" s="18">
        <v>490.85</v>
      </c>
      <c r="E5895" s="18">
        <v>724.0</v>
      </c>
      <c r="F5895" s="18">
        <v>18.0</v>
      </c>
    </row>
    <row r="5896">
      <c r="A5896" s="15">
        <v>19.0</v>
      </c>
      <c r="B5896" s="16" t="s">
        <v>10561</v>
      </c>
      <c r="C5896" s="17" t="s">
        <v>10565</v>
      </c>
      <c r="D5896" s="18">
        <v>606.78</v>
      </c>
      <c r="E5896" s="18">
        <v>895.0</v>
      </c>
      <c r="F5896" s="18">
        <v>18.0</v>
      </c>
    </row>
    <row r="5897">
      <c r="A5897" s="15">
        <v>20.0</v>
      </c>
      <c r="B5897" s="16" t="s">
        <v>10566</v>
      </c>
      <c r="C5897" s="17" t="s">
        <v>5674</v>
      </c>
      <c r="D5897" s="18">
        <v>284.07</v>
      </c>
      <c r="E5897" s="18">
        <v>419.0</v>
      </c>
      <c r="F5897" s="18">
        <v>18.0</v>
      </c>
    </row>
    <row r="5898">
      <c r="A5898" s="15">
        <v>21.0</v>
      </c>
      <c r="B5898" s="16" t="s">
        <v>10566</v>
      </c>
      <c r="C5898" s="17" t="s">
        <v>7287</v>
      </c>
      <c r="D5898" s="18">
        <v>372.2</v>
      </c>
      <c r="E5898" s="18">
        <v>549.0</v>
      </c>
      <c r="F5898" s="18">
        <v>18.0</v>
      </c>
    </row>
    <row r="5899">
      <c r="A5899" s="15">
        <v>22.0</v>
      </c>
      <c r="B5899" s="16" t="s">
        <v>10567</v>
      </c>
      <c r="C5899" s="17" t="s">
        <v>5674</v>
      </c>
      <c r="D5899" s="18">
        <v>199.32</v>
      </c>
      <c r="E5899" s="18">
        <v>294.0</v>
      </c>
      <c r="F5899" s="18">
        <v>18.0</v>
      </c>
    </row>
    <row r="5900">
      <c r="A5900" s="15">
        <v>23.0</v>
      </c>
      <c r="B5900" s="16" t="s">
        <v>10567</v>
      </c>
      <c r="C5900" s="17" t="s">
        <v>10568</v>
      </c>
      <c r="D5900" s="18">
        <v>269.15</v>
      </c>
      <c r="E5900" s="18">
        <v>397.0</v>
      </c>
      <c r="F5900" s="18">
        <v>18.0</v>
      </c>
    </row>
    <row r="5901">
      <c r="A5901" s="15">
        <v>24.0</v>
      </c>
      <c r="B5901" s="16" t="s">
        <v>10569</v>
      </c>
      <c r="C5901" s="17" t="s">
        <v>5828</v>
      </c>
      <c r="D5901" s="18">
        <v>880.68</v>
      </c>
      <c r="E5901" s="18">
        <v>1299.0</v>
      </c>
      <c r="F5901" s="18">
        <v>18.0</v>
      </c>
    </row>
    <row r="5902">
      <c r="A5902" s="15">
        <v>25.0</v>
      </c>
      <c r="B5902" s="16" t="s">
        <v>10570</v>
      </c>
      <c r="C5902" s="17" t="s">
        <v>5731</v>
      </c>
      <c r="D5902" s="18">
        <v>749.83</v>
      </c>
      <c r="E5902" s="18">
        <v>1106.0</v>
      </c>
      <c r="F5902" s="18">
        <v>18.0</v>
      </c>
    </row>
    <row r="5903">
      <c r="A5903" s="6"/>
      <c r="B5903" s="7"/>
      <c r="C5903" s="7"/>
      <c r="D5903" s="7"/>
      <c r="E5903" s="7"/>
      <c r="F5903" s="8"/>
    </row>
    <row r="5904">
      <c r="A5904" s="9" t="s">
        <v>10571</v>
      </c>
      <c r="B5904" s="10"/>
      <c r="C5904" s="10"/>
      <c r="D5904" s="10"/>
      <c r="E5904" s="10"/>
      <c r="F5904" s="10"/>
    </row>
    <row r="5905">
      <c r="A5905" s="6"/>
      <c r="B5905" s="7"/>
      <c r="C5905" s="7"/>
      <c r="D5905" s="7"/>
      <c r="E5905" s="7"/>
      <c r="F5905" s="8"/>
    </row>
    <row r="5906">
      <c r="A5906" s="9" t="s">
        <v>4815</v>
      </c>
      <c r="B5906" s="10"/>
      <c r="C5906" s="10"/>
      <c r="D5906" s="10"/>
      <c r="E5906" s="10"/>
      <c r="F5906" s="10"/>
    </row>
    <row r="5907">
      <c r="A5907" s="11">
        <v>1.0</v>
      </c>
      <c r="B5907" s="12" t="s">
        <v>10572</v>
      </c>
      <c r="C5907" s="13" t="s">
        <v>5765</v>
      </c>
      <c r="D5907" s="14">
        <v>69.14</v>
      </c>
      <c r="E5907" s="14">
        <v>96.8</v>
      </c>
      <c r="F5907" s="14">
        <v>12.0</v>
      </c>
    </row>
    <row r="5908">
      <c r="A5908" s="15">
        <v>2.0</v>
      </c>
      <c r="B5908" s="16" t="s">
        <v>10573</v>
      </c>
      <c r="C5908" s="17" t="s">
        <v>5765</v>
      </c>
      <c r="D5908" s="18">
        <v>127.03</v>
      </c>
      <c r="E5908" s="18">
        <v>177.84</v>
      </c>
      <c r="F5908" s="18">
        <v>12.0</v>
      </c>
    </row>
    <row r="5909">
      <c r="A5909" s="15">
        <v>3.0</v>
      </c>
      <c r="B5909" s="16" t="s">
        <v>10574</v>
      </c>
      <c r="C5909" s="17" t="s">
        <v>10575</v>
      </c>
      <c r="D5909" s="18">
        <v>16.34</v>
      </c>
      <c r="E5909" s="18">
        <v>22.88</v>
      </c>
      <c r="F5909" s="18">
        <v>12.0</v>
      </c>
    </row>
    <row r="5910">
      <c r="A5910" s="15">
        <v>4.0</v>
      </c>
      <c r="B5910" s="16" t="s">
        <v>10574</v>
      </c>
      <c r="C5910" s="17" t="s">
        <v>10576</v>
      </c>
      <c r="D5910" s="18">
        <v>178.57</v>
      </c>
      <c r="E5910" s="18">
        <v>250.0</v>
      </c>
      <c r="F5910" s="18">
        <v>12.0</v>
      </c>
    </row>
    <row r="5911">
      <c r="A5911" s="15">
        <v>5.0</v>
      </c>
      <c r="B5911" s="16" t="s">
        <v>10577</v>
      </c>
      <c r="C5911" s="17" t="s">
        <v>10578</v>
      </c>
      <c r="D5911" s="18">
        <v>111.43</v>
      </c>
      <c r="E5911" s="18">
        <v>156.0</v>
      </c>
      <c r="F5911" s="18">
        <v>12.0</v>
      </c>
    </row>
    <row r="5912">
      <c r="A5912" s="15">
        <v>6.0</v>
      </c>
      <c r="B5912" s="16" t="s">
        <v>10579</v>
      </c>
      <c r="C5912" s="17" t="s">
        <v>5562</v>
      </c>
      <c r="D5912" s="18">
        <v>34.65</v>
      </c>
      <c r="E5912" s="18">
        <v>44.1</v>
      </c>
      <c r="F5912" s="18">
        <v>12.0</v>
      </c>
    </row>
    <row r="5913">
      <c r="A5913" s="15">
        <v>7.0</v>
      </c>
      <c r="B5913" s="16" t="s">
        <v>10580</v>
      </c>
      <c r="C5913" s="17" t="s">
        <v>5636</v>
      </c>
      <c r="D5913" s="18">
        <v>93.17</v>
      </c>
      <c r="E5913" s="18">
        <v>130.43</v>
      </c>
      <c r="F5913" s="18">
        <v>12.0</v>
      </c>
    </row>
    <row r="5914">
      <c r="A5914" s="15">
        <v>8.0</v>
      </c>
      <c r="B5914" s="16" t="s">
        <v>10581</v>
      </c>
      <c r="C5914" s="17" t="s">
        <v>10578</v>
      </c>
      <c r="D5914" s="18">
        <v>99.78</v>
      </c>
      <c r="E5914" s="18">
        <v>139.7</v>
      </c>
      <c r="F5914" s="18">
        <v>12.0</v>
      </c>
    </row>
    <row r="5915">
      <c r="A5915" s="15">
        <v>9.0</v>
      </c>
      <c r="B5915" s="16" t="s">
        <v>10582</v>
      </c>
      <c r="C5915" s="17" t="s">
        <v>5912</v>
      </c>
      <c r="D5915" s="18">
        <v>77.14</v>
      </c>
      <c r="E5915" s="18">
        <v>99.0</v>
      </c>
      <c r="F5915" s="18">
        <v>12.0</v>
      </c>
    </row>
    <row r="5916">
      <c r="A5916" s="15">
        <v>10.0</v>
      </c>
      <c r="B5916" s="16" t="s">
        <v>10583</v>
      </c>
      <c r="C5916" s="17" t="s">
        <v>5636</v>
      </c>
      <c r="D5916" s="18">
        <v>129.64</v>
      </c>
      <c r="E5916" s="18">
        <v>181.5</v>
      </c>
      <c r="F5916" s="18">
        <v>12.0</v>
      </c>
    </row>
    <row r="5917">
      <c r="A5917" s="15">
        <v>11.0</v>
      </c>
      <c r="B5917" s="16" t="s">
        <v>10584</v>
      </c>
      <c r="C5917" s="17" t="s">
        <v>10585</v>
      </c>
      <c r="D5917" s="18">
        <v>99.29</v>
      </c>
      <c r="E5917" s="18">
        <v>139.0</v>
      </c>
      <c r="F5917" s="18">
        <v>12.0</v>
      </c>
    </row>
    <row r="5918">
      <c r="A5918" s="15">
        <v>12.0</v>
      </c>
      <c r="B5918" s="16" t="s">
        <v>10586</v>
      </c>
      <c r="C5918" s="17" t="s">
        <v>6127</v>
      </c>
      <c r="D5918" s="18">
        <v>78.57</v>
      </c>
      <c r="E5918" s="18">
        <v>109.0</v>
      </c>
      <c r="F5918" s="18">
        <v>12.0</v>
      </c>
    </row>
    <row r="5919">
      <c r="A5919" s="15">
        <v>13.0</v>
      </c>
      <c r="B5919" s="16" t="s">
        <v>4827</v>
      </c>
      <c r="C5919" s="16" t="s">
        <v>5558</v>
      </c>
      <c r="D5919" s="18">
        <v>51.7</v>
      </c>
      <c r="E5919" s="18">
        <v>76.5</v>
      </c>
      <c r="F5919" s="18">
        <v>12.0</v>
      </c>
    </row>
    <row r="5920">
      <c r="A5920" s="15">
        <v>14.0</v>
      </c>
      <c r="B5920" s="16" t="s">
        <v>10587</v>
      </c>
      <c r="C5920" s="17" t="s">
        <v>10588</v>
      </c>
      <c r="D5920" s="18">
        <v>232.14</v>
      </c>
      <c r="E5920" s="18">
        <v>325.0</v>
      </c>
      <c r="F5920" s="18">
        <v>12.0</v>
      </c>
    </row>
    <row r="5921">
      <c r="A5921" s="15">
        <v>15.0</v>
      </c>
      <c r="B5921" s="16" t="s">
        <v>10589</v>
      </c>
      <c r="C5921" s="16" t="s">
        <v>731</v>
      </c>
      <c r="D5921" s="18">
        <v>56.43</v>
      </c>
      <c r="E5921" s="18">
        <v>79.0</v>
      </c>
      <c r="F5921" s="18">
        <v>12.0</v>
      </c>
    </row>
    <row r="5922">
      <c r="A5922" s="15">
        <v>16.0</v>
      </c>
      <c r="B5922" s="16" t="s">
        <v>10590</v>
      </c>
      <c r="C5922" s="17" t="s">
        <v>5636</v>
      </c>
      <c r="D5922" s="18">
        <v>35.0</v>
      </c>
      <c r="E5922" s="18">
        <v>44.6</v>
      </c>
      <c r="F5922" s="18">
        <v>12.0</v>
      </c>
    </row>
    <row r="5923">
      <c r="A5923" s="15">
        <v>17.0</v>
      </c>
      <c r="B5923" s="16" t="s">
        <v>10591</v>
      </c>
      <c r="C5923" s="17" t="s">
        <v>10592</v>
      </c>
      <c r="D5923" s="18">
        <v>25.38</v>
      </c>
      <c r="E5923" s="18">
        <v>49.0</v>
      </c>
      <c r="F5923" s="18">
        <v>12.0</v>
      </c>
    </row>
    <row r="5924">
      <c r="A5924" s="15">
        <v>18.0</v>
      </c>
      <c r="B5924" s="16" t="s">
        <v>10591</v>
      </c>
      <c r="C5924" s="17" t="s">
        <v>10593</v>
      </c>
      <c r="D5924" s="18">
        <v>20.43</v>
      </c>
      <c r="E5924" s="18">
        <v>28.6</v>
      </c>
      <c r="F5924" s="18">
        <v>12.0</v>
      </c>
    </row>
    <row r="5925">
      <c r="A5925" s="15">
        <v>19.0</v>
      </c>
      <c r="B5925" s="16" t="s">
        <v>10594</v>
      </c>
      <c r="C5925" s="17" t="s">
        <v>5536</v>
      </c>
      <c r="D5925" s="18">
        <v>132.75</v>
      </c>
      <c r="E5925" s="18">
        <v>185.85</v>
      </c>
      <c r="F5925" s="18">
        <v>12.0</v>
      </c>
    </row>
    <row r="5926">
      <c r="A5926" s="15">
        <v>20.0</v>
      </c>
      <c r="B5926" s="16" t="s">
        <v>10595</v>
      </c>
      <c r="C5926" s="17" t="s">
        <v>5536</v>
      </c>
      <c r="D5926" s="18">
        <v>218.67</v>
      </c>
      <c r="E5926" s="18">
        <v>306.13</v>
      </c>
      <c r="F5926" s="18">
        <v>12.0</v>
      </c>
    </row>
    <row r="5927">
      <c r="A5927" s="15">
        <v>21.0</v>
      </c>
      <c r="B5927" s="16" t="s">
        <v>10596</v>
      </c>
      <c r="C5927" s="17" t="s">
        <v>5636</v>
      </c>
      <c r="D5927" s="18">
        <v>19.81</v>
      </c>
      <c r="E5927" s="18">
        <v>27.5</v>
      </c>
      <c r="F5927" s="18">
        <v>12.0</v>
      </c>
    </row>
    <row r="5928">
      <c r="A5928" s="15">
        <v>22.0</v>
      </c>
      <c r="B5928" s="16" t="s">
        <v>10597</v>
      </c>
      <c r="C5928" s="17" t="s">
        <v>5665</v>
      </c>
      <c r="D5928" s="18">
        <v>6.99</v>
      </c>
      <c r="E5928" s="18">
        <v>9.79</v>
      </c>
      <c r="F5928" s="18">
        <v>12.0</v>
      </c>
    </row>
    <row r="5929">
      <c r="A5929" s="15">
        <v>23.0</v>
      </c>
      <c r="B5929" s="16" t="s">
        <v>10597</v>
      </c>
      <c r="C5929" s="17" t="s">
        <v>10598</v>
      </c>
      <c r="D5929" s="18">
        <v>14.39</v>
      </c>
      <c r="E5929" s="18">
        <v>20.14</v>
      </c>
      <c r="F5929" s="18">
        <v>12.0</v>
      </c>
    </row>
    <row r="5930">
      <c r="A5930" s="15">
        <v>24.0</v>
      </c>
      <c r="B5930" s="16" t="s">
        <v>10599</v>
      </c>
      <c r="C5930" s="17" t="s">
        <v>5636</v>
      </c>
      <c r="D5930" s="18">
        <v>23.57</v>
      </c>
      <c r="E5930" s="18">
        <v>28.6</v>
      </c>
      <c r="F5930" s="18">
        <v>12.0</v>
      </c>
    </row>
    <row r="5931">
      <c r="A5931" s="15">
        <v>25.0</v>
      </c>
      <c r="B5931" s="16" t="s">
        <v>10600</v>
      </c>
      <c r="C5931" s="17" t="s">
        <v>10601</v>
      </c>
      <c r="D5931" s="18">
        <v>71.26</v>
      </c>
      <c r="E5931" s="18">
        <v>99.77</v>
      </c>
      <c r="F5931" s="18">
        <v>12.0</v>
      </c>
    </row>
    <row r="5932">
      <c r="A5932" s="6"/>
      <c r="B5932" s="7"/>
      <c r="C5932" s="7"/>
      <c r="D5932" s="7"/>
      <c r="E5932" s="7"/>
      <c r="F5932" s="8"/>
    </row>
    <row r="5933">
      <c r="A5933" s="9" t="s">
        <v>10602</v>
      </c>
      <c r="B5933" s="10"/>
      <c r="C5933" s="10"/>
      <c r="D5933" s="10"/>
      <c r="E5933" s="10"/>
      <c r="F5933" s="10"/>
    </row>
    <row r="5934">
      <c r="A5934" s="11">
        <v>1.0</v>
      </c>
      <c r="B5934" s="12" t="s">
        <v>10603</v>
      </c>
      <c r="C5934" s="13" t="s">
        <v>5818</v>
      </c>
      <c r="D5934" s="14">
        <v>37.6</v>
      </c>
      <c r="E5934" s="14">
        <v>55.65</v>
      </c>
      <c r="F5934" s="14">
        <v>12.0</v>
      </c>
    </row>
    <row r="5935">
      <c r="A5935" s="15">
        <v>2.0</v>
      </c>
      <c r="B5935" s="16" t="s">
        <v>10603</v>
      </c>
      <c r="C5935" s="17" t="s">
        <v>6127</v>
      </c>
      <c r="D5935" s="18">
        <v>82.18</v>
      </c>
      <c r="E5935" s="18">
        <v>115.05</v>
      </c>
      <c r="F5935" s="18">
        <v>12.0</v>
      </c>
    </row>
    <row r="5936">
      <c r="A5936" s="6"/>
      <c r="B5936" s="7"/>
      <c r="C5936" s="7"/>
      <c r="D5936" s="7"/>
      <c r="E5936" s="8"/>
      <c r="F5936" s="16" t="s">
        <v>10604</v>
      </c>
    </row>
    <row r="5937">
      <c r="A5937" s="6"/>
      <c r="B5937" s="7"/>
      <c r="C5937" s="7"/>
      <c r="D5937" s="7"/>
      <c r="E5937" s="7"/>
      <c r="F5937" s="8"/>
    </row>
    <row r="5938">
      <c r="A5938" s="6"/>
      <c r="B5938" s="7"/>
      <c r="C5938" s="7"/>
      <c r="D5938" s="7"/>
      <c r="E5938" s="7"/>
      <c r="F5938" s="8"/>
    </row>
    <row r="5939">
      <c r="A5939" s="6"/>
      <c r="B5939" s="7"/>
      <c r="C5939" s="7"/>
      <c r="D5939" s="7"/>
      <c r="E5939" s="7"/>
      <c r="F5939" s="8"/>
    </row>
    <row r="5940">
      <c r="A5940" s="6"/>
      <c r="B5940" s="7"/>
      <c r="C5940" s="7"/>
      <c r="D5940" s="7"/>
      <c r="E5940" s="7"/>
      <c r="F5940" s="8"/>
    </row>
    <row r="5941">
      <c r="A5941" s="9" t="s">
        <v>5582</v>
      </c>
      <c r="B5941" s="10"/>
      <c r="C5941" s="10"/>
      <c r="D5941" s="10"/>
      <c r="E5941" s="10"/>
      <c r="F5941" s="10"/>
    </row>
    <row r="5942">
      <c r="A5942" s="19" t="s">
        <v>5583</v>
      </c>
    </row>
    <row r="5943">
      <c r="A5943" s="6"/>
      <c r="B5943" s="7"/>
      <c r="C5943" s="7"/>
      <c r="D5943" s="8"/>
      <c r="E5943" s="12" t="s">
        <v>5584</v>
      </c>
      <c r="F5943" s="12" t="s">
        <v>10605</v>
      </c>
    </row>
    <row r="5944">
      <c r="A5944" s="20" t="s">
        <v>5522</v>
      </c>
      <c r="B5944" s="16" t="s">
        <v>5523</v>
      </c>
      <c r="C5944" s="16" t="s">
        <v>5524</v>
      </c>
      <c r="D5944" s="16" t="s">
        <v>5525</v>
      </c>
      <c r="E5944" s="16" t="s">
        <v>5526</v>
      </c>
      <c r="F5944" s="16" t="s">
        <v>5586</v>
      </c>
    </row>
    <row r="5945">
      <c r="A5945" s="15">
        <v>3.0</v>
      </c>
      <c r="B5945" s="16" t="s">
        <v>10606</v>
      </c>
      <c r="C5945" s="17" t="s">
        <v>5657</v>
      </c>
      <c r="D5945" s="18">
        <v>129.64</v>
      </c>
      <c r="E5945" s="18">
        <v>181.5</v>
      </c>
      <c r="F5945" s="18">
        <v>12.0</v>
      </c>
    </row>
    <row r="5946">
      <c r="A5946" s="15">
        <v>4.0</v>
      </c>
      <c r="B5946" s="16" t="s">
        <v>4844</v>
      </c>
      <c r="C5946" s="16" t="s">
        <v>5558</v>
      </c>
      <c r="D5946" s="18">
        <v>118.33</v>
      </c>
      <c r="E5946" s="18">
        <v>165.66</v>
      </c>
      <c r="F5946" s="18">
        <v>12.0</v>
      </c>
    </row>
    <row r="5947">
      <c r="A5947" s="15">
        <v>5.0</v>
      </c>
      <c r="B5947" s="16" t="s">
        <v>10607</v>
      </c>
      <c r="C5947" s="17" t="s">
        <v>5536</v>
      </c>
      <c r="D5947" s="18">
        <v>49.12</v>
      </c>
      <c r="E5947" s="18">
        <v>67.45</v>
      </c>
      <c r="F5947" s="18">
        <v>12.0</v>
      </c>
    </row>
    <row r="5948">
      <c r="A5948" s="15">
        <v>6.0</v>
      </c>
      <c r="B5948" s="16" t="s">
        <v>10608</v>
      </c>
      <c r="C5948" s="17" t="s">
        <v>7980</v>
      </c>
      <c r="D5948" s="18">
        <v>92.38</v>
      </c>
      <c r="E5948" s="18">
        <v>129.34</v>
      </c>
      <c r="F5948" s="18">
        <v>12.0</v>
      </c>
    </row>
    <row r="5949">
      <c r="A5949" s="15">
        <v>7.0</v>
      </c>
      <c r="B5949" s="16" t="s">
        <v>10609</v>
      </c>
      <c r="C5949" s="17" t="s">
        <v>10610</v>
      </c>
      <c r="D5949" s="18">
        <v>34.79</v>
      </c>
      <c r="E5949" s="18">
        <v>48.71</v>
      </c>
      <c r="F5949" s="18">
        <v>12.0</v>
      </c>
    </row>
    <row r="5950">
      <c r="A5950" s="15">
        <v>8.0</v>
      </c>
      <c r="B5950" s="16" t="s">
        <v>10611</v>
      </c>
      <c r="C5950" s="17" t="s">
        <v>10612</v>
      </c>
      <c r="D5950" s="18">
        <v>151.43</v>
      </c>
      <c r="E5950" s="18">
        <v>212.0</v>
      </c>
      <c r="F5950" s="18">
        <v>12.0</v>
      </c>
    </row>
    <row r="5951">
      <c r="A5951" s="15">
        <v>9.0</v>
      </c>
      <c r="B5951" s="16" t="s">
        <v>10611</v>
      </c>
      <c r="C5951" s="17" t="s">
        <v>10613</v>
      </c>
      <c r="D5951" s="18">
        <v>189.18</v>
      </c>
      <c r="E5951" s="18">
        <v>264.86</v>
      </c>
      <c r="F5951" s="18">
        <v>12.0</v>
      </c>
    </row>
    <row r="5952">
      <c r="A5952" s="15">
        <v>10.0</v>
      </c>
      <c r="B5952" s="16" t="s">
        <v>10614</v>
      </c>
      <c r="C5952" s="17" t="s">
        <v>8931</v>
      </c>
      <c r="D5952" s="18">
        <v>324.33</v>
      </c>
      <c r="E5952" s="18">
        <v>450.0</v>
      </c>
      <c r="F5952" s="18">
        <v>12.0</v>
      </c>
    </row>
    <row r="5953">
      <c r="A5953" s="15">
        <v>11.0</v>
      </c>
      <c r="B5953" s="16" t="s">
        <v>10615</v>
      </c>
      <c r="C5953" s="17" t="s">
        <v>5614</v>
      </c>
      <c r="D5953" s="18">
        <v>154.95</v>
      </c>
      <c r="E5953" s="18">
        <v>215.0</v>
      </c>
      <c r="F5953" s="18">
        <v>12.0</v>
      </c>
    </row>
    <row r="5954">
      <c r="A5954" s="15">
        <v>12.0</v>
      </c>
      <c r="B5954" s="16" t="s">
        <v>10616</v>
      </c>
      <c r="C5954" s="17" t="s">
        <v>5536</v>
      </c>
      <c r="D5954" s="18">
        <v>115.79</v>
      </c>
      <c r="E5954" s="18">
        <v>162.1</v>
      </c>
      <c r="F5954" s="18">
        <v>12.0</v>
      </c>
    </row>
    <row r="5955">
      <c r="A5955" s="15">
        <v>13.0</v>
      </c>
      <c r="B5955" s="16" t="s">
        <v>10617</v>
      </c>
      <c r="C5955" s="17" t="s">
        <v>5536</v>
      </c>
      <c r="D5955" s="18">
        <v>209.0</v>
      </c>
      <c r="E5955" s="18">
        <v>292.6</v>
      </c>
      <c r="F5955" s="18">
        <v>12.0</v>
      </c>
    </row>
    <row r="5956">
      <c r="A5956" s="15">
        <v>14.0</v>
      </c>
      <c r="B5956" s="16" t="s">
        <v>10618</v>
      </c>
      <c r="C5956" s="17" t="s">
        <v>5536</v>
      </c>
      <c r="D5956" s="18">
        <v>283.8</v>
      </c>
      <c r="E5956" s="18">
        <v>420.0</v>
      </c>
      <c r="F5956" s="18">
        <v>12.0</v>
      </c>
    </row>
    <row r="5957">
      <c r="A5957" s="15">
        <v>15.0</v>
      </c>
      <c r="B5957" s="16" t="s">
        <v>10619</v>
      </c>
      <c r="C5957" s="17" t="s">
        <v>5536</v>
      </c>
      <c r="D5957" s="18">
        <v>60.19</v>
      </c>
      <c r="E5957" s="18">
        <v>84.26</v>
      </c>
      <c r="F5957" s="18">
        <v>12.0</v>
      </c>
    </row>
    <row r="5958">
      <c r="A5958" s="15">
        <v>16.0</v>
      </c>
      <c r="B5958" s="16" t="s">
        <v>10620</v>
      </c>
      <c r="C5958" s="17" t="s">
        <v>10621</v>
      </c>
      <c r="D5958" s="18">
        <v>53.24</v>
      </c>
      <c r="E5958" s="18">
        <v>74.53</v>
      </c>
      <c r="F5958" s="18">
        <v>12.0</v>
      </c>
    </row>
    <row r="5959">
      <c r="A5959" s="15">
        <v>17.0</v>
      </c>
      <c r="B5959" s="16" t="s">
        <v>10620</v>
      </c>
      <c r="C5959" s="17" t="s">
        <v>10622</v>
      </c>
      <c r="D5959" s="18">
        <v>58.1</v>
      </c>
      <c r="E5959" s="18">
        <v>86.0</v>
      </c>
      <c r="F5959" s="18">
        <v>12.0</v>
      </c>
    </row>
    <row r="5960">
      <c r="A5960" s="15">
        <v>18.0</v>
      </c>
      <c r="B5960" s="16" t="s">
        <v>10623</v>
      </c>
      <c r="C5960" s="17" t="s">
        <v>5636</v>
      </c>
      <c r="D5960" s="18">
        <v>117.86</v>
      </c>
      <c r="E5960" s="18">
        <v>165.0</v>
      </c>
      <c r="F5960" s="18">
        <v>12.0</v>
      </c>
    </row>
    <row r="5961">
      <c r="A5961" s="15">
        <v>19.0</v>
      </c>
      <c r="B5961" s="16" t="s">
        <v>10624</v>
      </c>
      <c r="C5961" s="17" t="s">
        <v>9408</v>
      </c>
      <c r="D5961" s="18">
        <v>121.0</v>
      </c>
      <c r="E5961" s="18">
        <v>169.4</v>
      </c>
      <c r="F5961" s="18">
        <v>12.0</v>
      </c>
    </row>
    <row r="5962">
      <c r="A5962" s="15">
        <v>20.0</v>
      </c>
      <c r="B5962" s="16" t="s">
        <v>10625</v>
      </c>
      <c r="C5962" s="17" t="s">
        <v>5536</v>
      </c>
      <c r="D5962" s="18">
        <v>28.5</v>
      </c>
      <c r="E5962" s="18">
        <v>39.9</v>
      </c>
      <c r="F5962" s="18">
        <v>12.0</v>
      </c>
    </row>
    <row r="5963">
      <c r="A5963" s="15">
        <v>21.0</v>
      </c>
      <c r="B5963" s="16" t="s">
        <v>10626</v>
      </c>
      <c r="C5963" s="17" t="s">
        <v>5536</v>
      </c>
      <c r="D5963" s="18">
        <v>51.58</v>
      </c>
      <c r="E5963" s="18">
        <v>72.21</v>
      </c>
      <c r="F5963" s="18">
        <v>12.0</v>
      </c>
    </row>
    <row r="5964">
      <c r="A5964" s="15">
        <v>22.0</v>
      </c>
      <c r="B5964" s="16" t="s">
        <v>10627</v>
      </c>
      <c r="C5964" s="17" t="s">
        <v>5536</v>
      </c>
      <c r="D5964" s="18">
        <v>81.76</v>
      </c>
      <c r="E5964" s="18">
        <v>121.0</v>
      </c>
      <c r="F5964" s="18">
        <v>12.0</v>
      </c>
    </row>
    <row r="5965">
      <c r="A5965" s="15">
        <v>23.0</v>
      </c>
      <c r="B5965" s="16" t="s">
        <v>10628</v>
      </c>
      <c r="C5965" s="17" t="s">
        <v>10629</v>
      </c>
      <c r="D5965" s="18">
        <v>46.94</v>
      </c>
      <c r="E5965" s="18">
        <v>65.72</v>
      </c>
      <c r="F5965" s="18">
        <v>12.0</v>
      </c>
    </row>
    <row r="5966">
      <c r="A5966" s="15">
        <v>24.0</v>
      </c>
      <c r="B5966" s="16" t="s">
        <v>10630</v>
      </c>
      <c r="C5966" s="17" t="s">
        <v>5636</v>
      </c>
      <c r="D5966" s="18">
        <v>91.43</v>
      </c>
      <c r="E5966" s="18">
        <v>128.0</v>
      </c>
      <c r="F5966" s="18">
        <v>12.0</v>
      </c>
    </row>
    <row r="5967">
      <c r="A5967" s="15">
        <v>25.0</v>
      </c>
      <c r="B5967" s="16" t="s">
        <v>10631</v>
      </c>
      <c r="C5967" s="17" t="s">
        <v>5636</v>
      </c>
      <c r="D5967" s="18">
        <v>62.57</v>
      </c>
      <c r="E5967" s="18">
        <v>87.6</v>
      </c>
      <c r="F5967" s="18">
        <v>12.0</v>
      </c>
    </row>
    <row r="5968">
      <c r="A5968" s="15">
        <v>26.0</v>
      </c>
      <c r="B5968" s="16" t="s">
        <v>10632</v>
      </c>
      <c r="C5968" s="17" t="s">
        <v>5831</v>
      </c>
      <c r="D5968" s="18">
        <v>109.54</v>
      </c>
      <c r="E5968" s="18">
        <v>152.0</v>
      </c>
      <c r="F5968" s="18">
        <v>12.0</v>
      </c>
    </row>
    <row r="5969">
      <c r="A5969" s="15">
        <v>27.0</v>
      </c>
      <c r="B5969" s="16" t="s">
        <v>10632</v>
      </c>
      <c r="C5969" s="17" t="s">
        <v>5636</v>
      </c>
      <c r="D5969" s="18">
        <v>95.07</v>
      </c>
      <c r="E5969" s="18">
        <v>133.1</v>
      </c>
      <c r="F5969" s="18">
        <v>12.0</v>
      </c>
    </row>
    <row r="5970">
      <c r="A5970" s="15">
        <v>28.0</v>
      </c>
      <c r="B5970" s="16" t="s">
        <v>10633</v>
      </c>
      <c r="C5970" s="17" t="s">
        <v>5530</v>
      </c>
      <c r="D5970" s="18">
        <v>57.04</v>
      </c>
      <c r="E5970" s="18">
        <v>79.86</v>
      </c>
      <c r="F5970" s="18">
        <v>12.0</v>
      </c>
    </row>
    <row r="5971">
      <c r="A5971" s="15">
        <v>29.0</v>
      </c>
      <c r="B5971" s="16" t="s">
        <v>10633</v>
      </c>
      <c r="C5971" s="17" t="s">
        <v>5531</v>
      </c>
      <c r="D5971" s="18">
        <v>76.06</v>
      </c>
      <c r="E5971" s="18">
        <v>106.48</v>
      </c>
      <c r="F5971" s="18">
        <v>12.0</v>
      </c>
    </row>
    <row r="5972">
      <c r="A5972" s="15">
        <v>30.0</v>
      </c>
      <c r="B5972" s="16" t="s">
        <v>10634</v>
      </c>
      <c r="C5972" s="17" t="s">
        <v>5636</v>
      </c>
      <c r="D5972" s="18">
        <v>0.0</v>
      </c>
      <c r="E5972" s="18">
        <v>49.53</v>
      </c>
      <c r="F5972" s="18">
        <v>12.0</v>
      </c>
    </row>
    <row r="5973">
      <c r="A5973" s="15">
        <v>31.0</v>
      </c>
      <c r="B5973" s="16" t="s">
        <v>4871</v>
      </c>
      <c r="C5973" s="16" t="s">
        <v>5558</v>
      </c>
      <c r="D5973" s="18">
        <v>25.23</v>
      </c>
      <c r="E5973" s="18">
        <v>35.0</v>
      </c>
      <c r="F5973" s="18">
        <v>12.0</v>
      </c>
    </row>
    <row r="5974">
      <c r="A5974" s="15">
        <v>32.0</v>
      </c>
      <c r="B5974" s="16" t="s">
        <v>10635</v>
      </c>
      <c r="C5974" s="17" t="s">
        <v>10636</v>
      </c>
      <c r="D5974" s="18">
        <v>86.49</v>
      </c>
      <c r="E5974" s="18">
        <v>120.0</v>
      </c>
      <c r="F5974" s="18">
        <v>12.0</v>
      </c>
    </row>
    <row r="5975">
      <c r="A5975" s="15">
        <v>33.0</v>
      </c>
      <c r="B5975" s="16" t="s">
        <v>10635</v>
      </c>
      <c r="C5975" s="17" t="s">
        <v>5847</v>
      </c>
      <c r="D5975" s="18">
        <v>129.64</v>
      </c>
      <c r="E5975" s="18">
        <v>181.5</v>
      </c>
      <c r="F5975" s="18">
        <v>12.0</v>
      </c>
    </row>
    <row r="5976">
      <c r="A5976" s="15">
        <v>34.0</v>
      </c>
      <c r="B5976" s="16" t="s">
        <v>10637</v>
      </c>
      <c r="C5976" s="17" t="s">
        <v>5536</v>
      </c>
      <c r="D5976" s="18">
        <v>18.73</v>
      </c>
      <c r="E5976" s="18">
        <v>26.0</v>
      </c>
      <c r="F5976" s="18">
        <v>12.0</v>
      </c>
    </row>
    <row r="5977">
      <c r="A5977" s="15">
        <v>35.0</v>
      </c>
      <c r="B5977" s="16" t="s">
        <v>10638</v>
      </c>
      <c r="C5977" s="17" t="s">
        <v>5536</v>
      </c>
      <c r="D5977" s="18">
        <v>34.69</v>
      </c>
      <c r="E5977" s="18">
        <v>48.13</v>
      </c>
      <c r="F5977" s="18">
        <v>12.0</v>
      </c>
    </row>
    <row r="5978">
      <c r="A5978" s="15">
        <v>36.0</v>
      </c>
      <c r="B5978" s="16" t="s">
        <v>10639</v>
      </c>
      <c r="C5978" s="17" t="s">
        <v>5636</v>
      </c>
      <c r="D5978" s="18">
        <v>56.97</v>
      </c>
      <c r="E5978" s="18">
        <v>79.75</v>
      </c>
      <c r="F5978" s="18">
        <v>12.0</v>
      </c>
    </row>
    <row r="5979">
      <c r="A5979" s="6"/>
      <c r="B5979" s="7"/>
      <c r="C5979" s="7"/>
      <c r="D5979" s="7"/>
      <c r="E5979" s="7"/>
      <c r="F5979" s="8"/>
    </row>
    <row r="5980">
      <c r="A5980" s="9" t="s">
        <v>10640</v>
      </c>
      <c r="B5980" s="10"/>
      <c r="C5980" s="10"/>
      <c r="D5980" s="10"/>
      <c r="E5980" s="10"/>
      <c r="F5980" s="10"/>
    </row>
    <row r="5981">
      <c r="A5981" s="11">
        <v>1.0</v>
      </c>
      <c r="B5981" s="12" t="s">
        <v>10641</v>
      </c>
      <c r="C5981" s="13" t="s">
        <v>5636</v>
      </c>
      <c r="D5981" s="14">
        <v>14.89</v>
      </c>
      <c r="E5981" s="14">
        <v>20.84</v>
      </c>
      <c r="F5981" s="14">
        <v>12.0</v>
      </c>
    </row>
    <row r="5982">
      <c r="A5982" s="15">
        <v>2.0</v>
      </c>
      <c r="B5982" s="16" t="s">
        <v>10642</v>
      </c>
      <c r="C5982" s="16" t="s">
        <v>301</v>
      </c>
      <c r="D5982" s="18">
        <v>85.57</v>
      </c>
      <c r="E5982" s="18">
        <v>119.79</v>
      </c>
      <c r="F5982" s="18">
        <v>12.0</v>
      </c>
    </row>
    <row r="5983">
      <c r="A5983" s="15">
        <v>3.0</v>
      </c>
      <c r="B5983" s="16" t="s">
        <v>10643</v>
      </c>
      <c r="C5983" s="17" t="s">
        <v>7519</v>
      </c>
      <c r="D5983" s="18">
        <v>21.73</v>
      </c>
      <c r="E5983" s="18">
        <v>30.42</v>
      </c>
      <c r="F5983" s="18">
        <v>12.0</v>
      </c>
    </row>
    <row r="5984">
      <c r="A5984" s="15">
        <v>4.0</v>
      </c>
      <c r="B5984" s="16" t="s">
        <v>10644</v>
      </c>
      <c r="C5984" s="17" t="s">
        <v>5740</v>
      </c>
      <c r="D5984" s="18">
        <v>187.98</v>
      </c>
      <c r="E5984" s="18">
        <v>263.17</v>
      </c>
      <c r="F5984" s="18">
        <v>12.0</v>
      </c>
    </row>
    <row r="5985">
      <c r="A5985" s="15">
        <v>5.0</v>
      </c>
      <c r="B5985" s="16" t="s">
        <v>10644</v>
      </c>
      <c r="C5985" s="17" t="s">
        <v>5636</v>
      </c>
      <c r="D5985" s="18">
        <v>117.86</v>
      </c>
      <c r="E5985" s="18">
        <v>165.0</v>
      </c>
      <c r="F5985" s="18">
        <v>12.0</v>
      </c>
    </row>
    <row r="5986">
      <c r="A5986" s="15">
        <v>6.0</v>
      </c>
      <c r="B5986" s="16" t="s">
        <v>10645</v>
      </c>
      <c r="C5986" s="17" t="s">
        <v>10646</v>
      </c>
      <c r="D5986" s="18">
        <v>90.71</v>
      </c>
      <c r="E5986" s="18">
        <v>127.0</v>
      </c>
      <c r="F5986" s="18">
        <v>12.0</v>
      </c>
    </row>
    <row r="5987">
      <c r="A5987" s="15">
        <v>7.0</v>
      </c>
      <c r="B5987" s="16" t="s">
        <v>10645</v>
      </c>
      <c r="C5987" s="17" t="s">
        <v>10647</v>
      </c>
      <c r="D5987" s="18">
        <v>184.29</v>
      </c>
      <c r="E5987" s="18">
        <v>258.0</v>
      </c>
      <c r="F5987" s="18">
        <v>12.0</v>
      </c>
    </row>
    <row r="5988">
      <c r="A5988" s="15">
        <v>8.0</v>
      </c>
      <c r="B5988" s="16" t="s">
        <v>10645</v>
      </c>
      <c r="C5988" s="17" t="s">
        <v>9722</v>
      </c>
      <c r="D5988" s="18">
        <v>184.29</v>
      </c>
      <c r="E5988" s="18">
        <v>258.0</v>
      </c>
      <c r="F5988" s="18">
        <v>12.0</v>
      </c>
    </row>
    <row r="5989">
      <c r="A5989" s="15">
        <v>9.0</v>
      </c>
      <c r="B5989" s="16" t="s">
        <v>10648</v>
      </c>
      <c r="C5989" s="17" t="s">
        <v>5818</v>
      </c>
      <c r="D5989" s="18">
        <v>60.5</v>
      </c>
      <c r="E5989" s="18">
        <v>84.7</v>
      </c>
      <c r="F5989" s="18">
        <v>12.0</v>
      </c>
    </row>
    <row r="5990">
      <c r="A5990" s="15">
        <v>10.0</v>
      </c>
      <c r="B5990" s="16" t="s">
        <v>10648</v>
      </c>
      <c r="C5990" s="17" t="s">
        <v>5532</v>
      </c>
      <c r="D5990" s="18">
        <v>32.43</v>
      </c>
      <c r="E5990" s="18">
        <v>48.0</v>
      </c>
      <c r="F5990" s="18">
        <v>12.0</v>
      </c>
    </row>
    <row r="5991">
      <c r="A5991" s="15">
        <v>11.0</v>
      </c>
      <c r="B5991" s="16" t="s">
        <v>4888</v>
      </c>
      <c r="C5991" s="16" t="s">
        <v>5558</v>
      </c>
      <c r="D5991" s="18">
        <v>46.07</v>
      </c>
      <c r="E5991" s="18">
        <v>64.5</v>
      </c>
      <c r="F5991" s="18">
        <v>12.0</v>
      </c>
    </row>
    <row r="5992">
      <c r="A5992" s="15">
        <v>12.0</v>
      </c>
      <c r="B5992" s="16" t="s">
        <v>10649</v>
      </c>
      <c r="C5992" s="17" t="s">
        <v>10588</v>
      </c>
      <c r="D5992" s="18">
        <v>232.14</v>
      </c>
      <c r="E5992" s="18">
        <v>325.0</v>
      </c>
      <c r="F5992" s="18">
        <v>12.0</v>
      </c>
    </row>
    <row r="5993">
      <c r="A5993" s="15">
        <v>13.0</v>
      </c>
      <c r="B5993" s="16" t="s">
        <v>10650</v>
      </c>
      <c r="C5993" s="17" t="s">
        <v>6127</v>
      </c>
      <c r="D5993" s="18">
        <v>182.43</v>
      </c>
      <c r="E5993" s="18">
        <v>270.0</v>
      </c>
      <c r="F5993" s="18">
        <v>12.0</v>
      </c>
    </row>
    <row r="5994">
      <c r="A5994" s="15">
        <v>14.0</v>
      </c>
      <c r="B5994" s="16" t="s">
        <v>10651</v>
      </c>
      <c r="C5994" s="17" t="s">
        <v>5562</v>
      </c>
      <c r="D5994" s="18">
        <v>54.05</v>
      </c>
      <c r="E5994" s="18">
        <v>80.0</v>
      </c>
      <c r="F5994" s="18">
        <v>12.0</v>
      </c>
    </row>
    <row r="5995">
      <c r="A5995" s="15">
        <v>15.0</v>
      </c>
      <c r="B5995" s="16" t="s">
        <v>4892</v>
      </c>
      <c r="C5995" s="16" t="s">
        <v>5558</v>
      </c>
      <c r="D5995" s="18">
        <v>15.57</v>
      </c>
      <c r="E5995" s="18">
        <v>21.8</v>
      </c>
      <c r="F5995" s="18">
        <v>12.0</v>
      </c>
    </row>
    <row r="5996">
      <c r="A5996" s="15">
        <v>16.0</v>
      </c>
      <c r="B5996" s="16" t="s">
        <v>10652</v>
      </c>
      <c r="C5996" s="17" t="s">
        <v>5948</v>
      </c>
      <c r="D5996" s="18">
        <v>74.65</v>
      </c>
      <c r="E5996" s="18">
        <v>104.5</v>
      </c>
      <c r="F5996" s="18">
        <v>12.0</v>
      </c>
    </row>
    <row r="5997">
      <c r="A5997" s="15">
        <v>17.0</v>
      </c>
      <c r="B5997" s="16" t="s">
        <v>10652</v>
      </c>
      <c r="C5997" s="17" t="s">
        <v>5677</v>
      </c>
      <c r="D5997" s="18">
        <v>75.88</v>
      </c>
      <c r="E5997" s="18">
        <v>106.23</v>
      </c>
      <c r="F5997" s="18">
        <v>12.0</v>
      </c>
    </row>
    <row r="5998">
      <c r="A5998" s="15">
        <v>18.0</v>
      </c>
      <c r="B5998" s="16" t="s">
        <v>10653</v>
      </c>
      <c r="C5998" s="17" t="s">
        <v>5536</v>
      </c>
      <c r="D5998" s="18">
        <v>35.6</v>
      </c>
      <c r="E5998" s="18">
        <v>49.83</v>
      </c>
      <c r="F5998" s="18">
        <v>12.0</v>
      </c>
    </row>
    <row r="5999">
      <c r="A5999" s="15">
        <v>19.0</v>
      </c>
      <c r="B5999" s="16" t="s">
        <v>10654</v>
      </c>
      <c r="C5999" s="17" t="s">
        <v>5562</v>
      </c>
      <c r="D5999" s="18">
        <v>102.61</v>
      </c>
      <c r="E5999" s="18">
        <v>130.6</v>
      </c>
      <c r="F5999" s="18">
        <v>12.0</v>
      </c>
    </row>
    <row r="6000">
      <c r="A6000" s="15">
        <v>20.0</v>
      </c>
      <c r="B6000" s="16" t="s">
        <v>10655</v>
      </c>
      <c r="C6000" s="17" t="s">
        <v>8931</v>
      </c>
      <c r="D6000" s="18">
        <v>324.33</v>
      </c>
      <c r="E6000" s="18">
        <v>450.0</v>
      </c>
      <c r="F6000" s="18">
        <v>12.0</v>
      </c>
    </row>
    <row r="6001">
      <c r="A6001" s="15">
        <v>21.0</v>
      </c>
      <c r="B6001" s="16" t="s">
        <v>10656</v>
      </c>
      <c r="C6001" s="17" t="s">
        <v>5614</v>
      </c>
      <c r="D6001" s="18">
        <v>154.95</v>
      </c>
      <c r="E6001" s="18">
        <v>215.0</v>
      </c>
      <c r="F6001" s="18">
        <v>12.0</v>
      </c>
    </row>
    <row r="6002">
      <c r="A6002" s="15">
        <v>22.0</v>
      </c>
      <c r="B6002" s="16" t="s">
        <v>10657</v>
      </c>
      <c r="C6002" s="17" t="s">
        <v>10658</v>
      </c>
      <c r="D6002" s="18">
        <v>34.68</v>
      </c>
      <c r="E6002" s="18">
        <v>42.8</v>
      </c>
      <c r="F6002" s="18">
        <v>5.0</v>
      </c>
    </row>
    <row r="6003">
      <c r="A6003" s="15">
        <v>23.0</v>
      </c>
      <c r="B6003" s="16" t="s">
        <v>10659</v>
      </c>
      <c r="C6003" s="17" t="s">
        <v>7980</v>
      </c>
      <c r="D6003" s="18">
        <v>79.28</v>
      </c>
      <c r="E6003" s="18">
        <v>110.0</v>
      </c>
      <c r="F6003" s="18">
        <v>12.0</v>
      </c>
    </row>
    <row r="6004">
      <c r="A6004" s="6"/>
      <c r="B6004" s="7"/>
      <c r="C6004" s="7"/>
      <c r="D6004" s="7"/>
      <c r="E6004" s="7"/>
      <c r="F6004" s="8"/>
    </row>
    <row r="6005">
      <c r="A6005" s="9" t="s">
        <v>10660</v>
      </c>
      <c r="B6005" s="10"/>
      <c r="C6005" s="10"/>
      <c r="D6005" s="10"/>
      <c r="E6005" s="10"/>
      <c r="F6005" s="10"/>
    </row>
    <row r="6006">
      <c r="A6006" s="6"/>
      <c r="B6006" s="7"/>
      <c r="C6006" s="7"/>
      <c r="D6006" s="7"/>
      <c r="E6006" s="8"/>
      <c r="F6006" s="12" t="s">
        <v>10661</v>
      </c>
    </row>
    <row r="6007">
      <c r="A6007" s="6"/>
      <c r="B6007" s="7"/>
      <c r="C6007" s="7"/>
      <c r="D6007" s="7"/>
      <c r="E6007" s="7"/>
      <c r="F6007" s="8"/>
    </row>
    <row r="6008">
      <c r="A6008" s="6"/>
      <c r="B6008" s="7"/>
      <c r="C6008" s="7"/>
      <c r="D6008" s="7"/>
      <c r="E6008" s="7"/>
      <c r="F6008" s="8"/>
    </row>
    <row r="6009">
      <c r="A6009" s="6"/>
      <c r="B6009" s="7"/>
      <c r="C6009" s="7"/>
      <c r="D6009" s="7"/>
      <c r="E6009" s="7"/>
      <c r="F6009" s="8"/>
    </row>
    <row r="6010">
      <c r="A6010" s="6"/>
      <c r="B6010" s="7"/>
      <c r="C6010" s="7"/>
      <c r="D6010" s="7"/>
      <c r="E6010" s="7"/>
      <c r="F6010" s="8"/>
    </row>
    <row r="6011">
      <c r="A6011" s="9" t="s">
        <v>5582</v>
      </c>
      <c r="B6011" s="10"/>
      <c r="C6011" s="10"/>
      <c r="D6011" s="10"/>
      <c r="E6011" s="10"/>
      <c r="F6011" s="10"/>
    </row>
    <row r="6012">
      <c r="A6012" s="19" t="s">
        <v>5583</v>
      </c>
    </row>
    <row r="6013">
      <c r="A6013" s="6"/>
      <c r="B6013" s="7"/>
      <c r="C6013" s="7"/>
      <c r="D6013" s="8"/>
      <c r="E6013" s="12" t="s">
        <v>5584</v>
      </c>
      <c r="F6013" s="12" t="s">
        <v>10662</v>
      </c>
    </row>
    <row r="6014">
      <c r="A6014" s="20" t="s">
        <v>5522</v>
      </c>
      <c r="B6014" s="16" t="s">
        <v>5523</v>
      </c>
      <c r="C6014" s="16" t="s">
        <v>5524</v>
      </c>
      <c r="D6014" s="16" t="s">
        <v>5525</v>
      </c>
      <c r="E6014" s="16" t="s">
        <v>5526</v>
      </c>
      <c r="F6014" s="16" t="s">
        <v>5586</v>
      </c>
    </row>
    <row r="6015">
      <c r="A6015" s="15">
        <v>1.0</v>
      </c>
      <c r="B6015" s="16" t="s">
        <v>10663</v>
      </c>
      <c r="C6015" s="17" t="s">
        <v>10664</v>
      </c>
      <c r="D6015" s="18">
        <v>186.97</v>
      </c>
      <c r="E6015" s="18">
        <v>259.4</v>
      </c>
      <c r="F6015" s="18">
        <v>12.0</v>
      </c>
    </row>
    <row r="6016">
      <c r="A6016" s="15">
        <v>2.0</v>
      </c>
      <c r="B6016" s="16" t="s">
        <v>10665</v>
      </c>
      <c r="C6016" s="17" t="s">
        <v>10666</v>
      </c>
      <c r="D6016" s="18">
        <v>75.0</v>
      </c>
      <c r="E6016" s="18">
        <v>105.0</v>
      </c>
      <c r="F6016" s="18">
        <v>12.0</v>
      </c>
    </row>
    <row r="6017">
      <c r="A6017" s="6"/>
      <c r="B6017" s="7"/>
      <c r="C6017" s="7"/>
      <c r="D6017" s="7"/>
      <c r="E6017" s="7"/>
      <c r="F6017" s="8"/>
    </row>
    <row r="6018">
      <c r="A6018" s="9" t="s">
        <v>4905</v>
      </c>
      <c r="B6018" s="10"/>
      <c r="C6018" s="10"/>
      <c r="D6018" s="10"/>
      <c r="E6018" s="10"/>
      <c r="F6018" s="10"/>
    </row>
    <row r="6019">
      <c r="A6019" s="11">
        <v>1.0</v>
      </c>
      <c r="B6019" s="12" t="s">
        <v>4904</v>
      </c>
      <c r="C6019" s="12" t="s">
        <v>5558</v>
      </c>
      <c r="D6019" s="14">
        <v>69.7</v>
      </c>
      <c r="E6019" s="14">
        <v>160.0</v>
      </c>
      <c r="F6019" s="14">
        <v>12.0</v>
      </c>
    </row>
    <row r="6020">
      <c r="A6020" s="6"/>
      <c r="B6020" s="7"/>
      <c r="C6020" s="7"/>
      <c r="D6020" s="7"/>
      <c r="E6020" s="7"/>
      <c r="F6020" s="8"/>
    </row>
    <row r="6021">
      <c r="A6021" s="9" t="s">
        <v>4907</v>
      </c>
      <c r="B6021" s="10"/>
      <c r="C6021" s="10"/>
      <c r="D6021" s="10"/>
      <c r="E6021" s="10"/>
      <c r="F6021" s="10"/>
    </row>
    <row r="6022">
      <c r="A6022" s="11">
        <v>1.0</v>
      </c>
      <c r="B6022" s="12" t="s">
        <v>4906</v>
      </c>
      <c r="C6022" s="12" t="s">
        <v>5558</v>
      </c>
      <c r="D6022" s="14">
        <v>65.41</v>
      </c>
      <c r="E6022" s="14">
        <v>91.57</v>
      </c>
      <c r="F6022" s="14">
        <v>12.0</v>
      </c>
    </row>
    <row r="6023">
      <c r="A6023" s="15">
        <v>2.0</v>
      </c>
      <c r="B6023" s="16" t="s">
        <v>10667</v>
      </c>
      <c r="C6023" s="17" t="s">
        <v>5742</v>
      </c>
      <c r="D6023" s="18">
        <v>72.09</v>
      </c>
      <c r="E6023" s="18">
        <v>100.92</v>
      </c>
      <c r="F6023" s="18">
        <v>12.0</v>
      </c>
    </row>
    <row r="6024">
      <c r="A6024" s="15">
        <v>3.0</v>
      </c>
      <c r="B6024" s="16" t="s">
        <v>4909</v>
      </c>
      <c r="C6024" s="16" t="s">
        <v>5558</v>
      </c>
      <c r="D6024" s="18">
        <v>23.23</v>
      </c>
      <c r="E6024" s="18">
        <v>32.53</v>
      </c>
      <c r="F6024" s="18">
        <v>12.0</v>
      </c>
    </row>
    <row r="6025">
      <c r="A6025" s="15">
        <v>4.0</v>
      </c>
      <c r="B6025" s="16" t="s">
        <v>4910</v>
      </c>
      <c r="C6025" s="16" t="s">
        <v>5679</v>
      </c>
      <c r="D6025" s="18">
        <v>56.36</v>
      </c>
      <c r="E6025" s="18">
        <v>78.9</v>
      </c>
      <c r="F6025" s="18">
        <v>12.0</v>
      </c>
    </row>
    <row r="6026">
      <c r="A6026" s="15">
        <v>5.0</v>
      </c>
      <c r="B6026" s="16" t="s">
        <v>10668</v>
      </c>
      <c r="C6026" s="17" t="s">
        <v>5912</v>
      </c>
      <c r="D6026" s="18">
        <v>71.3</v>
      </c>
      <c r="E6026" s="18">
        <v>99.82</v>
      </c>
      <c r="F6026" s="18">
        <v>12.0</v>
      </c>
    </row>
    <row r="6027">
      <c r="A6027" s="15">
        <v>6.0</v>
      </c>
      <c r="B6027" s="16" t="s">
        <v>10669</v>
      </c>
      <c r="C6027" s="17" t="s">
        <v>5948</v>
      </c>
      <c r="D6027" s="18">
        <v>65.0</v>
      </c>
      <c r="E6027" s="18">
        <v>91.0</v>
      </c>
      <c r="F6027" s="18">
        <v>12.0</v>
      </c>
    </row>
    <row r="6028">
      <c r="A6028" s="15">
        <v>7.0</v>
      </c>
      <c r="B6028" s="16" t="s">
        <v>10670</v>
      </c>
      <c r="C6028" s="17" t="s">
        <v>5562</v>
      </c>
      <c r="D6028" s="18">
        <v>25.93</v>
      </c>
      <c r="E6028" s="18">
        <v>36.3</v>
      </c>
      <c r="F6028" s="18">
        <v>12.0</v>
      </c>
    </row>
    <row r="6029">
      <c r="A6029" s="15">
        <v>8.0</v>
      </c>
      <c r="B6029" s="16" t="s">
        <v>10671</v>
      </c>
      <c r="C6029" s="16" t="s">
        <v>7306</v>
      </c>
      <c r="D6029" s="18">
        <v>13.44</v>
      </c>
      <c r="E6029" s="18">
        <v>18.81</v>
      </c>
      <c r="F6029" s="18">
        <v>12.0</v>
      </c>
    </row>
    <row r="6030">
      <c r="A6030" s="15">
        <v>9.0</v>
      </c>
      <c r="B6030" s="16" t="s">
        <v>4915</v>
      </c>
      <c r="C6030" s="16" t="s">
        <v>5558</v>
      </c>
      <c r="D6030" s="18">
        <v>33.15</v>
      </c>
      <c r="E6030" s="18">
        <v>46.0</v>
      </c>
      <c r="F6030" s="18">
        <v>12.0</v>
      </c>
    </row>
    <row r="6031">
      <c r="A6031" s="15">
        <v>10.0</v>
      </c>
      <c r="B6031" s="16" t="s">
        <v>4916</v>
      </c>
      <c r="C6031" s="16" t="s">
        <v>5558</v>
      </c>
      <c r="D6031" s="18">
        <v>39.07</v>
      </c>
      <c r="E6031" s="18">
        <v>54.7</v>
      </c>
      <c r="F6031" s="18">
        <v>12.0</v>
      </c>
    </row>
    <row r="6032">
      <c r="A6032" s="15">
        <v>11.0</v>
      </c>
      <c r="B6032" s="16" t="s">
        <v>10672</v>
      </c>
      <c r="C6032" s="17" t="s">
        <v>5636</v>
      </c>
      <c r="D6032" s="18">
        <v>41.4</v>
      </c>
      <c r="E6032" s="18">
        <v>57.96</v>
      </c>
      <c r="F6032" s="18">
        <v>12.0</v>
      </c>
    </row>
    <row r="6033">
      <c r="A6033" s="15">
        <v>12.0</v>
      </c>
      <c r="B6033" s="16" t="s">
        <v>10673</v>
      </c>
      <c r="C6033" s="17" t="s">
        <v>5536</v>
      </c>
      <c r="D6033" s="18">
        <v>15.12</v>
      </c>
      <c r="E6033" s="18">
        <v>21.17</v>
      </c>
      <c r="F6033" s="18">
        <v>12.0</v>
      </c>
    </row>
    <row r="6034">
      <c r="A6034" s="15">
        <v>13.0</v>
      </c>
      <c r="B6034" s="16" t="s">
        <v>10674</v>
      </c>
      <c r="C6034" s="17" t="s">
        <v>5636</v>
      </c>
      <c r="D6034" s="18">
        <v>25.6</v>
      </c>
      <c r="E6034" s="18">
        <v>35.84</v>
      </c>
      <c r="F6034" s="18">
        <v>12.0</v>
      </c>
    </row>
    <row r="6035">
      <c r="A6035" s="15">
        <v>14.0</v>
      </c>
      <c r="B6035" s="16" t="s">
        <v>5812</v>
      </c>
      <c r="C6035" s="17" t="s">
        <v>6481</v>
      </c>
      <c r="D6035" s="18">
        <v>19.29</v>
      </c>
      <c r="E6035" s="18">
        <v>27.0</v>
      </c>
      <c r="F6035" s="18">
        <v>12.0</v>
      </c>
    </row>
    <row r="6036">
      <c r="A6036" s="15">
        <v>15.0</v>
      </c>
      <c r="B6036" s="16" t="s">
        <v>10675</v>
      </c>
      <c r="C6036" s="17" t="s">
        <v>5636</v>
      </c>
      <c r="D6036" s="18">
        <v>70.2</v>
      </c>
      <c r="E6036" s="18">
        <v>97.42</v>
      </c>
      <c r="F6036" s="18">
        <v>12.0</v>
      </c>
    </row>
    <row r="6037">
      <c r="A6037" s="15">
        <v>16.0</v>
      </c>
      <c r="B6037" s="16" t="s">
        <v>10676</v>
      </c>
      <c r="C6037" s="17" t="s">
        <v>5636</v>
      </c>
      <c r="D6037" s="18">
        <v>111.42</v>
      </c>
      <c r="E6037" s="18">
        <v>154.6</v>
      </c>
      <c r="F6037" s="18">
        <v>12.0</v>
      </c>
    </row>
    <row r="6038">
      <c r="A6038" s="15">
        <v>17.0</v>
      </c>
      <c r="B6038" s="16" t="s">
        <v>10677</v>
      </c>
      <c r="C6038" s="17" t="s">
        <v>5636</v>
      </c>
      <c r="D6038" s="18">
        <v>44.75</v>
      </c>
      <c r="E6038" s="18">
        <v>62.1</v>
      </c>
      <c r="F6038" s="18">
        <v>12.0</v>
      </c>
    </row>
    <row r="6039">
      <c r="A6039" s="6"/>
      <c r="B6039" s="7"/>
      <c r="C6039" s="7"/>
      <c r="D6039" s="7"/>
      <c r="E6039" s="7"/>
      <c r="F6039" s="8"/>
    </row>
    <row r="6040">
      <c r="A6040" s="9" t="s">
        <v>10678</v>
      </c>
      <c r="B6040" s="10"/>
      <c r="C6040" s="10"/>
      <c r="D6040" s="10"/>
      <c r="E6040" s="10"/>
      <c r="F6040" s="10"/>
    </row>
    <row r="6041">
      <c r="A6041" s="6"/>
      <c r="B6041" s="7"/>
      <c r="C6041" s="7"/>
      <c r="D6041" s="7"/>
      <c r="E6041" s="7"/>
      <c r="F6041" s="8"/>
    </row>
    <row r="6042">
      <c r="A6042" s="9" t="s">
        <v>4925</v>
      </c>
      <c r="B6042" s="10"/>
      <c r="C6042" s="10"/>
      <c r="D6042" s="10"/>
      <c r="E6042" s="10"/>
      <c r="F6042" s="10"/>
    </row>
    <row r="6043">
      <c r="A6043" s="11">
        <v>1.0</v>
      </c>
      <c r="B6043" s="12" t="s">
        <v>10679</v>
      </c>
      <c r="C6043" s="13" t="s">
        <v>5536</v>
      </c>
      <c r="D6043" s="14">
        <v>39.68</v>
      </c>
      <c r="E6043" s="14">
        <v>55.55</v>
      </c>
      <c r="F6043" s="14">
        <v>12.0</v>
      </c>
    </row>
    <row r="6044">
      <c r="A6044" s="15">
        <v>2.0</v>
      </c>
      <c r="B6044" s="16" t="s">
        <v>10680</v>
      </c>
      <c r="C6044" s="17" t="s">
        <v>5536</v>
      </c>
      <c r="D6044" s="18">
        <v>13.2</v>
      </c>
      <c r="E6044" s="18">
        <v>18.48</v>
      </c>
      <c r="F6044" s="18">
        <v>12.0</v>
      </c>
    </row>
    <row r="6045">
      <c r="A6045" s="15">
        <v>3.0</v>
      </c>
      <c r="B6045" s="16" t="s">
        <v>10681</v>
      </c>
      <c r="C6045" s="17" t="s">
        <v>5536</v>
      </c>
      <c r="D6045" s="18">
        <v>20.8</v>
      </c>
      <c r="E6045" s="18">
        <v>29.12</v>
      </c>
      <c r="F6045" s="18">
        <v>12.0</v>
      </c>
    </row>
    <row r="6046">
      <c r="A6046" s="15">
        <v>4.0</v>
      </c>
      <c r="B6046" s="16" t="s">
        <v>4928</v>
      </c>
      <c r="C6046" s="16" t="s">
        <v>5558</v>
      </c>
      <c r="D6046" s="18">
        <v>55.54</v>
      </c>
      <c r="E6046" s="18">
        <v>77.75</v>
      </c>
      <c r="F6046" s="18">
        <v>12.0</v>
      </c>
    </row>
    <row r="6047">
      <c r="A6047" s="15">
        <v>5.0</v>
      </c>
      <c r="B6047" s="16" t="s">
        <v>10682</v>
      </c>
      <c r="C6047" s="17" t="s">
        <v>5530</v>
      </c>
      <c r="D6047" s="18">
        <v>56.17</v>
      </c>
      <c r="E6047" s="18">
        <v>78.64</v>
      </c>
      <c r="F6047" s="18">
        <v>12.0</v>
      </c>
    </row>
    <row r="6048">
      <c r="A6048" s="15">
        <v>6.0</v>
      </c>
      <c r="B6048" s="16" t="s">
        <v>10682</v>
      </c>
      <c r="C6048" s="17" t="s">
        <v>5636</v>
      </c>
      <c r="D6048" s="18">
        <v>76.97</v>
      </c>
      <c r="E6048" s="18">
        <v>107.75</v>
      </c>
      <c r="F6048" s="18">
        <v>12.0</v>
      </c>
    </row>
    <row r="6049">
      <c r="A6049" s="15">
        <v>7.0</v>
      </c>
      <c r="B6049" s="16" t="s">
        <v>10683</v>
      </c>
      <c r="C6049" s="17" t="s">
        <v>10684</v>
      </c>
      <c r="D6049" s="18">
        <v>59.46</v>
      </c>
      <c r="E6049" s="18">
        <v>83.25</v>
      </c>
      <c r="F6049" s="18">
        <v>12.0</v>
      </c>
    </row>
    <row r="6050">
      <c r="A6050" s="15">
        <v>8.0</v>
      </c>
      <c r="B6050" s="16" t="s">
        <v>10685</v>
      </c>
      <c r="C6050" s="17" t="s">
        <v>5562</v>
      </c>
      <c r="D6050" s="18">
        <v>67.77</v>
      </c>
      <c r="E6050" s="18">
        <v>94.87</v>
      </c>
      <c r="F6050" s="18">
        <v>12.0</v>
      </c>
    </row>
    <row r="6051">
      <c r="A6051" s="15">
        <v>9.0</v>
      </c>
      <c r="B6051" s="16" t="s">
        <v>10686</v>
      </c>
      <c r="C6051" s="17" t="s">
        <v>5552</v>
      </c>
      <c r="D6051" s="18">
        <v>43.68</v>
      </c>
      <c r="E6051" s="18">
        <v>61.15</v>
      </c>
      <c r="F6051" s="18">
        <v>12.0</v>
      </c>
    </row>
    <row r="6052">
      <c r="A6052" s="15">
        <v>10.0</v>
      </c>
      <c r="B6052" s="16" t="s">
        <v>10687</v>
      </c>
      <c r="C6052" s="17" t="s">
        <v>5580</v>
      </c>
      <c r="D6052" s="18">
        <v>9.29</v>
      </c>
      <c r="E6052" s="18">
        <v>13.0</v>
      </c>
      <c r="F6052" s="18">
        <v>12.0</v>
      </c>
    </row>
    <row r="6053">
      <c r="A6053" s="15">
        <v>11.0</v>
      </c>
      <c r="B6053" s="16" t="s">
        <v>10688</v>
      </c>
      <c r="C6053" s="17" t="s">
        <v>10689</v>
      </c>
      <c r="D6053" s="18">
        <v>30.56</v>
      </c>
      <c r="E6053" s="18">
        <v>42.78</v>
      </c>
      <c r="F6053" s="18">
        <v>12.0</v>
      </c>
    </row>
    <row r="6054">
      <c r="A6054" s="15">
        <v>12.0</v>
      </c>
      <c r="B6054" s="16" t="s">
        <v>10688</v>
      </c>
      <c r="C6054" s="17" t="s">
        <v>5875</v>
      </c>
      <c r="D6054" s="18">
        <v>27.64</v>
      </c>
      <c r="E6054" s="18">
        <v>38.7</v>
      </c>
      <c r="F6054" s="18">
        <v>12.0</v>
      </c>
    </row>
    <row r="6055">
      <c r="A6055" s="15">
        <v>13.0</v>
      </c>
      <c r="B6055" s="16" t="s">
        <v>10687</v>
      </c>
      <c r="C6055" s="17" t="s">
        <v>5636</v>
      </c>
      <c r="D6055" s="18">
        <v>12.0</v>
      </c>
      <c r="E6055" s="18">
        <v>16.8</v>
      </c>
      <c r="F6055" s="18">
        <v>12.0</v>
      </c>
    </row>
    <row r="6056">
      <c r="A6056" s="15">
        <v>14.0</v>
      </c>
      <c r="B6056" s="16" t="s">
        <v>10690</v>
      </c>
      <c r="C6056" s="17" t="s">
        <v>5902</v>
      </c>
      <c r="D6056" s="18">
        <v>214.29</v>
      </c>
      <c r="E6056" s="18">
        <v>300.0</v>
      </c>
      <c r="F6056" s="18">
        <v>12.0</v>
      </c>
    </row>
    <row r="6057">
      <c r="A6057" s="15">
        <v>15.0</v>
      </c>
      <c r="B6057" s="16" t="s">
        <v>10690</v>
      </c>
      <c r="C6057" s="17" t="s">
        <v>5603</v>
      </c>
      <c r="D6057" s="18">
        <v>214.29</v>
      </c>
      <c r="E6057" s="18">
        <v>300.0</v>
      </c>
      <c r="F6057" s="18">
        <v>12.0</v>
      </c>
    </row>
    <row r="6058">
      <c r="A6058" s="15">
        <v>16.0</v>
      </c>
      <c r="B6058" s="16" t="s">
        <v>10663</v>
      </c>
      <c r="C6058" s="17" t="s">
        <v>7208</v>
      </c>
      <c r="D6058" s="18">
        <v>304.03</v>
      </c>
      <c r="E6058" s="18">
        <v>425.64</v>
      </c>
      <c r="F6058" s="18">
        <v>12.0</v>
      </c>
    </row>
    <row r="6059">
      <c r="A6059" s="15">
        <v>17.0</v>
      </c>
      <c r="B6059" s="16" t="s">
        <v>10663</v>
      </c>
      <c r="C6059" s="17" t="s">
        <v>6100</v>
      </c>
      <c r="D6059" s="18">
        <v>296.12</v>
      </c>
      <c r="E6059" s="18">
        <v>276.38</v>
      </c>
      <c r="F6059" s="18">
        <v>12.0</v>
      </c>
    </row>
    <row r="6060">
      <c r="A6060" s="15">
        <v>18.0</v>
      </c>
      <c r="B6060" s="16" t="s">
        <v>10663</v>
      </c>
      <c r="C6060" s="17" t="s">
        <v>5595</v>
      </c>
      <c r="D6060" s="18">
        <v>232.14</v>
      </c>
      <c r="E6060" s="18">
        <v>325.0</v>
      </c>
      <c r="F6060" s="18">
        <v>12.0</v>
      </c>
    </row>
    <row r="6061">
      <c r="A6061" s="15">
        <v>19.0</v>
      </c>
      <c r="B6061" s="16" t="s">
        <v>10691</v>
      </c>
      <c r="C6061" s="17" t="s">
        <v>5614</v>
      </c>
      <c r="D6061" s="18">
        <v>64.82</v>
      </c>
      <c r="E6061" s="18">
        <v>82.6</v>
      </c>
      <c r="F6061" s="18">
        <v>12.0</v>
      </c>
    </row>
    <row r="6062">
      <c r="A6062" s="15">
        <v>20.0</v>
      </c>
      <c r="B6062" s="16" t="s">
        <v>10692</v>
      </c>
      <c r="C6062" s="17" t="s">
        <v>5677</v>
      </c>
      <c r="D6062" s="18">
        <v>87.98</v>
      </c>
      <c r="E6062" s="18">
        <v>123.18</v>
      </c>
      <c r="F6062" s="18">
        <v>12.0</v>
      </c>
    </row>
    <row r="6063">
      <c r="A6063" s="15">
        <v>21.0</v>
      </c>
      <c r="B6063" s="16" t="s">
        <v>10693</v>
      </c>
      <c r="C6063" s="17" t="s">
        <v>7174</v>
      </c>
      <c r="D6063" s="18">
        <v>149.29</v>
      </c>
      <c r="E6063" s="18">
        <v>209.0</v>
      </c>
      <c r="F6063" s="18">
        <v>12.0</v>
      </c>
    </row>
    <row r="6064">
      <c r="A6064" s="15">
        <v>22.0</v>
      </c>
      <c r="B6064" s="16" t="s">
        <v>10693</v>
      </c>
      <c r="C6064" s="17" t="s">
        <v>9408</v>
      </c>
      <c r="D6064" s="18">
        <v>87.71</v>
      </c>
      <c r="E6064" s="18">
        <v>122.8</v>
      </c>
      <c r="F6064" s="18">
        <v>12.0</v>
      </c>
    </row>
    <row r="6065">
      <c r="A6065" s="15">
        <v>23.0</v>
      </c>
      <c r="B6065" s="16" t="s">
        <v>10694</v>
      </c>
      <c r="C6065" s="17" t="s">
        <v>10695</v>
      </c>
      <c r="D6065" s="18">
        <v>132.14</v>
      </c>
      <c r="E6065" s="18">
        <v>185.0</v>
      </c>
      <c r="F6065" s="18">
        <v>12.0</v>
      </c>
    </row>
    <row r="6066">
      <c r="A6066" s="15">
        <v>24.0</v>
      </c>
      <c r="B6066" s="16" t="s">
        <v>10694</v>
      </c>
      <c r="C6066" s="17" t="s">
        <v>10696</v>
      </c>
      <c r="D6066" s="18">
        <v>90.35</v>
      </c>
      <c r="E6066" s="18">
        <v>126.49</v>
      </c>
      <c r="F6066" s="18">
        <v>12.0</v>
      </c>
    </row>
    <row r="6067">
      <c r="A6067" s="15">
        <v>25.0</v>
      </c>
      <c r="B6067" s="16" t="s">
        <v>10697</v>
      </c>
      <c r="C6067" s="17" t="s">
        <v>10698</v>
      </c>
      <c r="D6067" s="18">
        <v>77.12</v>
      </c>
      <c r="E6067" s="18">
        <v>107.0</v>
      </c>
      <c r="F6067" s="18">
        <v>12.0</v>
      </c>
    </row>
    <row r="6068">
      <c r="A6068" s="15">
        <v>26.0</v>
      </c>
      <c r="B6068" s="16" t="s">
        <v>10697</v>
      </c>
      <c r="C6068" s="17" t="s">
        <v>10699</v>
      </c>
      <c r="D6068" s="18">
        <v>92.94</v>
      </c>
      <c r="E6068" s="18">
        <v>128.94</v>
      </c>
      <c r="F6068" s="18">
        <v>12.0</v>
      </c>
    </row>
    <row r="6069">
      <c r="A6069" s="6"/>
      <c r="B6069" s="7"/>
      <c r="C6069" s="7"/>
      <c r="D6069" s="7"/>
      <c r="E6069" s="7"/>
      <c r="F6069" s="8"/>
    </row>
    <row r="6070">
      <c r="A6070" s="9" t="s">
        <v>4950</v>
      </c>
      <c r="B6070" s="10"/>
      <c r="C6070" s="10"/>
      <c r="D6070" s="10"/>
      <c r="E6070" s="10"/>
      <c r="F6070" s="10"/>
    </row>
    <row r="6071">
      <c r="A6071" s="11">
        <v>1.0</v>
      </c>
      <c r="B6071" s="12" t="s">
        <v>10700</v>
      </c>
      <c r="C6071" s="13" t="s">
        <v>10701</v>
      </c>
      <c r="D6071" s="14">
        <v>128.93</v>
      </c>
      <c r="E6071" s="14">
        <v>180.5</v>
      </c>
      <c r="F6071" s="14">
        <v>12.0</v>
      </c>
    </row>
    <row r="6072">
      <c r="A6072" s="15">
        <v>2.0</v>
      </c>
      <c r="B6072" s="16" t="s">
        <v>10700</v>
      </c>
      <c r="C6072" s="17" t="s">
        <v>10702</v>
      </c>
      <c r="D6072" s="18">
        <v>163.93</v>
      </c>
      <c r="E6072" s="18">
        <v>229.5</v>
      </c>
      <c r="F6072" s="18">
        <v>12.0</v>
      </c>
    </row>
    <row r="6073">
      <c r="A6073" s="15">
        <v>3.0</v>
      </c>
      <c r="B6073" s="16" t="s">
        <v>10703</v>
      </c>
      <c r="C6073" s="17" t="s">
        <v>10704</v>
      </c>
      <c r="D6073" s="18">
        <v>74.01</v>
      </c>
      <c r="E6073" s="18">
        <v>98.68</v>
      </c>
      <c r="F6073" s="18">
        <v>12.0</v>
      </c>
    </row>
    <row r="6074">
      <c r="A6074" s="15">
        <v>4.0</v>
      </c>
      <c r="B6074" s="16" t="s">
        <v>10703</v>
      </c>
      <c r="C6074" s="16" t="s">
        <v>10705</v>
      </c>
      <c r="D6074" s="18">
        <v>57.58</v>
      </c>
      <c r="E6074" s="18">
        <v>76.78</v>
      </c>
      <c r="F6074" s="18">
        <v>12.0</v>
      </c>
    </row>
    <row r="6075">
      <c r="A6075" s="15">
        <v>5.0</v>
      </c>
      <c r="B6075" s="16" t="s">
        <v>10703</v>
      </c>
      <c r="C6075" s="17" t="s">
        <v>10706</v>
      </c>
      <c r="D6075" s="18">
        <v>99.82</v>
      </c>
      <c r="E6075" s="18">
        <v>133.09</v>
      </c>
      <c r="F6075" s="18">
        <v>12.0</v>
      </c>
    </row>
    <row r="6076">
      <c r="A6076" s="6"/>
      <c r="B6076" s="7"/>
      <c r="C6076" s="7"/>
      <c r="D6076" s="7"/>
      <c r="E6076" s="8"/>
      <c r="F6076" s="16" t="s">
        <v>10707</v>
      </c>
    </row>
    <row r="6077">
      <c r="A6077" s="6"/>
      <c r="B6077" s="7"/>
      <c r="C6077" s="7"/>
      <c r="D6077" s="7"/>
      <c r="E6077" s="7"/>
      <c r="F6077" s="8"/>
    </row>
    <row r="6078">
      <c r="A6078" s="6"/>
      <c r="B6078" s="7"/>
      <c r="C6078" s="7"/>
      <c r="D6078" s="7"/>
      <c r="E6078" s="7"/>
      <c r="F6078" s="8"/>
    </row>
    <row r="6079">
      <c r="A6079" s="6"/>
      <c r="B6079" s="7"/>
      <c r="C6079" s="7"/>
      <c r="D6079" s="7"/>
      <c r="E6079" s="7"/>
      <c r="F6079" s="8"/>
    </row>
    <row r="6080">
      <c r="A6080" s="6"/>
      <c r="B6080" s="7"/>
      <c r="C6080" s="7"/>
      <c r="D6080" s="7"/>
      <c r="E6080" s="7"/>
      <c r="F6080" s="8"/>
    </row>
    <row r="6081">
      <c r="A6081" s="9" t="s">
        <v>5582</v>
      </c>
      <c r="B6081" s="10"/>
      <c r="C6081" s="10"/>
      <c r="D6081" s="10"/>
      <c r="E6081" s="10"/>
      <c r="F6081" s="10"/>
    </row>
    <row r="6082">
      <c r="A6082" s="19" t="s">
        <v>5583</v>
      </c>
    </row>
    <row r="6083">
      <c r="A6083" s="6"/>
      <c r="B6083" s="7"/>
      <c r="C6083" s="7"/>
      <c r="D6083" s="8"/>
      <c r="E6083" s="12" t="s">
        <v>5584</v>
      </c>
      <c r="F6083" s="12" t="s">
        <v>10708</v>
      </c>
    </row>
    <row r="6084">
      <c r="A6084" s="20" t="s">
        <v>5522</v>
      </c>
      <c r="B6084" s="16" t="s">
        <v>5523</v>
      </c>
      <c r="C6084" s="16" t="s">
        <v>5524</v>
      </c>
      <c r="D6084" s="16" t="s">
        <v>5525</v>
      </c>
      <c r="E6084" s="16" t="s">
        <v>5526</v>
      </c>
      <c r="F6084" s="16" t="s">
        <v>5586</v>
      </c>
    </row>
    <row r="6085">
      <c r="A6085" s="15">
        <v>6.0</v>
      </c>
      <c r="B6085" s="16" t="s">
        <v>10709</v>
      </c>
      <c r="C6085" s="17" t="s">
        <v>10710</v>
      </c>
      <c r="D6085" s="18">
        <v>106.07</v>
      </c>
      <c r="E6085" s="18">
        <v>148.5</v>
      </c>
      <c r="F6085" s="18">
        <v>12.0</v>
      </c>
    </row>
    <row r="6086">
      <c r="A6086" s="15">
        <v>7.0</v>
      </c>
      <c r="B6086" s="16" t="s">
        <v>10711</v>
      </c>
      <c r="C6086" s="17" t="s">
        <v>5636</v>
      </c>
      <c r="D6086" s="18">
        <v>126.07</v>
      </c>
      <c r="E6086" s="18">
        <v>176.5</v>
      </c>
      <c r="F6086" s="18">
        <v>12.0</v>
      </c>
    </row>
    <row r="6087">
      <c r="A6087" s="15">
        <v>8.0</v>
      </c>
      <c r="B6087" s="16" t="s">
        <v>10709</v>
      </c>
      <c r="C6087" s="17" t="s">
        <v>5562</v>
      </c>
      <c r="D6087" s="18">
        <v>119.46</v>
      </c>
      <c r="E6087" s="18">
        <v>167.24</v>
      </c>
      <c r="F6087" s="18">
        <v>12.0</v>
      </c>
    </row>
    <row r="6088">
      <c r="A6088" s="15">
        <v>9.0</v>
      </c>
      <c r="B6088" s="16" t="s">
        <v>10712</v>
      </c>
      <c r="C6088" s="17" t="s">
        <v>5536</v>
      </c>
      <c r="D6088" s="18">
        <v>96.36</v>
      </c>
      <c r="E6088" s="18">
        <v>134.9</v>
      </c>
      <c r="F6088" s="18">
        <v>12.0</v>
      </c>
    </row>
    <row r="6089">
      <c r="A6089" s="15">
        <v>10.0</v>
      </c>
      <c r="B6089" s="16" t="s">
        <v>10713</v>
      </c>
      <c r="C6089" s="17" t="s">
        <v>5536</v>
      </c>
      <c r="D6089" s="18">
        <v>21.07</v>
      </c>
      <c r="E6089" s="18">
        <v>29.5</v>
      </c>
      <c r="F6089" s="18">
        <v>12.0</v>
      </c>
    </row>
    <row r="6090">
      <c r="A6090" s="15">
        <v>11.0</v>
      </c>
      <c r="B6090" s="16" t="s">
        <v>10714</v>
      </c>
      <c r="C6090" s="17" t="s">
        <v>5536</v>
      </c>
      <c r="D6090" s="18">
        <v>32.16</v>
      </c>
      <c r="E6090" s="18">
        <v>45.02</v>
      </c>
      <c r="F6090" s="18">
        <v>12.0</v>
      </c>
    </row>
    <row r="6091">
      <c r="A6091" s="15">
        <v>12.0</v>
      </c>
      <c r="B6091" s="16" t="s">
        <v>10715</v>
      </c>
      <c r="C6091" s="17" t="s">
        <v>5536</v>
      </c>
      <c r="D6091" s="18">
        <v>46.08</v>
      </c>
      <c r="E6091" s="18">
        <v>64.51</v>
      </c>
      <c r="F6091" s="18">
        <v>12.0</v>
      </c>
    </row>
    <row r="6092">
      <c r="A6092" s="15">
        <v>13.0</v>
      </c>
      <c r="B6092" s="16" t="s">
        <v>10716</v>
      </c>
      <c r="C6092" s="17" t="s">
        <v>5636</v>
      </c>
      <c r="D6092" s="18">
        <v>41.02</v>
      </c>
      <c r="E6092" s="18">
        <v>57.42</v>
      </c>
      <c r="F6092" s="18">
        <v>12.0</v>
      </c>
    </row>
    <row r="6093">
      <c r="A6093" s="15">
        <v>14.0</v>
      </c>
      <c r="B6093" s="16" t="s">
        <v>10717</v>
      </c>
      <c r="C6093" s="17" t="s">
        <v>5636</v>
      </c>
      <c r="D6093" s="18">
        <v>65.27</v>
      </c>
      <c r="E6093" s="18">
        <v>91.33</v>
      </c>
      <c r="F6093" s="18">
        <v>12.0</v>
      </c>
    </row>
    <row r="6094">
      <c r="A6094" s="15">
        <v>15.0</v>
      </c>
      <c r="B6094" s="16" t="s">
        <v>10718</v>
      </c>
      <c r="C6094" s="17" t="s">
        <v>5636</v>
      </c>
      <c r="D6094" s="18">
        <v>50.48</v>
      </c>
      <c r="E6094" s="18">
        <v>70.67</v>
      </c>
      <c r="F6094" s="18">
        <v>12.0</v>
      </c>
    </row>
    <row r="6095">
      <c r="A6095" s="15">
        <v>16.0</v>
      </c>
      <c r="B6095" s="16" t="s">
        <v>10719</v>
      </c>
      <c r="C6095" s="17" t="s">
        <v>5536</v>
      </c>
      <c r="D6095" s="18">
        <v>75.96</v>
      </c>
      <c r="E6095" s="18">
        <v>106.34</v>
      </c>
      <c r="F6095" s="18">
        <v>12.0</v>
      </c>
    </row>
    <row r="6096">
      <c r="A6096" s="15">
        <v>17.0</v>
      </c>
      <c r="B6096" s="16" t="s">
        <v>10720</v>
      </c>
      <c r="C6096" s="17" t="s">
        <v>5536</v>
      </c>
      <c r="D6096" s="18">
        <v>87.96</v>
      </c>
      <c r="E6096" s="18">
        <v>123.15</v>
      </c>
      <c r="F6096" s="18">
        <v>12.0</v>
      </c>
    </row>
    <row r="6097">
      <c r="A6097" s="15">
        <v>18.0</v>
      </c>
      <c r="B6097" s="16" t="s">
        <v>10721</v>
      </c>
      <c r="C6097" s="17" t="s">
        <v>5536</v>
      </c>
      <c r="D6097" s="18">
        <v>51.86</v>
      </c>
      <c r="E6097" s="18">
        <v>72.6</v>
      </c>
      <c r="F6097" s="18">
        <v>12.0</v>
      </c>
    </row>
    <row r="6098">
      <c r="A6098" s="15">
        <v>19.0</v>
      </c>
      <c r="B6098" s="16" t="s">
        <v>10722</v>
      </c>
      <c r="C6098" s="17" t="s">
        <v>5536</v>
      </c>
      <c r="D6098" s="18">
        <v>71.9</v>
      </c>
      <c r="E6098" s="18">
        <v>100.67</v>
      </c>
      <c r="F6098" s="18">
        <v>12.0</v>
      </c>
    </row>
    <row r="6099">
      <c r="A6099" s="15">
        <v>20.0</v>
      </c>
      <c r="B6099" s="16" t="s">
        <v>10723</v>
      </c>
      <c r="C6099" s="17" t="s">
        <v>5788</v>
      </c>
      <c r="D6099" s="18">
        <v>66.09</v>
      </c>
      <c r="E6099" s="18">
        <v>90.75</v>
      </c>
      <c r="F6099" s="18">
        <v>12.0</v>
      </c>
    </row>
    <row r="6100">
      <c r="A6100" s="15">
        <v>21.0</v>
      </c>
      <c r="B6100" s="16" t="s">
        <v>10723</v>
      </c>
      <c r="C6100" s="17" t="s">
        <v>5536</v>
      </c>
      <c r="D6100" s="18">
        <v>76.8</v>
      </c>
      <c r="E6100" s="18">
        <v>97.75</v>
      </c>
      <c r="F6100" s="18">
        <v>12.0</v>
      </c>
    </row>
    <row r="6101">
      <c r="A6101" s="15">
        <v>22.0</v>
      </c>
      <c r="B6101" s="16" t="s">
        <v>10724</v>
      </c>
      <c r="C6101" s="17" t="s">
        <v>5536</v>
      </c>
      <c r="D6101" s="18">
        <v>74.57</v>
      </c>
      <c r="E6101" s="18">
        <v>104.4</v>
      </c>
      <c r="F6101" s="18">
        <v>12.0</v>
      </c>
    </row>
    <row r="6102">
      <c r="A6102" s="15">
        <v>23.0</v>
      </c>
      <c r="B6102" s="16" t="s">
        <v>10725</v>
      </c>
      <c r="C6102" s="17" t="s">
        <v>5536</v>
      </c>
      <c r="D6102" s="18">
        <v>149.93</v>
      </c>
      <c r="E6102" s="18">
        <v>209.9</v>
      </c>
      <c r="F6102" s="18">
        <v>12.0</v>
      </c>
    </row>
    <row r="6103">
      <c r="A6103" s="15">
        <v>24.0</v>
      </c>
      <c r="B6103" s="16" t="s">
        <v>10726</v>
      </c>
      <c r="C6103" s="17" t="s">
        <v>5536</v>
      </c>
      <c r="D6103" s="18">
        <v>351.71</v>
      </c>
      <c r="E6103" s="18">
        <v>492.4</v>
      </c>
      <c r="F6103" s="18">
        <v>12.0</v>
      </c>
    </row>
    <row r="6104">
      <c r="A6104" s="15">
        <v>25.0</v>
      </c>
      <c r="B6104" s="16" t="s">
        <v>10727</v>
      </c>
      <c r="C6104" s="17" t="s">
        <v>5536</v>
      </c>
      <c r="D6104" s="18">
        <v>44.64</v>
      </c>
      <c r="E6104" s="18">
        <v>62.5</v>
      </c>
      <c r="F6104" s="18">
        <v>12.0</v>
      </c>
    </row>
    <row r="6105">
      <c r="A6105" s="15">
        <v>26.0</v>
      </c>
      <c r="B6105" s="16" t="s">
        <v>10728</v>
      </c>
      <c r="C6105" s="17" t="s">
        <v>10729</v>
      </c>
      <c r="D6105" s="18">
        <v>63.24</v>
      </c>
      <c r="E6105" s="18">
        <v>88.54</v>
      </c>
      <c r="F6105" s="18">
        <v>12.0</v>
      </c>
    </row>
    <row r="6106">
      <c r="A6106" s="15">
        <v>27.0</v>
      </c>
      <c r="B6106" s="16" t="s">
        <v>10728</v>
      </c>
      <c r="C6106" s="17" t="s">
        <v>7168</v>
      </c>
      <c r="D6106" s="18">
        <v>51.29</v>
      </c>
      <c r="E6106" s="18">
        <v>71.8</v>
      </c>
      <c r="F6106" s="18">
        <v>12.0</v>
      </c>
    </row>
    <row r="6107">
      <c r="A6107" s="15">
        <v>28.0</v>
      </c>
      <c r="B6107" s="16" t="s">
        <v>10728</v>
      </c>
      <c r="C6107" s="17" t="s">
        <v>10730</v>
      </c>
      <c r="D6107" s="18">
        <v>66.78</v>
      </c>
      <c r="E6107" s="18">
        <v>93.49</v>
      </c>
      <c r="F6107" s="18">
        <v>12.0</v>
      </c>
    </row>
    <row r="6108">
      <c r="A6108" s="15">
        <v>29.0</v>
      </c>
      <c r="B6108" s="16" t="s">
        <v>10728</v>
      </c>
      <c r="C6108" s="17" t="s">
        <v>7169</v>
      </c>
      <c r="D6108" s="18">
        <v>68.63</v>
      </c>
      <c r="E6108" s="18">
        <v>96.09</v>
      </c>
      <c r="F6108" s="18">
        <v>12.0</v>
      </c>
    </row>
    <row r="6109">
      <c r="A6109" s="15">
        <v>30.0</v>
      </c>
      <c r="B6109" s="16" t="s">
        <v>10731</v>
      </c>
      <c r="C6109" s="17" t="s">
        <v>7168</v>
      </c>
      <c r="D6109" s="18">
        <v>106.96</v>
      </c>
      <c r="E6109" s="18">
        <v>149.74</v>
      </c>
      <c r="F6109" s="18">
        <v>12.0</v>
      </c>
    </row>
    <row r="6110">
      <c r="A6110" s="15">
        <v>31.0</v>
      </c>
      <c r="B6110" s="16" t="s">
        <v>10732</v>
      </c>
      <c r="C6110" s="17" t="s">
        <v>5636</v>
      </c>
      <c r="D6110" s="18">
        <v>150.0</v>
      </c>
      <c r="E6110" s="18">
        <v>210.0</v>
      </c>
      <c r="F6110" s="18">
        <v>12.0</v>
      </c>
    </row>
    <row r="6111">
      <c r="A6111" s="15">
        <v>32.0</v>
      </c>
      <c r="B6111" s="16" t="s">
        <v>10733</v>
      </c>
      <c r="C6111" s="17" t="s">
        <v>5653</v>
      </c>
      <c r="D6111" s="18">
        <v>144.43</v>
      </c>
      <c r="E6111" s="18">
        <v>202.2</v>
      </c>
      <c r="F6111" s="18">
        <v>12.0</v>
      </c>
    </row>
    <row r="6112">
      <c r="A6112" s="15">
        <v>33.0</v>
      </c>
      <c r="B6112" s="16" t="s">
        <v>10733</v>
      </c>
      <c r="C6112" s="17" t="s">
        <v>5654</v>
      </c>
      <c r="D6112" s="18">
        <v>179.64</v>
      </c>
      <c r="E6112" s="18">
        <v>251.5</v>
      </c>
      <c r="F6112" s="18">
        <v>12.0</v>
      </c>
    </row>
    <row r="6113">
      <c r="A6113" s="15">
        <v>34.0</v>
      </c>
      <c r="B6113" s="16" t="s">
        <v>10734</v>
      </c>
      <c r="C6113" s="17" t="s">
        <v>5536</v>
      </c>
      <c r="D6113" s="18">
        <v>117.5</v>
      </c>
      <c r="E6113" s="18">
        <v>164.5</v>
      </c>
      <c r="F6113" s="18">
        <v>12.0</v>
      </c>
    </row>
    <row r="6114">
      <c r="A6114" s="6"/>
      <c r="B6114" s="7"/>
      <c r="C6114" s="7"/>
      <c r="D6114" s="7"/>
      <c r="E6114" s="7"/>
      <c r="F6114" s="8"/>
    </row>
    <row r="6115">
      <c r="A6115" s="9" t="s">
        <v>4985</v>
      </c>
      <c r="B6115" s="10"/>
      <c r="C6115" s="10"/>
      <c r="D6115" s="10"/>
      <c r="E6115" s="10"/>
      <c r="F6115" s="10"/>
    </row>
    <row r="6116">
      <c r="A6116" s="11">
        <v>1.0</v>
      </c>
      <c r="B6116" s="12" t="s">
        <v>10703</v>
      </c>
      <c r="C6116" s="13" t="s">
        <v>10735</v>
      </c>
      <c r="D6116" s="14">
        <v>6.77</v>
      </c>
      <c r="E6116" s="14">
        <v>8.79</v>
      </c>
      <c r="F6116" s="14">
        <v>12.0</v>
      </c>
    </row>
    <row r="6117">
      <c r="A6117" s="15">
        <v>2.0</v>
      </c>
      <c r="B6117" s="16" t="s">
        <v>10703</v>
      </c>
      <c r="C6117" s="17" t="s">
        <v>10736</v>
      </c>
      <c r="D6117" s="18">
        <v>9.17</v>
      </c>
      <c r="E6117" s="18">
        <v>11.92</v>
      </c>
      <c r="F6117" s="18">
        <v>12.0</v>
      </c>
    </row>
    <row r="6118">
      <c r="A6118" s="15">
        <v>3.0</v>
      </c>
      <c r="B6118" s="16" t="s">
        <v>10737</v>
      </c>
      <c r="C6118" s="17" t="s">
        <v>5620</v>
      </c>
      <c r="D6118" s="18">
        <v>3.74</v>
      </c>
      <c r="E6118" s="18">
        <v>4.86</v>
      </c>
      <c r="F6118" s="18">
        <v>12.0</v>
      </c>
    </row>
    <row r="6119">
      <c r="A6119" s="15">
        <v>4.0</v>
      </c>
      <c r="B6119" s="16" t="s">
        <v>10687</v>
      </c>
      <c r="C6119" s="17" t="s">
        <v>8284</v>
      </c>
      <c r="D6119" s="18">
        <v>101.07</v>
      </c>
      <c r="E6119" s="18">
        <v>141.5</v>
      </c>
      <c r="F6119" s="18">
        <v>12.0</v>
      </c>
    </row>
    <row r="6120">
      <c r="A6120" s="15">
        <v>5.0</v>
      </c>
      <c r="B6120" s="16" t="s">
        <v>10687</v>
      </c>
      <c r="C6120" s="17" t="s">
        <v>8285</v>
      </c>
      <c r="D6120" s="18">
        <v>133.22</v>
      </c>
      <c r="E6120" s="18">
        <v>186.5</v>
      </c>
      <c r="F6120" s="18">
        <v>12.0</v>
      </c>
    </row>
    <row r="6121">
      <c r="A6121" s="15">
        <v>6.0</v>
      </c>
      <c r="B6121" s="16" t="s">
        <v>10687</v>
      </c>
      <c r="C6121" s="17" t="s">
        <v>10738</v>
      </c>
      <c r="D6121" s="18">
        <v>94.28</v>
      </c>
      <c r="E6121" s="18">
        <v>120.0</v>
      </c>
      <c r="F6121" s="18">
        <v>12.0</v>
      </c>
    </row>
    <row r="6122">
      <c r="A6122" s="15">
        <v>7.0</v>
      </c>
      <c r="B6122" s="16" t="s">
        <v>10687</v>
      </c>
      <c r="C6122" s="17" t="s">
        <v>10739</v>
      </c>
      <c r="D6122" s="18">
        <v>125.7</v>
      </c>
      <c r="E6122" s="18">
        <v>175.99</v>
      </c>
      <c r="F6122" s="18">
        <v>12.0</v>
      </c>
    </row>
    <row r="6123">
      <c r="A6123" s="15">
        <v>8.0</v>
      </c>
      <c r="B6123" s="16" t="s">
        <v>10740</v>
      </c>
      <c r="C6123" s="17" t="s">
        <v>5654</v>
      </c>
      <c r="D6123" s="18">
        <v>76.29</v>
      </c>
      <c r="E6123" s="18">
        <v>106.8</v>
      </c>
      <c r="F6123" s="18">
        <v>12.0</v>
      </c>
    </row>
    <row r="6124">
      <c r="A6124" s="15">
        <v>9.0</v>
      </c>
      <c r="B6124" s="16" t="s">
        <v>10740</v>
      </c>
      <c r="C6124" s="17" t="s">
        <v>5830</v>
      </c>
      <c r="D6124" s="18">
        <v>111.96</v>
      </c>
      <c r="E6124" s="18">
        <v>156.75</v>
      </c>
      <c r="F6124" s="18">
        <v>12.0</v>
      </c>
    </row>
    <row r="6125">
      <c r="A6125" s="15">
        <v>10.0</v>
      </c>
      <c r="B6125" s="16" t="s">
        <v>10740</v>
      </c>
      <c r="C6125" s="17" t="s">
        <v>9265</v>
      </c>
      <c r="D6125" s="18">
        <v>83.22</v>
      </c>
      <c r="E6125" s="18">
        <v>116.5</v>
      </c>
      <c r="F6125" s="18">
        <v>12.0</v>
      </c>
    </row>
    <row r="6126">
      <c r="A6126" s="15">
        <v>11.0</v>
      </c>
      <c r="B6126" s="16" t="s">
        <v>10740</v>
      </c>
      <c r="C6126" s="17" t="s">
        <v>10741</v>
      </c>
      <c r="D6126" s="18">
        <v>75.82</v>
      </c>
      <c r="E6126" s="18">
        <v>106.14</v>
      </c>
      <c r="F6126" s="18">
        <v>12.0</v>
      </c>
    </row>
    <row r="6127">
      <c r="A6127" s="15">
        <v>12.0</v>
      </c>
      <c r="B6127" s="16" t="s">
        <v>10740</v>
      </c>
      <c r="C6127" s="17" t="s">
        <v>10742</v>
      </c>
      <c r="D6127" s="18">
        <v>125.7</v>
      </c>
      <c r="E6127" s="18">
        <v>175.99</v>
      </c>
      <c r="F6127" s="18">
        <v>12.0</v>
      </c>
    </row>
    <row r="6128">
      <c r="A6128" s="15">
        <v>13.0</v>
      </c>
      <c r="B6128" s="16" t="s">
        <v>10740</v>
      </c>
      <c r="C6128" s="17" t="s">
        <v>10743</v>
      </c>
      <c r="D6128" s="18">
        <v>70.7</v>
      </c>
      <c r="E6128" s="18">
        <v>98.99</v>
      </c>
      <c r="F6128" s="18">
        <v>12.0</v>
      </c>
    </row>
    <row r="6129">
      <c r="A6129" s="15">
        <v>14.0</v>
      </c>
      <c r="B6129" s="16" t="s">
        <v>10744</v>
      </c>
      <c r="C6129" s="17" t="s">
        <v>5830</v>
      </c>
      <c r="D6129" s="18">
        <v>123.55</v>
      </c>
      <c r="E6129" s="18">
        <v>172.97</v>
      </c>
      <c r="F6129" s="18">
        <v>12.0</v>
      </c>
    </row>
    <row r="6130">
      <c r="A6130" s="15">
        <v>15.0</v>
      </c>
      <c r="B6130" s="16" t="s">
        <v>10744</v>
      </c>
      <c r="C6130" s="17" t="s">
        <v>5636</v>
      </c>
      <c r="D6130" s="18">
        <v>78.39</v>
      </c>
      <c r="E6130" s="18">
        <v>109.75</v>
      </c>
      <c r="F6130" s="18">
        <v>12.0</v>
      </c>
    </row>
    <row r="6131">
      <c r="A6131" s="15">
        <v>16.0</v>
      </c>
      <c r="B6131" s="16" t="s">
        <v>10745</v>
      </c>
      <c r="C6131" s="17" t="s">
        <v>6367</v>
      </c>
      <c r="D6131" s="18">
        <v>36.23</v>
      </c>
      <c r="E6131" s="18">
        <v>49.75</v>
      </c>
      <c r="F6131" s="18">
        <v>12.0</v>
      </c>
    </row>
    <row r="6132">
      <c r="A6132" s="15">
        <v>17.0</v>
      </c>
      <c r="B6132" s="16" t="s">
        <v>10745</v>
      </c>
      <c r="C6132" s="17" t="s">
        <v>5788</v>
      </c>
      <c r="D6132" s="18">
        <v>48.25</v>
      </c>
      <c r="E6132" s="18">
        <v>66.25</v>
      </c>
      <c r="F6132" s="18">
        <v>12.0</v>
      </c>
    </row>
    <row r="6133">
      <c r="A6133" s="15">
        <v>18.0</v>
      </c>
      <c r="B6133" s="16" t="s">
        <v>10745</v>
      </c>
      <c r="C6133" s="17" t="s">
        <v>5636</v>
      </c>
      <c r="D6133" s="18">
        <v>61.43</v>
      </c>
      <c r="E6133" s="18">
        <v>86.0</v>
      </c>
      <c r="F6133" s="18">
        <v>12.0</v>
      </c>
    </row>
    <row r="6134">
      <c r="A6134" s="15">
        <v>19.0</v>
      </c>
      <c r="B6134" s="16" t="s">
        <v>10746</v>
      </c>
      <c r="C6134" s="17" t="s">
        <v>5536</v>
      </c>
      <c r="D6134" s="18">
        <v>55.41</v>
      </c>
      <c r="E6134" s="18">
        <v>77.57</v>
      </c>
      <c r="F6134" s="18">
        <v>12.0</v>
      </c>
    </row>
    <row r="6135">
      <c r="A6135" s="15">
        <v>20.0</v>
      </c>
      <c r="B6135" s="16" t="s">
        <v>10747</v>
      </c>
      <c r="C6135" s="17" t="s">
        <v>5536</v>
      </c>
      <c r="D6135" s="18">
        <v>74.49</v>
      </c>
      <c r="E6135" s="18">
        <v>104.28</v>
      </c>
      <c r="F6135" s="18">
        <v>12.0</v>
      </c>
    </row>
    <row r="6136">
      <c r="A6136" s="15">
        <v>21.0</v>
      </c>
      <c r="B6136" s="16" t="s">
        <v>10748</v>
      </c>
      <c r="C6136" s="17" t="s">
        <v>7142</v>
      </c>
      <c r="D6136" s="18">
        <v>61.28</v>
      </c>
      <c r="E6136" s="18">
        <v>85.79</v>
      </c>
      <c r="F6136" s="18">
        <v>12.0</v>
      </c>
    </row>
    <row r="6137">
      <c r="A6137" s="15">
        <v>22.0</v>
      </c>
      <c r="B6137" s="16" t="s">
        <v>10748</v>
      </c>
      <c r="C6137" s="17" t="s">
        <v>7143</v>
      </c>
      <c r="D6137" s="18">
        <v>77.78</v>
      </c>
      <c r="E6137" s="18">
        <v>108.89</v>
      </c>
      <c r="F6137" s="18">
        <v>12.0</v>
      </c>
    </row>
    <row r="6138">
      <c r="A6138" s="6"/>
      <c r="B6138" s="7"/>
      <c r="C6138" s="7"/>
      <c r="D6138" s="7"/>
      <c r="E6138" s="7"/>
      <c r="F6138" s="8"/>
    </row>
    <row r="6139">
      <c r="A6139" s="9" t="s">
        <v>10749</v>
      </c>
      <c r="B6139" s="10"/>
      <c r="C6139" s="10"/>
      <c r="D6139" s="10"/>
      <c r="E6139" s="10"/>
      <c r="F6139" s="10"/>
    </row>
    <row r="6140">
      <c r="A6140" s="11">
        <v>1.0</v>
      </c>
      <c r="B6140" s="12" t="s">
        <v>10750</v>
      </c>
      <c r="C6140" s="13" t="s">
        <v>5636</v>
      </c>
      <c r="D6140" s="14">
        <v>52.16</v>
      </c>
      <c r="E6140" s="14">
        <v>73.02</v>
      </c>
      <c r="F6140" s="14">
        <v>12.0</v>
      </c>
    </row>
    <row r="6141">
      <c r="A6141" s="15">
        <v>2.0</v>
      </c>
      <c r="B6141" s="16" t="s">
        <v>10751</v>
      </c>
      <c r="C6141" s="17" t="s">
        <v>5636</v>
      </c>
      <c r="D6141" s="18">
        <v>31.78</v>
      </c>
      <c r="E6141" s="18">
        <v>44.5</v>
      </c>
      <c r="F6141" s="18">
        <v>12.0</v>
      </c>
    </row>
    <row r="6142">
      <c r="A6142" s="15">
        <v>3.0</v>
      </c>
      <c r="B6142" s="16" t="s">
        <v>5010</v>
      </c>
      <c r="C6142" s="16" t="s">
        <v>5558</v>
      </c>
      <c r="D6142" s="18">
        <v>21.07</v>
      </c>
      <c r="E6142" s="18">
        <v>29.5</v>
      </c>
      <c r="F6142" s="18">
        <v>12.0</v>
      </c>
    </row>
    <row r="6143">
      <c r="A6143" s="15">
        <v>4.0</v>
      </c>
      <c r="B6143" s="16" t="s">
        <v>10752</v>
      </c>
      <c r="C6143" s="17" t="s">
        <v>10753</v>
      </c>
      <c r="D6143" s="18">
        <v>46.13</v>
      </c>
      <c r="E6143" s="18">
        <v>64.58</v>
      </c>
      <c r="F6143" s="18">
        <v>12.0</v>
      </c>
    </row>
    <row r="6144">
      <c r="A6144" s="15">
        <v>5.0</v>
      </c>
      <c r="B6144" s="16" t="s">
        <v>10752</v>
      </c>
      <c r="C6144" s="17" t="s">
        <v>5886</v>
      </c>
      <c r="D6144" s="18">
        <v>34.55</v>
      </c>
      <c r="E6144" s="18">
        <v>48.37</v>
      </c>
      <c r="F6144" s="18">
        <v>12.0</v>
      </c>
    </row>
    <row r="6145">
      <c r="A6145" s="15">
        <v>6.0</v>
      </c>
      <c r="B6145" s="16" t="s">
        <v>10752</v>
      </c>
      <c r="C6145" s="17" t="s">
        <v>10754</v>
      </c>
      <c r="D6145" s="18">
        <v>41.52</v>
      </c>
      <c r="E6145" s="18">
        <v>57.0</v>
      </c>
      <c r="F6145" s="18">
        <v>12.0</v>
      </c>
    </row>
    <row r="6146">
      <c r="A6146" s="6"/>
      <c r="B6146" s="7"/>
      <c r="C6146" s="7"/>
      <c r="D6146" s="7"/>
      <c r="E6146" s="8"/>
      <c r="F6146" s="16" t="s">
        <v>10755</v>
      </c>
    </row>
    <row r="6147">
      <c r="A6147" s="6"/>
      <c r="B6147" s="7"/>
      <c r="C6147" s="7"/>
      <c r="D6147" s="7"/>
      <c r="E6147" s="7"/>
      <c r="F6147" s="8"/>
    </row>
    <row r="6148">
      <c r="A6148" s="6"/>
      <c r="B6148" s="7"/>
      <c r="C6148" s="7"/>
      <c r="D6148" s="7"/>
      <c r="E6148" s="7"/>
      <c r="F6148" s="8"/>
    </row>
    <row r="6149">
      <c r="A6149" s="6"/>
      <c r="B6149" s="7"/>
      <c r="C6149" s="7"/>
      <c r="D6149" s="7"/>
      <c r="E6149" s="7"/>
      <c r="F6149" s="8"/>
    </row>
    <row r="6150">
      <c r="A6150" s="6"/>
      <c r="B6150" s="7"/>
      <c r="C6150" s="7"/>
      <c r="D6150" s="7"/>
      <c r="E6150" s="7"/>
      <c r="F6150" s="8"/>
    </row>
    <row r="6151">
      <c r="A6151" s="9" t="s">
        <v>5582</v>
      </c>
      <c r="B6151" s="10"/>
      <c r="C6151" s="10"/>
      <c r="D6151" s="10"/>
      <c r="E6151" s="10"/>
      <c r="F6151" s="10"/>
    </row>
    <row r="6152">
      <c r="A6152" s="19" t="s">
        <v>5583</v>
      </c>
    </row>
    <row r="6153">
      <c r="A6153" s="6"/>
      <c r="B6153" s="7"/>
      <c r="C6153" s="7"/>
      <c r="D6153" s="8"/>
      <c r="E6153" s="12" t="s">
        <v>5584</v>
      </c>
      <c r="F6153" s="12" t="s">
        <v>10756</v>
      </c>
    </row>
    <row r="6154">
      <c r="A6154" s="20" t="s">
        <v>5522</v>
      </c>
      <c r="B6154" s="16" t="s">
        <v>5523</v>
      </c>
      <c r="C6154" s="16" t="s">
        <v>5524</v>
      </c>
      <c r="D6154" s="16" t="s">
        <v>5525</v>
      </c>
      <c r="E6154" s="16" t="s">
        <v>5526</v>
      </c>
      <c r="F6154" s="16" t="s">
        <v>5586</v>
      </c>
    </row>
    <row r="6155">
      <c r="A6155" s="15">
        <v>7.0</v>
      </c>
      <c r="B6155" s="16" t="s">
        <v>10752</v>
      </c>
      <c r="C6155" s="17" t="s">
        <v>5878</v>
      </c>
      <c r="D6155" s="18">
        <v>56.3</v>
      </c>
      <c r="E6155" s="18">
        <v>78.83</v>
      </c>
      <c r="F6155" s="18">
        <v>12.0</v>
      </c>
    </row>
    <row r="6156">
      <c r="A6156" s="15">
        <v>8.0</v>
      </c>
      <c r="B6156" s="16" t="s">
        <v>10752</v>
      </c>
      <c r="C6156" s="17" t="s">
        <v>9029</v>
      </c>
      <c r="D6156" s="18">
        <v>69.02</v>
      </c>
      <c r="E6156" s="18">
        <v>96.63</v>
      </c>
      <c r="F6156" s="18">
        <v>12.0</v>
      </c>
    </row>
    <row r="6157">
      <c r="A6157" s="15">
        <v>9.0</v>
      </c>
      <c r="B6157" s="16" t="s">
        <v>10752</v>
      </c>
      <c r="C6157" s="17" t="s">
        <v>10757</v>
      </c>
      <c r="D6157" s="18">
        <v>58.24</v>
      </c>
      <c r="E6157" s="18">
        <v>80.0</v>
      </c>
      <c r="F6157" s="18">
        <v>12.0</v>
      </c>
    </row>
    <row r="6158">
      <c r="A6158" s="15">
        <v>10.0</v>
      </c>
      <c r="B6158" s="16" t="s">
        <v>10752</v>
      </c>
      <c r="C6158" s="17" t="s">
        <v>5881</v>
      </c>
      <c r="D6158" s="18">
        <v>71.24</v>
      </c>
      <c r="E6158" s="18">
        <v>99.74</v>
      </c>
      <c r="F6158" s="18">
        <v>12.0</v>
      </c>
    </row>
    <row r="6159">
      <c r="A6159" s="15">
        <v>11.0</v>
      </c>
      <c r="B6159" s="16" t="s">
        <v>10752</v>
      </c>
      <c r="C6159" s="17" t="s">
        <v>9032</v>
      </c>
      <c r="D6159" s="18">
        <v>101.39</v>
      </c>
      <c r="E6159" s="18">
        <v>141.95</v>
      </c>
      <c r="F6159" s="18">
        <v>12.0</v>
      </c>
    </row>
    <row r="6160">
      <c r="A6160" s="15">
        <v>12.0</v>
      </c>
      <c r="B6160" s="16" t="s">
        <v>10752</v>
      </c>
      <c r="C6160" s="17" t="s">
        <v>10758</v>
      </c>
      <c r="D6160" s="18">
        <v>66.07</v>
      </c>
      <c r="E6160" s="18">
        <v>92.5</v>
      </c>
      <c r="F6160" s="18">
        <v>12.0</v>
      </c>
    </row>
    <row r="6161">
      <c r="A6161" s="15">
        <v>13.0</v>
      </c>
      <c r="B6161" s="16" t="s">
        <v>10752</v>
      </c>
      <c r="C6161" s="17" t="s">
        <v>10759</v>
      </c>
      <c r="D6161" s="18">
        <v>72.64</v>
      </c>
      <c r="E6161" s="18">
        <v>101.7</v>
      </c>
      <c r="F6161" s="18">
        <v>12.0</v>
      </c>
    </row>
    <row r="6162">
      <c r="A6162" s="15">
        <v>14.0</v>
      </c>
      <c r="B6162" s="16" t="s">
        <v>10752</v>
      </c>
      <c r="C6162" s="17" t="s">
        <v>10760</v>
      </c>
      <c r="D6162" s="18">
        <v>73.9</v>
      </c>
      <c r="E6162" s="18">
        <v>103.45</v>
      </c>
      <c r="F6162" s="18">
        <v>12.0</v>
      </c>
    </row>
    <row r="6163">
      <c r="A6163" s="15">
        <v>15.0</v>
      </c>
      <c r="B6163" s="16" t="s">
        <v>10687</v>
      </c>
      <c r="C6163" s="17" t="s">
        <v>10761</v>
      </c>
      <c r="D6163" s="18">
        <v>92.7</v>
      </c>
      <c r="E6163" s="18">
        <v>129.79</v>
      </c>
      <c r="F6163" s="18">
        <v>12.0</v>
      </c>
    </row>
    <row r="6164">
      <c r="A6164" s="15">
        <v>16.0</v>
      </c>
      <c r="B6164" s="16" t="s">
        <v>10687</v>
      </c>
      <c r="C6164" s="17" t="s">
        <v>10762</v>
      </c>
      <c r="D6164" s="18">
        <v>113.14</v>
      </c>
      <c r="E6164" s="18">
        <v>158.39</v>
      </c>
      <c r="F6164" s="18">
        <v>12.0</v>
      </c>
    </row>
    <row r="6165">
      <c r="A6165" s="15">
        <v>17.0</v>
      </c>
      <c r="B6165" s="16" t="s">
        <v>10763</v>
      </c>
      <c r="C6165" s="17" t="s">
        <v>5636</v>
      </c>
      <c r="D6165" s="18">
        <v>39.29</v>
      </c>
      <c r="E6165" s="18">
        <v>55.0</v>
      </c>
      <c r="F6165" s="18">
        <v>12.0</v>
      </c>
    </row>
    <row r="6166">
      <c r="A6166" s="15">
        <v>18.0</v>
      </c>
      <c r="B6166" s="16" t="s">
        <v>10764</v>
      </c>
      <c r="C6166" s="16" t="s">
        <v>5558</v>
      </c>
      <c r="D6166" s="18">
        <v>28.64</v>
      </c>
      <c r="E6166" s="18">
        <v>40.1</v>
      </c>
      <c r="F6166" s="18">
        <v>12.0</v>
      </c>
    </row>
    <row r="6167">
      <c r="A6167" s="15">
        <v>19.0</v>
      </c>
      <c r="B6167" s="16" t="s">
        <v>10765</v>
      </c>
      <c r="C6167" s="16" t="s">
        <v>5558</v>
      </c>
      <c r="D6167" s="18">
        <v>45.52</v>
      </c>
      <c r="E6167" s="18">
        <v>63.73</v>
      </c>
      <c r="F6167" s="18">
        <v>12.0</v>
      </c>
    </row>
    <row r="6168">
      <c r="A6168" s="15">
        <v>20.0</v>
      </c>
      <c r="B6168" s="16" t="s">
        <v>10766</v>
      </c>
      <c r="C6168" s="16" t="s">
        <v>5558</v>
      </c>
      <c r="D6168" s="18">
        <v>81.43</v>
      </c>
      <c r="E6168" s="18">
        <v>114.0</v>
      </c>
      <c r="F6168" s="18">
        <v>12.0</v>
      </c>
    </row>
    <row r="6169">
      <c r="A6169" s="15">
        <v>21.0</v>
      </c>
      <c r="B6169" s="16" t="s">
        <v>10767</v>
      </c>
      <c r="C6169" s="16" t="s">
        <v>5558</v>
      </c>
      <c r="D6169" s="18">
        <v>101.07</v>
      </c>
      <c r="E6169" s="18">
        <v>141.5</v>
      </c>
      <c r="F6169" s="18">
        <v>12.0</v>
      </c>
    </row>
    <row r="6170">
      <c r="A6170" s="15">
        <v>22.0</v>
      </c>
      <c r="B6170" s="16" t="s">
        <v>10768</v>
      </c>
      <c r="C6170" s="17" t="s">
        <v>5562</v>
      </c>
      <c r="D6170" s="18">
        <v>33.78</v>
      </c>
      <c r="E6170" s="18">
        <v>46.4</v>
      </c>
      <c r="F6170" s="18">
        <v>12.0</v>
      </c>
    </row>
    <row r="6171">
      <c r="A6171" s="15">
        <v>23.0</v>
      </c>
      <c r="B6171" s="16" t="s">
        <v>10769</v>
      </c>
      <c r="C6171" s="17" t="s">
        <v>10770</v>
      </c>
      <c r="D6171" s="18">
        <v>75.0</v>
      </c>
      <c r="E6171" s="18">
        <v>105.0</v>
      </c>
      <c r="F6171" s="18">
        <v>12.0</v>
      </c>
    </row>
    <row r="6172">
      <c r="A6172" s="15">
        <v>24.0</v>
      </c>
      <c r="B6172" s="16" t="s">
        <v>10771</v>
      </c>
      <c r="C6172" s="17" t="s">
        <v>10772</v>
      </c>
      <c r="D6172" s="18">
        <v>87.14</v>
      </c>
      <c r="E6172" s="18">
        <v>122.0</v>
      </c>
      <c r="F6172" s="18">
        <v>12.0</v>
      </c>
    </row>
    <row r="6173">
      <c r="A6173" s="15">
        <v>25.0</v>
      </c>
      <c r="B6173" s="16" t="s">
        <v>10773</v>
      </c>
      <c r="C6173" s="17" t="s">
        <v>5536</v>
      </c>
      <c r="D6173" s="18">
        <v>33.22</v>
      </c>
      <c r="E6173" s="18">
        <v>46.5</v>
      </c>
      <c r="F6173" s="18">
        <v>12.0</v>
      </c>
    </row>
    <row r="6174">
      <c r="A6174" s="15">
        <v>26.0</v>
      </c>
      <c r="B6174" s="16" t="s">
        <v>10774</v>
      </c>
      <c r="C6174" s="17" t="s">
        <v>5536</v>
      </c>
      <c r="D6174" s="18">
        <v>45.18</v>
      </c>
      <c r="E6174" s="18">
        <v>63.25</v>
      </c>
      <c r="F6174" s="18">
        <v>12.0</v>
      </c>
    </row>
    <row r="6175">
      <c r="A6175" s="15">
        <v>27.0</v>
      </c>
      <c r="B6175" s="16" t="s">
        <v>10775</v>
      </c>
      <c r="C6175" s="17" t="s">
        <v>5636</v>
      </c>
      <c r="D6175" s="18">
        <v>67.5</v>
      </c>
      <c r="E6175" s="18">
        <v>94.5</v>
      </c>
      <c r="F6175" s="18">
        <v>12.0</v>
      </c>
    </row>
    <row r="6176">
      <c r="A6176" s="15">
        <v>28.0</v>
      </c>
      <c r="B6176" s="16" t="s">
        <v>10776</v>
      </c>
      <c r="C6176" s="17" t="s">
        <v>5636</v>
      </c>
      <c r="D6176" s="18">
        <v>33.34</v>
      </c>
      <c r="E6176" s="18">
        <v>46.25</v>
      </c>
      <c r="F6176" s="18">
        <v>12.0</v>
      </c>
    </row>
    <row r="6177">
      <c r="A6177" s="15">
        <v>29.0</v>
      </c>
      <c r="B6177" s="16" t="s">
        <v>10777</v>
      </c>
      <c r="C6177" s="17" t="s">
        <v>5636</v>
      </c>
      <c r="D6177" s="18">
        <v>45.59</v>
      </c>
      <c r="E6177" s="18">
        <v>63.25</v>
      </c>
      <c r="F6177" s="18">
        <v>12.0</v>
      </c>
    </row>
    <row r="6178">
      <c r="A6178" s="6"/>
      <c r="B6178" s="7"/>
      <c r="C6178" s="7"/>
      <c r="D6178" s="7"/>
      <c r="E6178" s="7"/>
      <c r="F6178" s="8"/>
    </row>
    <row r="6179">
      <c r="A6179" s="9" t="s">
        <v>5038</v>
      </c>
      <c r="B6179" s="10"/>
      <c r="C6179" s="10"/>
      <c r="D6179" s="10"/>
      <c r="E6179" s="10"/>
      <c r="F6179" s="10"/>
    </row>
    <row r="6180">
      <c r="A6180" s="11">
        <v>1.0</v>
      </c>
      <c r="B6180" s="12" t="s">
        <v>5037</v>
      </c>
      <c r="C6180" s="12" t="s">
        <v>5679</v>
      </c>
      <c r="D6180" s="14">
        <v>70.51</v>
      </c>
      <c r="E6180" s="14">
        <v>98.72</v>
      </c>
      <c r="F6180" s="14">
        <v>12.0</v>
      </c>
    </row>
    <row r="6181">
      <c r="A6181" s="15">
        <v>2.0</v>
      </c>
      <c r="B6181" s="16" t="s">
        <v>5039</v>
      </c>
      <c r="C6181" s="16" t="s">
        <v>5558</v>
      </c>
      <c r="D6181" s="18">
        <v>69.53</v>
      </c>
      <c r="E6181" s="18">
        <v>97.34</v>
      </c>
      <c r="F6181" s="18">
        <v>12.0</v>
      </c>
    </row>
    <row r="6182">
      <c r="A6182" s="15">
        <v>3.0</v>
      </c>
      <c r="B6182" s="16" t="s">
        <v>10778</v>
      </c>
      <c r="C6182" s="17" t="s">
        <v>6456</v>
      </c>
      <c r="D6182" s="18">
        <v>151.45</v>
      </c>
      <c r="E6182" s="18">
        <v>185.0</v>
      </c>
      <c r="F6182" s="18">
        <v>5.0</v>
      </c>
    </row>
    <row r="6183">
      <c r="A6183" s="15">
        <v>4.0</v>
      </c>
      <c r="B6183" s="16" t="s">
        <v>10779</v>
      </c>
      <c r="C6183" s="16" t="s">
        <v>2274</v>
      </c>
      <c r="D6183" s="18">
        <v>111.54</v>
      </c>
      <c r="E6183" s="18">
        <v>146.39</v>
      </c>
      <c r="F6183" s="18">
        <v>5.0</v>
      </c>
    </row>
    <row r="6184">
      <c r="A6184" s="15">
        <v>5.0</v>
      </c>
      <c r="B6184" s="16" t="s">
        <v>10780</v>
      </c>
      <c r="C6184" s="17" t="s">
        <v>10781</v>
      </c>
      <c r="D6184" s="18">
        <v>46.59</v>
      </c>
      <c r="E6184" s="18">
        <v>90.0</v>
      </c>
      <c r="F6184" s="18">
        <v>5.0</v>
      </c>
    </row>
    <row r="6185">
      <c r="A6185" s="15">
        <v>6.0</v>
      </c>
      <c r="B6185" s="16" t="s">
        <v>10782</v>
      </c>
      <c r="C6185" s="17" t="s">
        <v>10783</v>
      </c>
      <c r="D6185" s="18">
        <v>101.43</v>
      </c>
      <c r="E6185" s="18">
        <v>142.0</v>
      </c>
      <c r="F6185" s="18">
        <v>12.0</v>
      </c>
    </row>
    <row r="6186">
      <c r="A6186" s="15">
        <v>7.0</v>
      </c>
      <c r="B6186" s="16" t="s">
        <v>10784</v>
      </c>
      <c r="C6186" s="17" t="s">
        <v>5636</v>
      </c>
      <c r="D6186" s="18">
        <v>124.74</v>
      </c>
      <c r="E6186" s="18">
        <v>184.0</v>
      </c>
      <c r="F6186" s="18">
        <v>18.0</v>
      </c>
    </row>
    <row r="6187">
      <c r="A6187" s="15">
        <v>8.0</v>
      </c>
      <c r="B6187" s="16" t="s">
        <v>10785</v>
      </c>
      <c r="C6187" s="17" t="s">
        <v>5536</v>
      </c>
      <c r="D6187" s="18">
        <v>92.14</v>
      </c>
      <c r="E6187" s="18">
        <v>129.0</v>
      </c>
      <c r="F6187" s="18">
        <v>12.0</v>
      </c>
    </row>
    <row r="6188">
      <c r="A6188" s="15">
        <v>9.0</v>
      </c>
      <c r="B6188" s="16" t="s">
        <v>5046</v>
      </c>
      <c r="C6188" s="16" t="s">
        <v>5558</v>
      </c>
      <c r="D6188" s="18">
        <v>77.86</v>
      </c>
      <c r="E6188" s="18">
        <v>109.0</v>
      </c>
      <c r="F6188" s="18">
        <v>12.0</v>
      </c>
    </row>
    <row r="6189">
      <c r="A6189" s="15">
        <v>10.0</v>
      </c>
      <c r="B6189" s="16" t="s">
        <v>10687</v>
      </c>
      <c r="C6189" s="17" t="s">
        <v>5875</v>
      </c>
      <c r="D6189" s="18">
        <v>23.57</v>
      </c>
      <c r="E6189" s="18">
        <v>33.0</v>
      </c>
      <c r="F6189" s="18">
        <v>12.0</v>
      </c>
    </row>
    <row r="6190">
      <c r="A6190" s="15">
        <v>11.0</v>
      </c>
      <c r="B6190" s="16" t="s">
        <v>10786</v>
      </c>
      <c r="C6190" s="17" t="s">
        <v>5550</v>
      </c>
      <c r="D6190" s="18">
        <v>86.82</v>
      </c>
      <c r="E6190" s="18">
        <v>121.54</v>
      </c>
      <c r="F6190" s="18">
        <v>12.0</v>
      </c>
    </row>
    <row r="6191">
      <c r="A6191" s="15">
        <v>12.0</v>
      </c>
      <c r="B6191" s="16" t="s">
        <v>10787</v>
      </c>
      <c r="C6191" s="17" t="s">
        <v>7980</v>
      </c>
      <c r="D6191" s="18">
        <v>94.21</v>
      </c>
      <c r="E6191" s="18">
        <v>131.89</v>
      </c>
      <c r="F6191" s="18">
        <v>12.0</v>
      </c>
    </row>
    <row r="6192">
      <c r="A6192" s="15">
        <v>13.0</v>
      </c>
      <c r="B6192" s="16" t="s">
        <v>10786</v>
      </c>
      <c r="C6192" s="17" t="s">
        <v>6604</v>
      </c>
      <c r="D6192" s="18">
        <v>56.06</v>
      </c>
      <c r="E6192" s="18">
        <v>77.0</v>
      </c>
      <c r="F6192" s="18">
        <v>12.0</v>
      </c>
    </row>
    <row r="6193">
      <c r="A6193" s="15">
        <v>14.0</v>
      </c>
      <c r="B6193" s="16" t="s">
        <v>10786</v>
      </c>
      <c r="C6193" s="17" t="s">
        <v>6104</v>
      </c>
      <c r="D6193" s="18">
        <v>20.21</v>
      </c>
      <c r="E6193" s="18">
        <v>27.75</v>
      </c>
      <c r="F6193" s="18">
        <v>12.0</v>
      </c>
    </row>
    <row r="6194">
      <c r="A6194" s="15">
        <v>15.0</v>
      </c>
      <c r="B6194" s="16" t="s">
        <v>5052</v>
      </c>
      <c r="C6194" s="16" t="s">
        <v>5558</v>
      </c>
      <c r="D6194" s="18">
        <v>189.83</v>
      </c>
      <c r="E6194" s="18">
        <v>280.0</v>
      </c>
      <c r="F6194" s="18">
        <v>18.0</v>
      </c>
    </row>
    <row r="6195">
      <c r="A6195" s="15">
        <v>16.0</v>
      </c>
      <c r="B6195" s="16" t="s">
        <v>10788</v>
      </c>
      <c r="C6195" s="16" t="s">
        <v>301</v>
      </c>
      <c r="D6195" s="18">
        <v>63.22</v>
      </c>
      <c r="E6195" s="18">
        <v>88.5</v>
      </c>
      <c r="F6195" s="18">
        <v>12.0</v>
      </c>
    </row>
    <row r="6196">
      <c r="A6196" s="15">
        <v>17.0</v>
      </c>
      <c r="B6196" s="16" t="s">
        <v>10789</v>
      </c>
      <c r="C6196" s="17" t="s">
        <v>10790</v>
      </c>
      <c r="D6196" s="18">
        <v>62.06</v>
      </c>
      <c r="E6196" s="18">
        <v>86.89</v>
      </c>
      <c r="F6196" s="18">
        <v>12.0</v>
      </c>
    </row>
    <row r="6197">
      <c r="A6197" s="15">
        <v>18.0</v>
      </c>
      <c r="B6197" s="16" t="s">
        <v>10665</v>
      </c>
      <c r="C6197" s="17" t="s">
        <v>10791</v>
      </c>
      <c r="D6197" s="18">
        <v>51.85</v>
      </c>
      <c r="E6197" s="18">
        <v>72.59</v>
      </c>
      <c r="F6197" s="18">
        <v>12.0</v>
      </c>
    </row>
    <row r="6198">
      <c r="A6198" s="15">
        <v>19.0</v>
      </c>
      <c r="B6198" s="16" t="s">
        <v>10665</v>
      </c>
      <c r="C6198" s="17" t="s">
        <v>10792</v>
      </c>
      <c r="D6198" s="18">
        <v>71.26</v>
      </c>
      <c r="E6198" s="18">
        <v>99.77</v>
      </c>
      <c r="F6198" s="18">
        <v>12.0</v>
      </c>
    </row>
    <row r="6199">
      <c r="A6199" s="15">
        <v>20.0</v>
      </c>
      <c r="B6199" s="16" t="s">
        <v>10665</v>
      </c>
      <c r="C6199" s="17" t="s">
        <v>10793</v>
      </c>
      <c r="D6199" s="18">
        <v>49.15</v>
      </c>
      <c r="E6199" s="18">
        <v>68.81</v>
      </c>
      <c r="F6199" s="18">
        <v>12.0</v>
      </c>
    </row>
    <row r="6200">
      <c r="A6200" s="15">
        <v>21.0</v>
      </c>
      <c r="B6200" s="16" t="s">
        <v>10794</v>
      </c>
      <c r="C6200" s="17" t="s">
        <v>6386</v>
      </c>
      <c r="D6200" s="18">
        <v>246.43</v>
      </c>
      <c r="E6200" s="18">
        <v>345.0</v>
      </c>
      <c r="F6200" s="18">
        <v>12.0</v>
      </c>
    </row>
    <row r="6201">
      <c r="A6201" s="15">
        <v>22.0</v>
      </c>
      <c r="B6201" s="16" t="s">
        <v>5059</v>
      </c>
      <c r="C6201" s="16" t="s">
        <v>5679</v>
      </c>
      <c r="D6201" s="18">
        <v>78.17</v>
      </c>
      <c r="E6201" s="18">
        <v>109.44</v>
      </c>
      <c r="F6201" s="18">
        <v>12.0</v>
      </c>
    </row>
    <row r="6202">
      <c r="A6202" s="15">
        <v>23.0</v>
      </c>
      <c r="B6202" s="16" t="s">
        <v>10795</v>
      </c>
      <c r="C6202" s="17" t="s">
        <v>9625</v>
      </c>
      <c r="D6202" s="18">
        <v>62.79</v>
      </c>
      <c r="E6202" s="18">
        <v>94.65</v>
      </c>
      <c r="F6202" s="18">
        <v>12.0</v>
      </c>
    </row>
    <row r="6203">
      <c r="A6203" s="15">
        <v>24.0</v>
      </c>
      <c r="B6203" s="16" t="s">
        <v>10796</v>
      </c>
      <c r="C6203" s="17" t="s">
        <v>5562</v>
      </c>
      <c r="D6203" s="18">
        <v>125.7</v>
      </c>
      <c r="E6203" s="18">
        <v>175.99</v>
      </c>
      <c r="F6203" s="18">
        <v>12.0</v>
      </c>
    </row>
    <row r="6204">
      <c r="A6204" s="15">
        <v>25.0</v>
      </c>
      <c r="B6204" s="16" t="s">
        <v>10797</v>
      </c>
      <c r="C6204" s="17" t="s">
        <v>10798</v>
      </c>
      <c r="D6204" s="18">
        <v>9.94</v>
      </c>
      <c r="E6204" s="18">
        <v>13.92</v>
      </c>
      <c r="F6204" s="18">
        <v>12.0</v>
      </c>
    </row>
    <row r="6205">
      <c r="A6205" s="15">
        <v>26.0</v>
      </c>
      <c r="B6205" s="16" t="s">
        <v>10799</v>
      </c>
      <c r="C6205" s="17" t="s">
        <v>10800</v>
      </c>
      <c r="D6205" s="18">
        <v>11.88</v>
      </c>
      <c r="E6205" s="18">
        <v>16.33</v>
      </c>
      <c r="F6205" s="18">
        <v>12.0</v>
      </c>
    </row>
    <row r="6206">
      <c r="A6206" s="15">
        <v>27.0</v>
      </c>
      <c r="B6206" s="16" t="s">
        <v>10801</v>
      </c>
      <c r="C6206" s="17" t="s">
        <v>10802</v>
      </c>
      <c r="D6206" s="18">
        <v>27.07</v>
      </c>
      <c r="E6206" s="18">
        <v>38.5</v>
      </c>
      <c r="F6206" s="18">
        <v>12.0</v>
      </c>
    </row>
    <row r="6207">
      <c r="A6207" s="15">
        <v>28.0</v>
      </c>
      <c r="B6207" s="16" t="s">
        <v>10801</v>
      </c>
      <c r="C6207" s="17" t="s">
        <v>10803</v>
      </c>
      <c r="D6207" s="18">
        <v>40.35</v>
      </c>
      <c r="E6207" s="18">
        <v>56.0</v>
      </c>
      <c r="F6207" s="18">
        <v>12.0</v>
      </c>
    </row>
    <row r="6208">
      <c r="A6208" s="15">
        <v>29.0</v>
      </c>
      <c r="B6208" s="16" t="s">
        <v>10804</v>
      </c>
      <c r="C6208" s="17" t="s">
        <v>6803</v>
      </c>
      <c r="D6208" s="18">
        <v>28.25</v>
      </c>
      <c r="E6208" s="18">
        <v>42.0</v>
      </c>
      <c r="F6208" s="18">
        <v>18.0</v>
      </c>
    </row>
    <row r="6209">
      <c r="A6209" s="15">
        <v>30.0</v>
      </c>
      <c r="B6209" s="16" t="s">
        <v>10804</v>
      </c>
      <c r="C6209" s="17" t="s">
        <v>10805</v>
      </c>
      <c r="D6209" s="18">
        <v>43.23</v>
      </c>
      <c r="E6209" s="18">
        <v>66.0</v>
      </c>
      <c r="F6209" s="18">
        <v>12.0</v>
      </c>
    </row>
    <row r="6210">
      <c r="A6210" s="6"/>
      <c r="B6210" s="7"/>
      <c r="C6210" s="7"/>
      <c r="D6210" s="7"/>
      <c r="E6210" s="7"/>
      <c r="F6210" s="8"/>
    </row>
    <row r="6211">
      <c r="A6211" s="9" t="s">
        <v>5069</v>
      </c>
      <c r="B6211" s="10"/>
      <c r="C6211" s="10"/>
      <c r="D6211" s="10"/>
      <c r="E6211" s="10"/>
      <c r="F6211" s="10"/>
    </row>
    <row r="6212">
      <c r="A6212" s="11">
        <v>1.0</v>
      </c>
      <c r="B6212" s="12" t="s">
        <v>10806</v>
      </c>
      <c r="C6212" s="13" t="s">
        <v>5536</v>
      </c>
      <c r="D6212" s="14">
        <v>55.0</v>
      </c>
      <c r="E6212" s="14">
        <v>77.0</v>
      </c>
      <c r="F6212" s="14">
        <v>12.0</v>
      </c>
    </row>
    <row r="6213">
      <c r="A6213" s="15">
        <v>2.0</v>
      </c>
      <c r="B6213" s="16" t="s">
        <v>10807</v>
      </c>
      <c r="C6213" s="17" t="s">
        <v>5536</v>
      </c>
      <c r="D6213" s="18">
        <v>92.86</v>
      </c>
      <c r="E6213" s="18">
        <v>130.0</v>
      </c>
      <c r="F6213" s="18">
        <v>12.0</v>
      </c>
    </row>
    <row r="6214">
      <c r="A6214" s="15">
        <v>3.0</v>
      </c>
      <c r="B6214" s="16" t="s">
        <v>10808</v>
      </c>
      <c r="C6214" s="17" t="s">
        <v>5562</v>
      </c>
      <c r="D6214" s="18">
        <v>45.9</v>
      </c>
      <c r="E6214" s="18">
        <v>64.25</v>
      </c>
      <c r="F6214" s="18">
        <v>12.0</v>
      </c>
    </row>
    <row r="6215">
      <c r="A6215" s="15">
        <v>4.0</v>
      </c>
      <c r="B6215" s="16" t="s">
        <v>10809</v>
      </c>
      <c r="C6215" s="17" t="s">
        <v>7980</v>
      </c>
      <c r="D6215" s="18">
        <v>94.21</v>
      </c>
      <c r="E6215" s="18">
        <v>131.89</v>
      </c>
      <c r="F6215" s="18">
        <v>12.0</v>
      </c>
    </row>
    <row r="6216">
      <c r="A6216" s="6"/>
      <c r="B6216" s="7"/>
      <c r="C6216" s="7"/>
      <c r="D6216" s="7"/>
      <c r="E6216" s="8"/>
      <c r="F6216" s="16" t="s">
        <v>10810</v>
      </c>
    </row>
    <row r="6217">
      <c r="A6217" s="6"/>
      <c r="B6217" s="7"/>
      <c r="C6217" s="7"/>
      <c r="D6217" s="7"/>
      <c r="E6217" s="7"/>
      <c r="F6217" s="8"/>
    </row>
    <row r="6218">
      <c r="A6218" s="6"/>
      <c r="B6218" s="7"/>
      <c r="C6218" s="7"/>
      <c r="D6218" s="7"/>
      <c r="E6218" s="7"/>
      <c r="F6218" s="8"/>
    </row>
    <row r="6219">
      <c r="A6219" s="6"/>
      <c r="B6219" s="7"/>
      <c r="C6219" s="7"/>
      <c r="D6219" s="7"/>
      <c r="E6219" s="7"/>
      <c r="F6219" s="8"/>
    </row>
    <row r="6220">
      <c r="A6220" s="6"/>
      <c r="B6220" s="7"/>
      <c r="C6220" s="7"/>
      <c r="D6220" s="7"/>
      <c r="E6220" s="7"/>
      <c r="F6220" s="8"/>
    </row>
    <row r="6221">
      <c r="A6221" s="9" t="s">
        <v>5582</v>
      </c>
      <c r="B6221" s="10"/>
      <c r="C6221" s="10"/>
      <c r="D6221" s="10"/>
      <c r="E6221" s="10"/>
      <c r="F6221" s="10"/>
    </row>
    <row r="6222">
      <c r="A6222" s="19" t="s">
        <v>5583</v>
      </c>
    </row>
    <row r="6223">
      <c r="A6223" s="6"/>
      <c r="B6223" s="7"/>
      <c r="C6223" s="7"/>
      <c r="D6223" s="8"/>
      <c r="E6223" s="12" t="s">
        <v>5584</v>
      </c>
      <c r="F6223" s="12" t="s">
        <v>10811</v>
      </c>
    </row>
    <row r="6224">
      <c r="A6224" s="20" t="s">
        <v>5522</v>
      </c>
      <c r="B6224" s="16" t="s">
        <v>5523</v>
      </c>
      <c r="C6224" s="16" t="s">
        <v>5524</v>
      </c>
      <c r="D6224" s="16" t="s">
        <v>5525</v>
      </c>
      <c r="E6224" s="16" t="s">
        <v>5526</v>
      </c>
      <c r="F6224" s="16" t="s">
        <v>5586</v>
      </c>
    </row>
    <row r="6225">
      <c r="A6225" s="15">
        <v>5.0</v>
      </c>
      <c r="B6225" s="16" t="s">
        <v>10812</v>
      </c>
      <c r="C6225" s="17" t="s">
        <v>5636</v>
      </c>
      <c r="D6225" s="18">
        <v>109.2</v>
      </c>
      <c r="E6225" s="18">
        <v>150.0</v>
      </c>
      <c r="F6225" s="18">
        <v>12.0</v>
      </c>
    </row>
    <row r="6226">
      <c r="A6226" s="15">
        <v>6.0</v>
      </c>
      <c r="B6226" s="16" t="s">
        <v>10813</v>
      </c>
      <c r="C6226" s="17" t="s">
        <v>6104</v>
      </c>
      <c r="D6226" s="18">
        <v>26.35</v>
      </c>
      <c r="E6226" s="18">
        <v>36.89</v>
      </c>
      <c r="F6226" s="18">
        <v>12.0</v>
      </c>
    </row>
    <row r="6227">
      <c r="A6227" s="15">
        <v>7.0</v>
      </c>
      <c r="B6227" s="16" t="s">
        <v>10814</v>
      </c>
      <c r="C6227" s="17" t="s">
        <v>10815</v>
      </c>
      <c r="D6227" s="18">
        <v>21.79</v>
      </c>
      <c r="E6227" s="18">
        <v>30.5</v>
      </c>
      <c r="F6227" s="18">
        <v>12.0</v>
      </c>
    </row>
    <row r="6228">
      <c r="A6228" s="15">
        <v>8.0</v>
      </c>
      <c r="B6228" s="16" t="s">
        <v>10816</v>
      </c>
      <c r="C6228" s="17" t="s">
        <v>10817</v>
      </c>
      <c r="D6228" s="18">
        <v>26.83</v>
      </c>
      <c r="E6228" s="18">
        <v>35.77</v>
      </c>
      <c r="F6228" s="18">
        <v>12.0</v>
      </c>
    </row>
    <row r="6229">
      <c r="A6229" s="15">
        <v>9.0</v>
      </c>
      <c r="B6229" s="16" t="s">
        <v>10816</v>
      </c>
      <c r="C6229" s="17" t="s">
        <v>10818</v>
      </c>
      <c r="D6229" s="18">
        <v>38.1</v>
      </c>
      <c r="E6229" s="18">
        <v>50.8</v>
      </c>
      <c r="F6229" s="18">
        <v>12.0</v>
      </c>
    </row>
    <row r="6230">
      <c r="A6230" s="15">
        <v>10.0</v>
      </c>
      <c r="B6230" s="16" t="s">
        <v>10816</v>
      </c>
      <c r="C6230" s="17" t="s">
        <v>10819</v>
      </c>
      <c r="D6230" s="18">
        <v>24.39</v>
      </c>
      <c r="E6230" s="18">
        <v>32.52</v>
      </c>
      <c r="F6230" s="18">
        <v>12.0</v>
      </c>
    </row>
    <row r="6231">
      <c r="A6231" s="15">
        <v>11.0</v>
      </c>
      <c r="B6231" s="16" t="s">
        <v>10816</v>
      </c>
      <c r="C6231" s="17" t="s">
        <v>6012</v>
      </c>
      <c r="D6231" s="18">
        <v>37.62</v>
      </c>
      <c r="E6231" s="18">
        <v>50.15</v>
      </c>
      <c r="F6231" s="18">
        <v>12.0</v>
      </c>
    </row>
    <row r="6232">
      <c r="A6232" s="15">
        <v>12.0</v>
      </c>
      <c r="B6232" s="16" t="s">
        <v>10820</v>
      </c>
      <c r="C6232" s="17" t="s">
        <v>10821</v>
      </c>
      <c r="D6232" s="18">
        <v>277.35</v>
      </c>
      <c r="E6232" s="18">
        <v>388.29</v>
      </c>
      <c r="F6232" s="18">
        <v>12.0</v>
      </c>
    </row>
    <row r="6233">
      <c r="A6233" s="15">
        <v>13.0</v>
      </c>
      <c r="B6233" s="16" t="s">
        <v>10822</v>
      </c>
      <c r="C6233" s="17" t="s">
        <v>5636</v>
      </c>
      <c r="D6233" s="18">
        <v>12.03</v>
      </c>
      <c r="E6233" s="18">
        <v>16.85</v>
      </c>
      <c r="F6233" s="18">
        <v>12.0</v>
      </c>
    </row>
    <row r="6234">
      <c r="A6234" s="15">
        <v>14.0</v>
      </c>
      <c r="B6234" s="16" t="s">
        <v>5082</v>
      </c>
      <c r="C6234" s="16" t="s">
        <v>5558</v>
      </c>
      <c r="D6234" s="18">
        <v>5.27</v>
      </c>
      <c r="E6234" s="18">
        <v>7.38</v>
      </c>
      <c r="F6234" s="18">
        <v>12.0</v>
      </c>
    </row>
    <row r="6235">
      <c r="A6235" s="15">
        <v>15.0</v>
      </c>
      <c r="B6235" s="16" t="s">
        <v>10823</v>
      </c>
      <c r="C6235" s="17" t="s">
        <v>5653</v>
      </c>
      <c r="D6235" s="18">
        <v>11.88</v>
      </c>
      <c r="E6235" s="18">
        <v>16.63</v>
      </c>
      <c r="F6235" s="18">
        <v>12.0</v>
      </c>
    </row>
    <row r="6236">
      <c r="A6236" s="15">
        <v>16.0</v>
      </c>
      <c r="B6236" s="16" t="s">
        <v>10823</v>
      </c>
      <c r="C6236" s="17" t="s">
        <v>5655</v>
      </c>
      <c r="D6236" s="18">
        <v>6.82</v>
      </c>
      <c r="E6236" s="18">
        <v>9.55</v>
      </c>
      <c r="F6236" s="18">
        <v>12.0</v>
      </c>
    </row>
    <row r="6237">
      <c r="A6237" s="15">
        <v>17.0</v>
      </c>
      <c r="B6237" s="16" t="s">
        <v>5085</v>
      </c>
      <c r="C6237" s="16" t="s">
        <v>5558</v>
      </c>
      <c r="D6237" s="18">
        <v>60.71</v>
      </c>
      <c r="E6237" s="18">
        <v>85.0</v>
      </c>
      <c r="F6237" s="18">
        <v>12.0</v>
      </c>
    </row>
    <row r="6238">
      <c r="A6238" s="15">
        <v>18.0</v>
      </c>
      <c r="B6238" s="16" t="s">
        <v>6115</v>
      </c>
      <c r="C6238" s="17" t="s">
        <v>10824</v>
      </c>
      <c r="D6238" s="18">
        <v>2.02</v>
      </c>
      <c r="E6238" s="18">
        <v>2.75</v>
      </c>
      <c r="F6238" s="18">
        <v>12.0</v>
      </c>
    </row>
    <row r="6239">
      <c r="A6239" s="15">
        <v>19.0</v>
      </c>
      <c r="B6239" s="16" t="s">
        <v>10825</v>
      </c>
      <c r="C6239" s="17" t="s">
        <v>5818</v>
      </c>
      <c r="D6239" s="18">
        <v>1235.25</v>
      </c>
      <c r="E6239" s="18">
        <v>1647.0</v>
      </c>
      <c r="F6239" s="18">
        <v>12.0</v>
      </c>
    </row>
    <row r="6240">
      <c r="A6240" s="15">
        <v>20.0</v>
      </c>
      <c r="B6240" s="16" t="s">
        <v>10826</v>
      </c>
      <c r="C6240" s="16" t="s">
        <v>10827</v>
      </c>
      <c r="D6240" s="18">
        <v>43.22</v>
      </c>
      <c r="E6240" s="18">
        <v>60.5</v>
      </c>
      <c r="F6240" s="18">
        <v>12.0</v>
      </c>
    </row>
    <row r="6241">
      <c r="A6241" s="15">
        <v>21.0</v>
      </c>
      <c r="B6241" s="16" t="s">
        <v>10826</v>
      </c>
      <c r="C6241" s="17" t="s">
        <v>10828</v>
      </c>
      <c r="D6241" s="18">
        <v>34.98</v>
      </c>
      <c r="E6241" s="18">
        <v>48.98</v>
      </c>
      <c r="F6241" s="18">
        <v>12.0</v>
      </c>
    </row>
    <row r="6242">
      <c r="A6242" s="15">
        <v>22.0</v>
      </c>
      <c r="B6242" s="16" t="s">
        <v>10826</v>
      </c>
      <c r="C6242" s="16" t="s">
        <v>10829</v>
      </c>
      <c r="D6242" s="18">
        <v>58.57</v>
      </c>
      <c r="E6242" s="18">
        <v>82.0</v>
      </c>
      <c r="F6242" s="18">
        <v>12.0</v>
      </c>
    </row>
    <row r="6243">
      <c r="A6243" s="15">
        <v>23.0</v>
      </c>
      <c r="B6243" s="16" t="s">
        <v>10826</v>
      </c>
      <c r="C6243" s="17" t="s">
        <v>10830</v>
      </c>
      <c r="D6243" s="18">
        <v>50.97</v>
      </c>
      <c r="E6243" s="18">
        <v>71.36</v>
      </c>
      <c r="F6243" s="18">
        <v>12.0</v>
      </c>
    </row>
    <row r="6244">
      <c r="A6244" s="15">
        <v>24.0</v>
      </c>
      <c r="B6244" s="16" t="s">
        <v>10831</v>
      </c>
      <c r="C6244" s="17" t="s">
        <v>5536</v>
      </c>
      <c r="D6244" s="18">
        <v>128.57</v>
      </c>
      <c r="E6244" s="18">
        <v>180.0</v>
      </c>
      <c r="F6244" s="18">
        <v>12.0</v>
      </c>
    </row>
    <row r="6245">
      <c r="A6245" s="15">
        <v>25.0</v>
      </c>
      <c r="B6245" s="16" t="s">
        <v>10832</v>
      </c>
      <c r="C6245" s="17" t="s">
        <v>5636</v>
      </c>
      <c r="D6245" s="18">
        <v>178.57</v>
      </c>
      <c r="E6245" s="18">
        <v>250.0</v>
      </c>
      <c r="F6245" s="18">
        <v>12.0</v>
      </c>
    </row>
    <row r="6246">
      <c r="A6246" s="15">
        <v>26.0</v>
      </c>
      <c r="B6246" s="16" t="s">
        <v>10665</v>
      </c>
      <c r="C6246" s="17" t="s">
        <v>10833</v>
      </c>
      <c r="D6246" s="18">
        <v>85.91</v>
      </c>
      <c r="E6246" s="18">
        <v>118.0</v>
      </c>
      <c r="F6246" s="18">
        <v>12.0</v>
      </c>
    </row>
    <row r="6247">
      <c r="A6247" s="6"/>
      <c r="B6247" s="7"/>
      <c r="C6247" s="7"/>
      <c r="D6247" s="7"/>
      <c r="E6247" s="7"/>
      <c r="F6247" s="8"/>
    </row>
    <row r="6248">
      <c r="A6248" s="9" t="s">
        <v>10834</v>
      </c>
      <c r="B6248" s="10"/>
      <c r="C6248" s="10"/>
      <c r="D6248" s="10"/>
      <c r="E6248" s="10"/>
      <c r="F6248" s="10"/>
    </row>
    <row r="6249">
      <c r="A6249" s="11">
        <v>1.0</v>
      </c>
      <c r="B6249" s="12" t="s">
        <v>10835</v>
      </c>
      <c r="C6249" s="13" t="s">
        <v>5536</v>
      </c>
      <c r="D6249" s="14">
        <v>29.12</v>
      </c>
      <c r="E6249" s="14">
        <v>40.77</v>
      </c>
      <c r="F6249" s="14">
        <v>12.0</v>
      </c>
    </row>
    <row r="6250">
      <c r="A6250" s="15">
        <v>2.0</v>
      </c>
      <c r="B6250" s="16" t="s">
        <v>10836</v>
      </c>
      <c r="C6250" s="17" t="s">
        <v>5536</v>
      </c>
      <c r="D6250" s="18">
        <v>49.52</v>
      </c>
      <c r="E6250" s="18">
        <v>69.33</v>
      </c>
      <c r="F6250" s="18">
        <v>12.0</v>
      </c>
    </row>
    <row r="6251">
      <c r="A6251" s="15">
        <v>3.0</v>
      </c>
      <c r="B6251" s="16" t="s">
        <v>10837</v>
      </c>
      <c r="C6251" s="17" t="s">
        <v>5536</v>
      </c>
      <c r="D6251" s="18">
        <v>80.16</v>
      </c>
      <c r="E6251" s="18">
        <v>112.22</v>
      </c>
      <c r="F6251" s="18">
        <v>12.0</v>
      </c>
    </row>
    <row r="6252">
      <c r="A6252" s="15">
        <v>4.0</v>
      </c>
      <c r="B6252" s="16" t="s">
        <v>10838</v>
      </c>
      <c r="C6252" s="17" t="s">
        <v>5831</v>
      </c>
      <c r="D6252" s="18">
        <v>134.29</v>
      </c>
      <c r="E6252" s="18">
        <v>188.0</v>
      </c>
      <c r="F6252" s="18">
        <v>12.0</v>
      </c>
    </row>
    <row r="6253">
      <c r="A6253" s="15">
        <v>5.0</v>
      </c>
      <c r="B6253" s="16" t="s">
        <v>10838</v>
      </c>
      <c r="C6253" s="17" t="s">
        <v>5636</v>
      </c>
      <c r="D6253" s="18">
        <v>83.57</v>
      </c>
      <c r="E6253" s="18">
        <v>117.0</v>
      </c>
      <c r="F6253" s="18">
        <v>12.0</v>
      </c>
    </row>
    <row r="6254">
      <c r="A6254" s="15">
        <v>6.0</v>
      </c>
      <c r="B6254" s="16" t="s">
        <v>10839</v>
      </c>
      <c r="C6254" s="17" t="s">
        <v>5530</v>
      </c>
      <c r="D6254" s="18">
        <v>100.54</v>
      </c>
      <c r="E6254" s="18">
        <v>140.75</v>
      </c>
      <c r="F6254" s="18">
        <v>12.0</v>
      </c>
    </row>
    <row r="6255">
      <c r="A6255" s="15">
        <v>7.0</v>
      </c>
      <c r="B6255" s="16" t="s">
        <v>10839</v>
      </c>
      <c r="C6255" s="17" t="s">
        <v>5531</v>
      </c>
      <c r="D6255" s="18">
        <v>112.68</v>
      </c>
      <c r="E6255" s="18">
        <v>157.75</v>
      </c>
      <c r="F6255" s="18">
        <v>12.0</v>
      </c>
    </row>
    <row r="6256">
      <c r="A6256" s="15">
        <v>8.0</v>
      </c>
      <c r="B6256" s="16" t="s">
        <v>10840</v>
      </c>
      <c r="C6256" s="17" t="s">
        <v>5830</v>
      </c>
      <c r="D6256" s="18">
        <v>89.1</v>
      </c>
      <c r="E6256" s="18">
        <v>124.75</v>
      </c>
      <c r="F6256" s="18">
        <v>12.0</v>
      </c>
    </row>
    <row r="6257">
      <c r="A6257" s="15">
        <v>9.0</v>
      </c>
      <c r="B6257" s="16" t="s">
        <v>10840</v>
      </c>
      <c r="C6257" s="17" t="s">
        <v>7184</v>
      </c>
      <c r="D6257" s="18">
        <v>65.0</v>
      </c>
      <c r="E6257" s="18">
        <v>91.0</v>
      </c>
      <c r="F6257" s="18">
        <v>12.0</v>
      </c>
    </row>
    <row r="6258">
      <c r="A6258" s="15">
        <v>10.0</v>
      </c>
      <c r="B6258" s="16" t="s">
        <v>10840</v>
      </c>
      <c r="C6258" s="17" t="s">
        <v>5831</v>
      </c>
      <c r="D6258" s="18">
        <v>140.71</v>
      </c>
      <c r="E6258" s="18">
        <v>197.0</v>
      </c>
      <c r="F6258" s="18">
        <v>12.0</v>
      </c>
    </row>
    <row r="6259">
      <c r="A6259" s="15">
        <v>11.0</v>
      </c>
      <c r="B6259" s="16" t="s">
        <v>10841</v>
      </c>
      <c r="C6259" s="17" t="s">
        <v>5536</v>
      </c>
      <c r="D6259" s="18">
        <v>148.22</v>
      </c>
      <c r="E6259" s="18">
        <v>207.5</v>
      </c>
      <c r="F6259" s="18">
        <v>12.0</v>
      </c>
    </row>
    <row r="6260">
      <c r="A6260" s="15">
        <v>12.0</v>
      </c>
      <c r="B6260" s="16" t="s">
        <v>10842</v>
      </c>
      <c r="C6260" s="17" t="s">
        <v>5636</v>
      </c>
      <c r="D6260" s="18">
        <v>92.0</v>
      </c>
      <c r="E6260" s="18">
        <v>128.8</v>
      </c>
      <c r="F6260" s="18">
        <v>12.0</v>
      </c>
    </row>
    <row r="6261">
      <c r="A6261" s="15">
        <v>13.0</v>
      </c>
      <c r="B6261" s="16" t="s">
        <v>10843</v>
      </c>
      <c r="C6261" s="17" t="s">
        <v>5636</v>
      </c>
      <c r="D6261" s="18">
        <v>75.5</v>
      </c>
      <c r="E6261" s="18">
        <v>104.75</v>
      </c>
      <c r="F6261" s="18">
        <v>12.0</v>
      </c>
    </row>
    <row r="6262">
      <c r="A6262" s="15">
        <v>14.0</v>
      </c>
      <c r="B6262" s="16" t="s">
        <v>10844</v>
      </c>
      <c r="C6262" s="17" t="s">
        <v>5830</v>
      </c>
      <c r="D6262" s="18">
        <v>92.86</v>
      </c>
      <c r="E6262" s="18">
        <v>130.0</v>
      </c>
      <c r="F6262" s="18">
        <v>12.0</v>
      </c>
    </row>
    <row r="6263">
      <c r="A6263" s="15">
        <v>15.0</v>
      </c>
      <c r="B6263" s="16" t="s">
        <v>10844</v>
      </c>
      <c r="C6263" s="17" t="s">
        <v>5831</v>
      </c>
      <c r="D6263" s="18">
        <v>134.29</v>
      </c>
      <c r="E6263" s="18">
        <v>188.0</v>
      </c>
      <c r="F6263" s="18">
        <v>12.0</v>
      </c>
    </row>
    <row r="6264">
      <c r="A6264" s="6"/>
      <c r="B6264" s="7"/>
      <c r="C6264" s="7"/>
      <c r="D6264" s="7"/>
      <c r="E6264" s="7"/>
      <c r="F6264" s="8"/>
    </row>
    <row r="6265">
      <c r="A6265" s="9" t="s">
        <v>10845</v>
      </c>
      <c r="B6265" s="10"/>
      <c r="C6265" s="10"/>
      <c r="D6265" s="10"/>
      <c r="E6265" s="10"/>
      <c r="F6265" s="10"/>
    </row>
    <row r="6266">
      <c r="A6266" s="6"/>
      <c r="B6266" s="7"/>
      <c r="C6266" s="7"/>
      <c r="D6266" s="7"/>
      <c r="E6266" s="7"/>
      <c r="F6266" s="8"/>
    </row>
    <row r="6267">
      <c r="A6267" s="9" t="s">
        <v>10846</v>
      </c>
      <c r="B6267" s="10"/>
      <c r="C6267" s="10"/>
      <c r="D6267" s="10"/>
      <c r="E6267" s="10"/>
      <c r="F6267" s="10"/>
    </row>
    <row r="6268">
      <c r="A6268" s="11">
        <v>1.0</v>
      </c>
      <c r="B6268" s="12" t="s">
        <v>10847</v>
      </c>
      <c r="C6268" s="13" t="s">
        <v>5536</v>
      </c>
      <c r="D6268" s="14">
        <v>63.44</v>
      </c>
      <c r="E6268" s="14">
        <v>88.0</v>
      </c>
      <c r="F6268" s="14">
        <v>12.0</v>
      </c>
    </row>
    <row r="6269">
      <c r="A6269" s="15">
        <v>2.0</v>
      </c>
      <c r="B6269" s="16" t="s">
        <v>10848</v>
      </c>
      <c r="C6269" s="17" t="s">
        <v>5536</v>
      </c>
      <c r="D6269" s="18">
        <v>86.49</v>
      </c>
      <c r="E6269" s="18">
        <v>120.0</v>
      </c>
      <c r="F6269" s="18">
        <v>12.0</v>
      </c>
    </row>
    <row r="6270">
      <c r="A6270" s="15">
        <v>3.0</v>
      </c>
      <c r="B6270" s="16" t="s">
        <v>10849</v>
      </c>
      <c r="C6270" s="17" t="s">
        <v>10850</v>
      </c>
      <c r="D6270" s="18">
        <v>48.57</v>
      </c>
      <c r="E6270" s="18">
        <v>68.0</v>
      </c>
      <c r="F6270" s="18">
        <v>12.0</v>
      </c>
    </row>
    <row r="6271">
      <c r="A6271" s="15">
        <v>4.0</v>
      </c>
      <c r="B6271" s="16" t="s">
        <v>10851</v>
      </c>
      <c r="C6271" s="17" t="s">
        <v>10852</v>
      </c>
      <c r="D6271" s="18">
        <v>240.37</v>
      </c>
      <c r="E6271" s="18">
        <v>350.0</v>
      </c>
      <c r="F6271" s="18">
        <v>18.0</v>
      </c>
    </row>
    <row r="6272">
      <c r="A6272" s="15">
        <v>5.0</v>
      </c>
      <c r="B6272" s="16" t="s">
        <v>10851</v>
      </c>
      <c r="C6272" s="17" t="s">
        <v>10853</v>
      </c>
      <c r="D6272" s="18">
        <v>242.85</v>
      </c>
      <c r="E6272" s="18">
        <v>392.0</v>
      </c>
      <c r="F6272" s="18">
        <v>28.0</v>
      </c>
    </row>
    <row r="6273">
      <c r="A6273" s="15">
        <v>6.0</v>
      </c>
      <c r="B6273" s="16" t="s">
        <v>5117</v>
      </c>
      <c r="C6273" s="16" t="s">
        <v>10854</v>
      </c>
      <c r="D6273" s="18">
        <v>278.76</v>
      </c>
      <c r="E6273" s="18">
        <v>450.0</v>
      </c>
      <c r="F6273" s="18">
        <v>28.0</v>
      </c>
    </row>
    <row r="6274">
      <c r="A6274" s="15">
        <v>7.0</v>
      </c>
      <c r="B6274" s="16" t="s">
        <v>5118</v>
      </c>
      <c r="C6274" s="16" t="s">
        <v>8083</v>
      </c>
      <c r="D6274" s="18">
        <v>499.84</v>
      </c>
      <c r="E6274" s="18">
        <v>635.0</v>
      </c>
      <c r="F6274" s="18">
        <v>28.0</v>
      </c>
    </row>
    <row r="6275">
      <c r="A6275" s="15">
        <v>8.0</v>
      </c>
      <c r="B6275" s="16" t="s">
        <v>10855</v>
      </c>
      <c r="C6275" s="17" t="s">
        <v>10856</v>
      </c>
      <c r="D6275" s="18">
        <v>508.48</v>
      </c>
      <c r="E6275" s="18">
        <v>750.0</v>
      </c>
      <c r="F6275" s="18">
        <v>18.0</v>
      </c>
    </row>
    <row r="6276">
      <c r="A6276" s="15">
        <v>9.0</v>
      </c>
      <c r="B6276" s="16" t="s">
        <v>10855</v>
      </c>
      <c r="C6276" s="17" t="s">
        <v>10857</v>
      </c>
      <c r="D6276" s="18">
        <v>171.71</v>
      </c>
      <c r="E6276" s="18">
        <v>250.0</v>
      </c>
      <c r="F6276" s="18">
        <v>18.0</v>
      </c>
    </row>
    <row r="6277">
      <c r="A6277" s="15">
        <v>10.0</v>
      </c>
      <c r="B6277" s="16" t="s">
        <v>10858</v>
      </c>
      <c r="C6277" s="16" t="s">
        <v>10859</v>
      </c>
      <c r="D6277" s="18">
        <v>252.2</v>
      </c>
      <c r="E6277" s="18">
        <v>375.0</v>
      </c>
      <c r="F6277" s="18">
        <v>28.0</v>
      </c>
    </row>
    <row r="6278">
      <c r="A6278" s="15">
        <v>11.0</v>
      </c>
      <c r="B6278" s="16" t="s">
        <v>10855</v>
      </c>
      <c r="C6278" s="17" t="s">
        <v>10860</v>
      </c>
      <c r="D6278" s="18">
        <v>440.68</v>
      </c>
      <c r="E6278" s="18">
        <v>650.0</v>
      </c>
      <c r="F6278" s="18">
        <v>18.0</v>
      </c>
    </row>
    <row r="6279">
      <c r="A6279" s="15">
        <v>12.0</v>
      </c>
      <c r="B6279" s="16" t="s">
        <v>10861</v>
      </c>
      <c r="C6279" s="17" t="s">
        <v>6481</v>
      </c>
      <c r="D6279" s="18">
        <v>205.99</v>
      </c>
      <c r="E6279" s="18">
        <v>325.0</v>
      </c>
      <c r="F6279" s="18">
        <v>28.0</v>
      </c>
    </row>
    <row r="6280">
      <c r="A6280" s="15">
        <v>13.0</v>
      </c>
      <c r="B6280" s="16" t="s">
        <v>10861</v>
      </c>
      <c r="C6280" s="17" t="s">
        <v>5565</v>
      </c>
      <c r="D6280" s="18">
        <v>205.99</v>
      </c>
      <c r="E6280" s="18">
        <v>325.0</v>
      </c>
      <c r="F6280" s="18">
        <v>28.0</v>
      </c>
    </row>
    <row r="6281">
      <c r="A6281" s="15">
        <v>14.0</v>
      </c>
      <c r="B6281" s="16" t="s">
        <v>10855</v>
      </c>
      <c r="C6281" s="17" t="s">
        <v>10862</v>
      </c>
      <c r="D6281" s="18">
        <v>59.38</v>
      </c>
      <c r="E6281" s="18">
        <v>95.0</v>
      </c>
      <c r="F6281" s="18">
        <v>28.0</v>
      </c>
    </row>
    <row r="6282">
      <c r="A6282" s="15">
        <v>15.0</v>
      </c>
      <c r="B6282" s="16" t="s">
        <v>10855</v>
      </c>
      <c r="C6282" s="17" t="s">
        <v>6308</v>
      </c>
      <c r="D6282" s="18">
        <v>421.25</v>
      </c>
      <c r="E6282" s="18">
        <v>680.0</v>
      </c>
      <c r="F6282" s="18">
        <v>28.0</v>
      </c>
    </row>
    <row r="6283">
      <c r="A6283" s="15">
        <v>16.0</v>
      </c>
      <c r="B6283" s="16" t="s">
        <v>10855</v>
      </c>
      <c r="C6283" s="17" t="s">
        <v>10863</v>
      </c>
      <c r="D6283" s="18">
        <v>8.76</v>
      </c>
      <c r="E6283" s="18">
        <v>14.0</v>
      </c>
      <c r="F6283" s="18">
        <v>28.0</v>
      </c>
    </row>
    <row r="6284">
      <c r="A6284" s="15">
        <v>17.0</v>
      </c>
      <c r="B6284" s="16" t="s">
        <v>10864</v>
      </c>
      <c r="C6284" s="17" t="s">
        <v>10857</v>
      </c>
      <c r="D6284" s="18">
        <v>264.41</v>
      </c>
      <c r="E6284" s="18">
        <v>390.0</v>
      </c>
      <c r="F6284" s="18">
        <v>18.0</v>
      </c>
    </row>
    <row r="6285">
      <c r="A6285" s="15">
        <v>18.0</v>
      </c>
      <c r="B6285" s="16" t="s">
        <v>10864</v>
      </c>
      <c r="C6285" s="17" t="s">
        <v>6308</v>
      </c>
      <c r="D6285" s="18">
        <v>242.85</v>
      </c>
      <c r="E6285" s="18">
        <v>392.0</v>
      </c>
      <c r="F6285" s="18">
        <v>18.0</v>
      </c>
    </row>
    <row r="6286">
      <c r="A6286" s="6"/>
      <c r="B6286" s="7"/>
      <c r="C6286" s="7"/>
      <c r="D6286" s="7"/>
      <c r="E6286" s="8"/>
      <c r="F6286" s="16" t="s">
        <v>10865</v>
      </c>
    </row>
    <row r="6287">
      <c r="A6287" s="6"/>
      <c r="B6287" s="7"/>
      <c r="C6287" s="7"/>
      <c r="D6287" s="7"/>
      <c r="E6287" s="7"/>
      <c r="F6287" s="8"/>
    </row>
    <row r="6288">
      <c r="A6288" s="6"/>
      <c r="B6288" s="7"/>
      <c r="C6288" s="7"/>
      <c r="D6288" s="7"/>
      <c r="E6288" s="7"/>
      <c r="F6288" s="8"/>
    </row>
    <row r="6289">
      <c r="A6289" s="6"/>
      <c r="B6289" s="7"/>
      <c r="C6289" s="7"/>
      <c r="D6289" s="7"/>
      <c r="E6289" s="7"/>
      <c r="F6289" s="8"/>
    </row>
    <row r="6290">
      <c r="A6290" s="6"/>
      <c r="B6290" s="7"/>
      <c r="C6290" s="7"/>
      <c r="D6290" s="7"/>
      <c r="E6290" s="7"/>
      <c r="F6290" s="8"/>
    </row>
    <row r="6291">
      <c r="A6291" s="9" t="s">
        <v>5582</v>
      </c>
      <c r="B6291" s="10"/>
      <c r="C6291" s="10"/>
      <c r="D6291" s="10"/>
      <c r="E6291" s="10"/>
      <c r="F6291" s="10"/>
    </row>
    <row r="6292">
      <c r="A6292" s="19" t="s">
        <v>5583</v>
      </c>
    </row>
    <row r="6293">
      <c r="A6293" s="6"/>
      <c r="B6293" s="7"/>
      <c r="C6293" s="7"/>
      <c r="D6293" s="8"/>
      <c r="E6293" s="12" t="s">
        <v>5584</v>
      </c>
      <c r="F6293" s="12" t="s">
        <v>10866</v>
      </c>
    </row>
    <row r="6294">
      <c r="A6294" s="20" t="s">
        <v>5522</v>
      </c>
      <c r="B6294" s="16" t="s">
        <v>5523</v>
      </c>
      <c r="C6294" s="16" t="s">
        <v>5524</v>
      </c>
      <c r="D6294" s="16" t="s">
        <v>5525</v>
      </c>
      <c r="E6294" s="16" t="s">
        <v>5526</v>
      </c>
      <c r="F6294" s="16" t="s">
        <v>5586</v>
      </c>
    </row>
    <row r="6295">
      <c r="A6295" s="15">
        <v>19.0</v>
      </c>
      <c r="B6295" s="16" t="s">
        <v>10864</v>
      </c>
      <c r="C6295" s="17" t="s">
        <v>10867</v>
      </c>
      <c r="D6295" s="18">
        <v>461.48</v>
      </c>
      <c r="E6295" s="18">
        <v>680.0</v>
      </c>
      <c r="F6295" s="18">
        <v>18.0</v>
      </c>
    </row>
    <row r="6296">
      <c r="A6296" s="15">
        <v>20.0</v>
      </c>
      <c r="B6296" s="16" t="s">
        <v>10868</v>
      </c>
      <c r="C6296" s="17" t="s">
        <v>7481</v>
      </c>
      <c r="D6296" s="18">
        <v>188.11</v>
      </c>
      <c r="E6296" s="18">
        <v>261.0</v>
      </c>
      <c r="F6296" s="18">
        <v>12.0</v>
      </c>
    </row>
    <row r="6297">
      <c r="A6297" s="15">
        <v>21.0</v>
      </c>
      <c r="B6297" s="16" t="s">
        <v>10868</v>
      </c>
      <c r="C6297" s="17" t="s">
        <v>6289</v>
      </c>
      <c r="D6297" s="18">
        <v>115.31</v>
      </c>
      <c r="E6297" s="18">
        <v>160.0</v>
      </c>
      <c r="F6297" s="18">
        <v>12.0</v>
      </c>
    </row>
    <row r="6298">
      <c r="A6298" s="15">
        <v>22.0</v>
      </c>
      <c r="B6298" s="16" t="s">
        <v>10868</v>
      </c>
      <c r="C6298" s="17" t="s">
        <v>5636</v>
      </c>
      <c r="D6298" s="18">
        <v>77.14</v>
      </c>
      <c r="E6298" s="18">
        <v>108.0</v>
      </c>
      <c r="F6298" s="18">
        <v>12.0</v>
      </c>
    </row>
    <row r="6299">
      <c r="A6299" s="15">
        <v>23.0</v>
      </c>
      <c r="B6299" s="16" t="s">
        <v>10869</v>
      </c>
      <c r="C6299" s="17" t="s">
        <v>10870</v>
      </c>
      <c r="D6299" s="18">
        <v>133.75</v>
      </c>
      <c r="E6299" s="18">
        <v>187.25</v>
      </c>
      <c r="F6299" s="18">
        <v>12.0</v>
      </c>
    </row>
    <row r="6300">
      <c r="A6300" s="15">
        <v>24.0</v>
      </c>
      <c r="B6300" s="16" t="s">
        <v>10871</v>
      </c>
      <c r="C6300" s="17" t="s">
        <v>6031</v>
      </c>
      <c r="D6300" s="18">
        <v>41.99</v>
      </c>
      <c r="E6300" s="18">
        <v>58.25</v>
      </c>
      <c r="F6300" s="18">
        <v>12.0</v>
      </c>
    </row>
    <row r="6301">
      <c r="A6301" s="15">
        <v>25.0</v>
      </c>
      <c r="B6301" s="16" t="s">
        <v>10872</v>
      </c>
      <c r="C6301" s="17" t="s">
        <v>10873</v>
      </c>
      <c r="D6301" s="18">
        <v>28.47</v>
      </c>
      <c r="E6301" s="18">
        <v>42.0</v>
      </c>
      <c r="F6301" s="18">
        <v>18.0</v>
      </c>
    </row>
    <row r="6302">
      <c r="A6302" s="15">
        <v>26.0</v>
      </c>
      <c r="B6302" s="16" t="s">
        <v>10874</v>
      </c>
      <c r="C6302" s="17" t="s">
        <v>5562</v>
      </c>
      <c r="D6302" s="18">
        <v>148.68</v>
      </c>
      <c r="E6302" s="18">
        <v>240.0</v>
      </c>
      <c r="F6302" s="18">
        <v>18.0</v>
      </c>
    </row>
    <row r="6303">
      <c r="A6303" s="15">
        <v>27.0</v>
      </c>
      <c r="B6303" s="16" t="s">
        <v>10874</v>
      </c>
      <c r="C6303" s="17" t="s">
        <v>10875</v>
      </c>
      <c r="D6303" s="18">
        <v>86.75</v>
      </c>
      <c r="E6303" s="18">
        <v>140.0</v>
      </c>
      <c r="F6303" s="18">
        <v>18.0</v>
      </c>
    </row>
    <row r="6304">
      <c r="A6304" s="15">
        <v>28.0</v>
      </c>
      <c r="B6304" s="16" t="s">
        <v>10876</v>
      </c>
      <c r="C6304" s="17" t="s">
        <v>10877</v>
      </c>
      <c r="D6304" s="18">
        <v>198.84</v>
      </c>
      <c r="E6304" s="18">
        <v>293.0</v>
      </c>
      <c r="F6304" s="18">
        <v>18.0</v>
      </c>
    </row>
    <row r="6305">
      <c r="A6305" s="15">
        <v>29.0</v>
      </c>
      <c r="B6305" s="16" t="s">
        <v>10876</v>
      </c>
      <c r="C6305" s="17" t="s">
        <v>10878</v>
      </c>
      <c r="D6305" s="18">
        <v>373.26</v>
      </c>
      <c r="E6305" s="18">
        <v>550.0</v>
      </c>
      <c r="F6305" s="18">
        <v>18.0</v>
      </c>
    </row>
    <row r="6306">
      <c r="A6306" s="6"/>
      <c r="B6306" s="7"/>
      <c r="C6306" s="7"/>
      <c r="D6306" s="7"/>
      <c r="E6306" s="7"/>
      <c r="F6306" s="8"/>
    </row>
    <row r="6307">
      <c r="A6307" s="9" t="s">
        <v>10879</v>
      </c>
      <c r="B6307" s="10"/>
      <c r="C6307" s="10"/>
      <c r="D6307" s="10"/>
      <c r="E6307" s="10"/>
      <c r="F6307" s="10"/>
    </row>
    <row r="6308">
      <c r="A6308" s="11">
        <v>1.0</v>
      </c>
      <c r="B6308" s="12" t="s">
        <v>10880</v>
      </c>
      <c r="C6308" s="13" t="s">
        <v>6417</v>
      </c>
      <c r="D6308" s="14">
        <v>50.0</v>
      </c>
      <c r="E6308" s="14">
        <v>70.0</v>
      </c>
      <c r="F6308" s="14">
        <v>12.0</v>
      </c>
    </row>
    <row r="6309">
      <c r="A6309" s="15">
        <v>2.0</v>
      </c>
      <c r="B6309" s="16" t="s">
        <v>10880</v>
      </c>
      <c r="C6309" s="17" t="s">
        <v>5636</v>
      </c>
      <c r="D6309" s="18">
        <v>85.71</v>
      </c>
      <c r="E6309" s="18">
        <v>120.0</v>
      </c>
      <c r="F6309" s="18">
        <v>12.0</v>
      </c>
    </row>
    <row r="6310">
      <c r="A6310" s="15">
        <v>3.0</v>
      </c>
      <c r="B6310" s="16" t="s">
        <v>5144</v>
      </c>
      <c r="C6310" s="16" t="s">
        <v>5558</v>
      </c>
      <c r="D6310" s="18">
        <v>74.25</v>
      </c>
      <c r="E6310" s="18">
        <v>105.0</v>
      </c>
      <c r="F6310" s="18">
        <v>12.0</v>
      </c>
    </row>
    <row r="6311">
      <c r="A6311" s="15">
        <v>4.0</v>
      </c>
      <c r="B6311" s="16" t="s">
        <v>10881</v>
      </c>
      <c r="C6311" s="17" t="s">
        <v>6762</v>
      </c>
      <c r="D6311" s="18">
        <v>72.6</v>
      </c>
      <c r="E6311" s="18">
        <v>101.64</v>
      </c>
      <c r="F6311" s="18">
        <v>12.0</v>
      </c>
    </row>
    <row r="6312">
      <c r="A6312" s="15">
        <v>5.0</v>
      </c>
      <c r="B6312" s="16" t="s">
        <v>10882</v>
      </c>
      <c r="C6312" s="17" t="s">
        <v>6393</v>
      </c>
      <c r="D6312" s="18">
        <v>37.78</v>
      </c>
      <c r="E6312" s="18">
        <v>52.9</v>
      </c>
      <c r="F6312" s="18">
        <v>12.0</v>
      </c>
    </row>
    <row r="6313">
      <c r="A6313" s="15">
        <v>6.0</v>
      </c>
      <c r="B6313" s="16" t="s">
        <v>10883</v>
      </c>
      <c r="C6313" s="17" t="s">
        <v>5747</v>
      </c>
      <c r="D6313" s="18">
        <v>42.85</v>
      </c>
      <c r="E6313" s="18">
        <v>60.0</v>
      </c>
      <c r="F6313" s="18">
        <v>12.0</v>
      </c>
    </row>
    <row r="6314">
      <c r="A6314" s="15">
        <v>7.0</v>
      </c>
      <c r="B6314" s="16" t="s">
        <v>5148</v>
      </c>
      <c r="C6314" s="16" t="s">
        <v>5558</v>
      </c>
      <c r="D6314" s="18">
        <v>25.5</v>
      </c>
      <c r="E6314" s="18">
        <v>35.0</v>
      </c>
      <c r="F6314" s="18">
        <v>12.0</v>
      </c>
    </row>
    <row r="6315">
      <c r="A6315" s="6"/>
      <c r="B6315" s="7"/>
      <c r="C6315" s="7"/>
      <c r="D6315" s="7"/>
      <c r="E6315" s="7"/>
      <c r="F6315" s="8"/>
    </row>
    <row r="6316">
      <c r="A6316" s="9" t="s">
        <v>5150</v>
      </c>
      <c r="B6316" s="10"/>
      <c r="C6316" s="10"/>
      <c r="D6316" s="10"/>
      <c r="E6316" s="10"/>
      <c r="F6316" s="10"/>
    </row>
    <row r="6317">
      <c r="A6317" s="11">
        <v>1.0</v>
      </c>
      <c r="B6317" s="12" t="s">
        <v>10884</v>
      </c>
      <c r="C6317" s="13" t="s">
        <v>10885</v>
      </c>
      <c r="D6317" s="14">
        <v>24.25</v>
      </c>
      <c r="E6317" s="14">
        <v>33.95</v>
      </c>
      <c r="F6317" s="14">
        <v>12.0</v>
      </c>
    </row>
    <row r="6318">
      <c r="A6318" s="15">
        <v>2.0</v>
      </c>
      <c r="B6318" s="16" t="s">
        <v>10886</v>
      </c>
      <c r="C6318" s="17" t="s">
        <v>10885</v>
      </c>
      <c r="D6318" s="18">
        <v>36.71</v>
      </c>
      <c r="E6318" s="18">
        <v>51.4</v>
      </c>
      <c r="F6318" s="18">
        <v>12.0</v>
      </c>
    </row>
    <row r="6319">
      <c r="A6319" s="15">
        <v>3.0</v>
      </c>
      <c r="B6319" s="16" t="s">
        <v>10887</v>
      </c>
      <c r="C6319" s="17" t="s">
        <v>7036</v>
      </c>
      <c r="D6319" s="18">
        <v>45.1</v>
      </c>
      <c r="E6319" s="18">
        <v>63.15</v>
      </c>
      <c r="F6319" s="18">
        <v>12.0</v>
      </c>
    </row>
    <row r="6320">
      <c r="A6320" s="15">
        <v>4.0</v>
      </c>
      <c r="B6320" s="16" t="s">
        <v>10888</v>
      </c>
      <c r="C6320" s="17" t="s">
        <v>10889</v>
      </c>
      <c r="D6320" s="18">
        <v>72.1</v>
      </c>
      <c r="E6320" s="18">
        <v>100.95</v>
      </c>
      <c r="F6320" s="18">
        <v>12.0</v>
      </c>
    </row>
    <row r="6321">
      <c r="A6321" s="15">
        <v>5.0</v>
      </c>
      <c r="B6321" s="16" t="s">
        <v>10890</v>
      </c>
      <c r="C6321" s="17" t="s">
        <v>6898</v>
      </c>
      <c r="D6321" s="18">
        <v>294.36</v>
      </c>
      <c r="E6321" s="18">
        <v>412.1</v>
      </c>
      <c r="F6321" s="18">
        <v>12.0</v>
      </c>
    </row>
    <row r="6322">
      <c r="A6322" s="15">
        <v>6.0</v>
      </c>
      <c r="B6322" s="16" t="s">
        <v>10890</v>
      </c>
      <c r="C6322" s="17" t="s">
        <v>10891</v>
      </c>
      <c r="D6322" s="18">
        <v>333.61</v>
      </c>
      <c r="E6322" s="18">
        <v>467.05</v>
      </c>
      <c r="F6322" s="18">
        <v>12.0</v>
      </c>
    </row>
    <row r="6323">
      <c r="A6323" s="15">
        <v>7.0</v>
      </c>
      <c r="B6323" s="16" t="s">
        <v>10892</v>
      </c>
      <c r="C6323" s="17" t="s">
        <v>5562</v>
      </c>
      <c r="D6323" s="18">
        <v>69.1</v>
      </c>
      <c r="E6323" s="18">
        <v>96.75</v>
      </c>
      <c r="F6323" s="18">
        <v>12.0</v>
      </c>
    </row>
    <row r="6324">
      <c r="A6324" s="15">
        <v>8.0</v>
      </c>
      <c r="B6324" s="16" t="s">
        <v>10893</v>
      </c>
      <c r="C6324" s="17" t="s">
        <v>5636</v>
      </c>
      <c r="D6324" s="18">
        <v>133.36</v>
      </c>
      <c r="E6324" s="18">
        <v>186.7</v>
      </c>
      <c r="F6324" s="18">
        <v>12.0</v>
      </c>
    </row>
    <row r="6325">
      <c r="A6325" s="15">
        <v>9.0</v>
      </c>
      <c r="B6325" s="16" t="s">
        <v>10894</v>
      </c>
      <c r="C6325" s="17" t="s">
        <v>5762</v>
      </c>
      <c r="D6325" s="18">
        <v>87.22</v>
      </c>
      <c r="E6325" s="18">
        <v>122.1</v>
      </c>
      <c r="F6325" s="18">
        <v>12.0</v>
      </c>
    </row>
    <row r="6326">
      <c r="A6326" s="15">
        <v>10.0</v>
      </c>
      <c r="B6326" s="16" t="s">
        <v>10895</v>
      </c>
      <c r="C6326" s="17" t="s">
        <v>5762</v>
      </c>
      <c r="D6326" s="18">
        <v>126.15</v>
      </c>
      <c r="E6326" s="18">
        <v>175.0</v>
      </c>
      <c r="F6326" s="18">
        <v>12.0</v>
      </c>
    </row>
    <row r="6327">
      <c r="A6327" s="15">
        <v>11.0</v>
      </c>
      <c r="B6327" s="16" t="s">
        <v>10896</v>
      </c>
      <c r="C6327" s="17" t="s">
        <v>5536</v>
      </c>
      <c r="D6327" s="18">
        <v>77.61</v>
      </c>
      <c r="E6327" s="18">
        <v>108.65</v>
      </c>
      <c r="F6327" s="18">
        <v>12.0</v>
      </c>
    </row>
    <row r="6328">
      <c r="A6328" s="15">
        <v>12.0</v>
      </c>
      <c r="B6328" s="16" t="s">
        <v>10897</v>
      </c>
      <c r="C6328" s="17" t="s">
        <v>5536</v>
      </c>
      <c r="D6328" s="18">
        <v>33.26</v>
      </c>
      <c r="E6328" s="18">
        <v>46.56</v>
      </c>
      <c r="F6328" s="18">
        <v>12.0</v>
      </c>
    </row>
    <row r="6329">
      <c r="A6329" s="15">
        <v>13.0</v>
      </c>
      <c r="B6329" s="16" t="s">
        <v>10898</v>
      </c>
      <c r="C6329" s="17" t="s">
        <v>6391</v>
      </c>
      <c r="D6329" s="18">
        <v>26.39</v>
      </c>
      <c r="E6329" s="18">
        <v>36.95</v>
      </c>
      <c r="F6329" s="18">
        <v>12.0</v>
      </c>
    </row>
    <row r="6330">
      <c r="A6330" s="15">
        <v>14.0</v>
      </c>
      <c r="B6330" s="16" t="s">
        <v>10899</v>
      </c>
      <c r="C6330" s="17" t="s">
        <v>10900</v>
      </c>
      <c r="D6330" s="18">
        <v>217.39</v>
      </c>
      <c r="E6330" s="18">
        <v>304.35</v>
      </c>
      <c r="F6330" s="18">
        <v>12.0</v>
      </c>
    </row>
    <row r="6331">
      <c r="A6331" s="15">
        <v>15.0</v>
      </c>
      <c r="B6331" s="16" t="s">
        <v>10901</v>
      </c>
      <c r="C6331" s="17" t="s">
        <v>8248</v>
      </c>
      <c r="D6331" s="18">
        <v>279.68</v>
      </c>
      <c r="E6331" s="18">
        <v>391.55</v>
      </c>
      <c r="F6331" s="18">
        <v>12.0</v>
      </c>
    </row>
    <row r="6332">
      <c r="A6332" s="15">
        <v>16.0</v>
      </c>
      <c r="B6332" s="16" t="s">
        <v>10902</v>
      </c>
      <c r="C6332" s="17" t="s">
        <v>10903</v>
      </c>
      <c r="D6332" s="18">
        <v>230.78</v>
      </c>
      <c r="E6332" s="18">
        <v>323.1</v>
      </c>
      <c r="F6332" s="18">
        <v>12.0</v>
      </c>
    </row>
    <row r="6333">
      <c r="A6333" s="15">
        <v>17.0</v>
      </c>
      <c r="B6333" s="16" t="s">
        <v>10904</v>
      </c>
      <c r="C6333" s="17" t="s">
        <v>10905</v>
      </c>
      <c r="D6333" s="18">
        <v>140.36</v>
      </c>
      <c r="E6333" s="18">
        <v>196.5</v>
      </c>
      <c r="F6333" s="18">
        <v>12.0</v>
      </c>
    </row>
    <row r="6334">
      <c r="A6334" s="15">
        <v>18.0</v>
      </c>
      <c r="B6334" s="16" t="s">
        <v>10906</v>
      </c>
      <c r="C6334" s="17" t="s">
        <v>5768</v>
      </c>
      <c r="D6334" s="18">
        <v>92.57</v>
      </c>
      <c r="E6334" s="18">
        <v>117.95</v>
      </c>
      <c r="F6334" s="18">
        <v>12.0</v>
      </c>
    </row>
    <row r="6335">
      <c r="A6335" s="15">
        <v>19.0</v>
      </c>
      <c r="B6335" s="16" t="s">
        <v>10906</v>
      </c>
      <c r="C6335" s="17" t="s">
        <v>5960</v>
      </c>
      <c r="D6335" s="18">
        <v>168.61</v>
      </c>
      <c r="E6335" s="18">
        <v>236.05</v>
      </c>
      <c r="F6335" s="18">
        <v>12.0</v>
      </c>
    </row>
    <row r="6336">
      <c r="A6336" s="15">
        <v>20.0</v>
      </c>
      <c r="B6336" s="16" t="s">
        <v>10907</v>
      </c>
      <c r="C6336" s="17" t="s">
        <v>5536</v>
      </c>
      <c r="D6336" s="18">
        <v>73.82</v>
      </c>
      <c r="E6336" s="18">
        <v>103.35</v>
      </c>
      <c r="F6336" s="18">
        <v>12.0</v>
      </c>
    </row>
    <row r="6337">
      <c r="A6337" s="15">
        <v>21.0</v>
      </c>
      <c r="B6337" s="16" t="s">
        <v>10908</v>
      </c>
      <c r="C6337" s="17" t="s">
        <v>5636</v>
      </c>
      <c r="D6337" s="18">
        <v>75.64</v>
      </c>
      <c r="E6337" s="18">
        <v>105.9</v>
      </c>
      <c r="F6337" s="18">
        <v>12.0</v>
      </c>
    </row>
    <row r="6338">
      <c r="A6338" s="15">
        <v>22.0</v>
      </c>
      <c r="B6338" s="16" t="s">
        <v>10909</v>
      </c>
      <c r="C6338" s="17" t="s">
        <v>5536</v>
      </c>
      <c r="D6338" s="18">
        <v>94.39</v>
      </c>
      <c r="E6338" s="18">
        <v>132.15</v>
      </c>
      <c r="F6338" s="18">
        <v>12.0</v>
      </c>
    </row>
    <row r="6339">
      <c r="A6339" s="15">
        <v>23.0</v>
      </c>
      <c r="B6339" s="16" t="s">
        <v>10910</v>
      </c>
      <c r="C6339" s="17" t="s">
        <v>10911</v>
      </c>
      <c r="D6339" s="18">
        <v>177.02</v>
      </c>
      <c r="E6339" s="18">
        <v>245.6</v>
      </c>
      <c r="F6339" s="18">
        <v>12.0</v>
      </c>
    </row>
    <row r="6340">
      <c r="A6340" s="15">
        <v>24.0</v>
      </c>
      <c r="B6340" s="16" t="s">
        <v>10910</v>
      </c>
      <c r="C6340" s="17" t="s">
        <v>10912</v>
      </c>
      <c r="D6340" s="18">
        <v>125.82</v>
      </c>
      <c r="E6340" s="18">
        <v>176.15</v>
      </c>
      <c r="F6340" s="18">
        <v>12.0</v>
      </c>
    </row>
    <row r="6341">
      <c r="A6341" s="15">
        <v>25.0</v>
      </c>
      <c r="B6341" s="16" t="s">
        <v>10910</v>
      </c>
      <c r="C6341" s="17" t="s">
        <v>5804</v>
      </c>
      <c r="D6341" s="18">
        <v>81.82</v>
      </c>
      <c r="E6341" s="18">
        <v>114.55</v>
      </c>
      <c r="F6341" s="18">
        <v>12.0</v>
      </c>
    </row>
    <row r="6342">
      <c r="A6342" s="15">
        <v>26.0</v>
      </c>
      <c r="B6342" s="16" t="s">
        <v>5175</v>
      </c>
      <c r="C6342" s="16" t="s">
        <v>5558</v>
      </c>
      <c r="D6342" s="18">
        <v>557.52</v>
      </c>
      <c r="E6342" s="18">
        <v>900.0</v>
      </c>
      <c r="F6342" s="18">
        <v>28.0</v>
      </c>
    </row>
    <row r="6343">
      <c r="A6343" s="15">
        <v>27.0</v>
      </c>
      <c r="B6343" s="16" t="s">
        <v>10913</v>
      </c>
      <c r="C6343" s="17" t="s">
        <v>5636</v>
      </c>
      <c r="D6343" s="18">
        <v>94.18</v>
      </c>
      <c r="E6343" s="18">
        <v>131.85</v>
      </c>
      <c r="F6343" s="18">
        <v>12.0</v>
      </c>
    </row>
    <row r="6344">
      <c r="A6344" s="15">
        <v>28.0</v>
      </c>
      <c r="B6344" s="16" t="s">
        <v>10914</v>
      </c>
      <c r="C6344" s="17" t="s">
        <v>5536</v>
      </c>
      <c r="D6344" s="18">
        <v>95.34</v>
      </c>
      <c r="E6344" s="18">
        <v>100.6</v>
      </c>
      <c r="F6344" s="18">
        <v>12.0</v>
      </c>
    </row>
    <row r="6345">
      <c r="A6345" s="15">
        <v>29.0</v>
      </c>
      <c r="B6345" s="16" t="s">
        <v>10915</v>
      </c>
      <c r="C6345" s="17" t="s">
        <v>5804</v>
      </c>
      <c r="D6345" s="18">
        <v>55.17</v>
      </c>
      <c r="E6345" s="18">
        <v>83.3</v>
      </c>
      <c r="F6345" s="18">
        <v>12.0</v>
      </c>
    </row>
    <row r="6346">
      <c r="A6346" s="15">
        <v>30.0</v>
      </c>
      <c r="B6346" s="16" t="s">
        <v>10915</v>
      </c>
      <c r="C6346" s="17" t="s">
        <v>5636</v>
      </c>
      <c r="D6346" s="18">
        <v>45.89</v>
      </c>
      <c r="E6346" s="18">
        <v>60.35</v>
      </c>
      <c r="F6346" s="18">
        <v>12.0</v>
      </c>
    </row>
    <row r="6347">
      <c r="A6347" s="15">
        <v>31.0</v>
      </c>
      <c r="B6347" s="16" t="s">
        <v>10916</v>
      </c>
      <c r="C6347" s="17" t="s">
        <v>9661</v>
      </c>
      <c r="D6347" s="18">
        <v>25.78</v>
      </c>
      <c r="E6347" s="18">
        <v>36.1</v>
      </c>
      <c r="F6347" s="18">
        <v>12.0</v>
      </c>
    </row>
    <row r="6348">
      <c r="A6348" s="15">
        <v>32.0</v>
      </c>
      <c r="B6348" s="16" t="s">
        <v>10917</v>
      </c>
      <c r="C6348" s="17" t="s">
        <v>5636</v>
      </c>
      <c r="D6348" s="18">
        <v>27.67</v>
      </c>
      <c r="E6348" s="18">
        <v>38.4</v>
      </c>
      <c r="F6348" s="18">
        <v>12.0</v>
      </c>
    </row>
    <row r="6349">
      <c r="A6349" s="15">
        <v>33.0</v>
      </c>
      <c r="B6349" s="16" t="s">
        <v>10918</v>
      </c>
      <c r="C6349" s="17" t="s">
        <v>5922</v>
      </c>
      <c r="D6349" s="18">
        <v>157.18</v>
      </c>
      <c r="E6349" s="18">
        <v>215.8</v>
      </c>
      <c r="F6349" s="18">
        <v>12.0</v>
      </c>
    </row>
    <row r="6350">
      <c r="A6350" s="15">
        <v>34.0</v>
      </c>
      <c r="B6350" s="16" t="s">
        <v>10919</v>
      </c>
      <c r="C6350" s="17" t="s">
        <v>5536</v>
      </c>
      <c r="D6350" s="18">
        <v>169.71</v>
      </c>
      <c r="E6350" s="18">
        <v>216.2</v>
      </c>
      <c r="F6350" s="18">
        <v>12.0</v>
      </c>
    </row>
    <row r="6351">
      <c r="A6351" s="15">
        <v>35.0</v>
      </c>
      <c r="B6351" s="16" t="s">
        <v>10920</v>
      </c>
      <c r="C6351" s="17" t="s">
        <v>10921</v>
      </c>
      <c r="D6351" s="18">
        <v>29.13</v>
      </c>
      <c r="E6351" s="18">
        <v>40.0</v>
      </c>
      <c r="F6351" s="18">
        <v>12.0</v>
      </c>
    </row>
    <row r="6352">
      <c r="A6352" s="15">
        <v>36.0</v>
      </c>
      <c r="B6352" s="16" t="s">
        <v>10922</v>
      </c>
      <c r="C6352" s="17" t="s">
        <v>10923</v>
      </c>
      <c r="D6352" s="18">
        <v>32.77</v>
      </c>
      <c r="E6352" s="18">
        <v>45.0</v>
      </c>
      <c r="F6352" s="18">
        <v>12.0</v>
      </c>
    </row>
    <row r="6353">
      <c r="A6353" s="15">
        <v>37.0</v>
      </c>
      <c r="B6353" s="16" t="s">
        <v>10924</v>
      </c>
      <c r="C6353" s="17" t="s">
        <v>10923</v>
      </c>
      <c r="D6353" s="18">
        <v>38.46</v>
      </c>
      <c r="E6353" s="18">
        <v>53.85</v>
      </c>
      <c r="F6353" s="18">
        <v>12.0</v>
      </c>
    </row>
    <row r="6354">
      <c r="A6354" s="15">
        <v>38.0</v>
      </c>
      <c r="B6354" s="16" t="s">
        <v>10925</v>
      </c>
      <c r="C6354" s="17" t="s">
        <v>5536</v>
      </c>
      <c r="D6354" s="18">
        <v>164.81</v>
      </c>
      <c r="E6354" s="18">
        <v>203.4</v>
      </c>
      <c r="F6354" s="18">
        <v>5.0</v>
      </c>
    </row>
    <row r="6355">
      <c r="A6355" s="15">
        <v>39.0</v>
      </c>
      <c r="B6355" s="16" t="s">
        <v>10926</v>
      </c>
      <c r="C6355" s="17" t="s">
        <v>5562</v>
      </c>
      <c r="D6355" s="18">
        <v>69.0</v>
      </c>
      <c r="E6355" s="18">
        <v>96.6</v>
      </c>
      <c r="F6355" s="18">
        <v>12.0</v>
      </c>
    </row>
    <row r="6356">
      <c r="A6356" s="6"/>
      <c r="B6356" s="7"/>
      <c r="C6356" s="7"/>
      <c r="D6356" s="7"/>
      <c r="E6356" s="8"/>
      <c r="F6356" s="16" t="s">
        <v>10927</v>
      </c>
    </row>
    <row r="6357">
      <c r="A6357" s="6"/>
      <c r="B6357" s="7"/>
      <c r="C6357" s="7"/>
      <c r="D6357" s="7"/>
      <c r="E6357" s="7"/>
      <c r="F6357" s="8"/>
    </row>
    <row r="6358">
      <c r="A6358" s="6"/>
      <c r="B6358" s="7"/>
      <c r="C6358" s="7"/>
      <c r="D6358" s="7"/>
      <c r="E6358" s="7"/>
      <c r="F6358" s="8"/>
    </row>
    <row r="6359">
      <c r="A6359" s="6"/>
      <c r="B6359" s="7"/>
      <c r="C6359" s="7"/>
      <c r="D6359" s="7"/>
      <c r="E6359" s="7"/>
      <c r="F6359" s="8"/>
    </row>
    <row r="6360">
      <c r="A6360" s="6"/>
      <c r="B6360" s="7"/>
      <c r="C6360" s="7"/>
      <c r="D6360" s="7"/>
      <c r="E6360" s="7"/>
      <c r="F6360" s="8"/>
    </row>
    <row r="6361">
      <c r="A6361" s="9" t="s">
        <v>5582</v>
      </c>
      <c r="B6361" s="10"/>
      <c r="C6361" s="10"/>
      <c r="D6361" s="10"/>
      <c r="E6361" s="10"/>
      <c r="F6361" s="10"/>
    </row>
    <row r="6362">
      <c r="A6362" s="19" t="s">
        <v>5583</v>
      </c>
    </row>
    <row r="6363">
      <c r="A6363" s="6"/>
      <c r="B6363" s="7"/>
      <c r="C6363" s="7"/>
      <c r="D6363" s="8"/>
      <c r="E6363" s="12" t="s">
        <v>5584</v>
      </c>
      <c r="F6363" s="12" t="s">
        <v>10928</v>
      </c>
    </row>
    <row r="6364">
      <c r="A6364" s="20" t="s">
        <v>5522</v>
      </c>
      <c r="B6364" s="16" t="s">
        <v>5523</v>
      </c>
      <c r="C6364" s="16" t="s">
        <v>5524</v>
      </c>
      <c r="D6364" s="16" t="s">
        <v>5525</v>
      </c>
      <c r="E6364" s="16" t="s">
        <v>5526</v>
      </c>
      <c r="F6364" s="16" t="s">
        <v>5586</v>
      </c>
    </row>
    <row r="6365">
      <c r="A6365" s="15">
        <v>40.0</v>
      </c>
      <c r="B6365" s="16" t="s">
        <v>5189</v>
      </c>
      <c r="C6365" s="16" t="s">
        <v>5679</v>
      </c>
      <c r="D6365" s="18">
        <v>129.39</v>
      </c>
      <c r="E6365" s="18">
        <v>150.0</v>
      </c>
      <c r="F6365" s="18">
        <v>12.0</v>
      </c>
    </row>
    <row r="6366">
      <c r="A6366" s="15">
        <v>41.0</v>
      </c>
      <c r="B6366" s="16" t="s">
        <v>5190</v>
      </c>
      <c r="C6366" s="16" t="s">
        <v>5558</v>
      </c>
      <c r="D6366" s="18">
        <v>51.71</v>
      </c>
      <c r="E6366" s="18">
        <v>72.4</v>
      </c>
      <c r="F6366" s="18">
        <v>12.0</v>
      </c>
    </row>
    <row r="6367">
      <c r="A6367" s="6"/>
      <c r="B6367" s="7"/>
      <c r="C6367" s="7"/>
      <c r="D6367" s="7"/>
      <c r="E6367" s="7"/>
      <c r="F6367" s="8"/>
    </row>
    <row r="6368">
      <c r="A6368" s="9" t="s">
        <v>5192</v>
      </c>
      <c r="B6368" s="10"/>
      <c r="C6368" s="10"/>
      <c r="D6368" s="10"/>
      <c r="E6368" s="10"/>
      <c r="F6368" s="10"/>
    </row>
    <row r="6369">
      <c r="A6369" s="11">
        <v>1.0</v>
      </c>
      <c r="B6369" s="12" t="s">
        <v>10929</v>
      </c>
      <c r="C6369" s="13" t="s">
        <v>5536</v>
      </c>
      <c r="D6369" s="14">
        <v>39.98</v>
      </c>
      <c r="E6369" s="14">
        <v>54.9</v>
      </c>
      <c r="F6369" s="14">
        <v>12.0</v>
      </c>
    </row>
    <row r="6370">
      <c r="A6370" s="15">
        <v>2.0</v>
      </c>
      <c r="B6370" s="16" t="s">
        <v>10930</v>
      </c>
      <c r="C6370" s="17" t="s">
        <v>5536</v>
      </c>
      <c r="D6370" s="18">
        <v>61.46</v>
      </c>
      <c r="E6370" s="18">
        <v>86.05</v>
      </c>
      <c r="F6370" s="18">
        <v>12.0</v>
      </c>
    </row>
    <row r="6371">
      <c r="A6371" s="15">
        <v>3.0</v>
      </c>
      <c r="B6371" s="16" t="s">
        <v>10931</v>
      </c>
      <c r="C6371" s="17" t="s">
        <v>5536</v>
      </c>
      <c r="D6371" s="18">
        <v>71.43</v>
      </c>
      <c r="E6371" s="18">
        <v>100.0</v>
      </c>
      <c r="F6371" s="18">
        <v>12.0</v>
      </c>
    </row>
    <row r="6372">
      <c r="A6372" s="15">
        <v>4.0</v>
      </c>
      <c r="B6372" s="16" t="s">
        <v>10932</v>
      </c>
      <c r="C6372" s="17" t="s">
        <v>5536</v>
      </c>
      <c r="D6372" s="18">
        <v>77.61</v>
      </c>
      <c r="E6372" s="18">
        <v>106.6</v>
      </c>
      <c r="F6372" s="18">
        <v>12.0</v>
      </c>
    </row>
    <row r="6373">
      <c r="A6373" s="15">
        <v>5.0</v>
      </c>
      <c r="B6373" s="16" t="s">
        <v>10933</v>
      </c>
      <c r="C6373" s="17" t="s">
        <v>5562</v>
      </c>
      <c r="D6373" s="18">
        <v>76.93</v>
      </c>
      <c r="E6373" s="18">
        <v>98.0</v>
      </c>
      <c r="F6373" s="18">
        <v>12.0</v>
      </c>
    </row>
    <row r="6374">
      <c r="A6374" s="15">
        <v>6.0</v>
      </c>
      <c r="B6374" s="16" t="s">
        <v>10934</v>
      </c>
      <c r="C6374" s="17" t="s">
        <v>5536</v>
      </c>
      <c r="D6374" s="18">
        <v>57.14</v>
      </c>
      <c r="E6374" s="18">
        <v>80.0</v>
      </c>
      <c r="F6374" s="18">
        <v>12.0</v>
      </c>
    </row>
    <row r="6375">
      <c r="A6375" s="15">
        <v>7.0</v>
      </c>
      <c r="B6375" s="16" t="s">
        <v>10935</v>
      </c>
      <c r="C6375" s="17" t="s">
        <v>5536</v>
      </c>
      <c r="D6375" s="18">
        <v>85.71</v>
      </c>
      <c r="E6375" s="18">
        <v>120.0</v>
      </c>
      <c r="F6375" s="18">
        <v>12.0</v>
      </c>
    </row>
    <row r="6376">
      <c r="A6376" s="15">
        <v>8.0</v>
      </c>
      <c r="B6376" s="16" t="s">
        <v>10936</v>
      </c>
      <c r="C6376" s="17" t="s">
        <v>7424</v>
      </c>
      <c r="D6376" s="18">
        <v>43.03</v>
      </c>
      <c r="E6376" s="18">
        <v>59.1</v>
      </c>
      <c r="F6376" s="18">
        <v>12.0</v>
      </c>
    </row>
    <row r="6377">
      <c r="A6377" s="15">
        <v>9.0</v>
      </c>
      <c r="B6377" s="16" t="s">
        <v>10937</v>
      </c>
      <c r="C6377" s="17" t="s">
        <v>5536</v>
      </c>
      <c r="D6377" s="18">
        <v>62.71</v>
      </c>
      <c r="E6377" s="18">
        <v>87.8</v>
      </c>
      <c r="F6377" s="18">
        <v>12.0</v>
      </c>
    </row>
    <row r="6378">
      <c r="A6378" s="15">
        <v>10.0</v>
      </c>
      <c r="B6378" s="16" t="s">
        <v>10938</v>
      </c>
      <c r="C6378" s="17" t="s">
        <v>5636</v>
      </c>
      <c r="D6378" s="18">
        <v>58.86</v>
      </c>
      <c r="E6378" s="18">
        <v>82.4</v>
      </c>
      <c r="F6378" s="18">
        <v>12.0</v>
      </c>
    </row>
    <row r="6379">
      <c r="A6379" s="15">
        <v>11.0</v>
      </c>
      <c r="B6379" s="16" t="s">
        <v>10939</v>
      </c>
      <c r="C6379" s="17" t="s">
        <v>5636</v>
      </c>
      <c r="D6379" s="18">
        <v>112.97</v>
      </c>
      <c r="E6379" s="18">
        <v>158.15</v>
      </c>
      <c r="F6379" s="18">
        <v>12.0</v>
      </c>
    </row>
    <row r="6380">
      <c r="A6380" s="15">
        <v>12.0</v>
      </c>
      <c r="B6380" s="16" t="s">
        <v>10940</v>
      </c>
      <c r="C6380" s="17" t="s">
        <v>5536</v>
      </c>
      <c r="D6380" s="18">
        <v>56.21</v>
      </c>
      <c r="E6380" s="18">
        <v>78.0</v>
      </c>
      <c r="F6380" s="18">
        <v>12.0</v>
      </c>
    </row>
    <row r="6381">
      <c r="A6381" s="15">
        <v>13.0</v>
      </c>
      <c r="B6381" s="16" t="s">
        <v>10941</v>
      </c>
      <c r="C6381" s="17" t="s">
        <v>5536</v>
      </c>
      <c r="D6381" s="18">
        <v>100.17</v>
      </c>
      <c r="E6381" s="18">
        <v>139.0</v>
      </c>
      <c r="F6381" s="18">
        <v>12.0</v>
      </c>
    </row>
    <row r="6382">
      <c r="A6382" s="15">
        <v>14.0</v>
      </c>
      <c r="B6382" s="16" t="s">
        <v>10942</v>
      </c>
      <c r="C6382" s="17" t="s">
        <v>5649</v>
      </c>
      <c r="D6382" s="18">
        <v>164.64</v>
      </c>
      <c r="E6382" s="18">
        <v>230.5</v>
      </c>
      <c r="F6382" s="18">
        <v>12.0</v>
      </c>
    </row>
    <row r="6383">
      <c r="A6383" s="15">
        <v>15.0</v>
      </c>
      <c r="B6383" s="16" t="s">
        <v>10943</v>
      </c>
      <c r="C6383" s="17" t="s">
        <v>10944</v>
      </c>
      <c r="D6383" s="18">
        <v>81.78</v>
      </c>
      <c r="E6383" s="18">
        <v>114.5</v>
      </c>
      <c r="F6383" s="18">
        <v>12.0</v>
      </c>
    </row>
    <row r="6384">
      <c r="A6384" s="15">
        <v>16.0</v>
      </c>
      <c r="B6384" s="16" t="s">
        <v>10945</v>
      </c>
      <c r="C6384" s="17" t="s">
        <v>5536</v>
      </c>
      <c r="D6384" s="18">
        <v>77.71</v>
      </c>
      <c r="E6384" s="18">
        <v>108.8</v>
      </c>
      <c r="F6384" s="18">
        <v>12.0</v>
      </c>
    </row>
    <row r="6385">
      <c r="A6385" s="15">
        <v>17.0</v>
      </c>
      <c r="B6385" s="16" t="s">
        <v>10946</v>
      </c>
      <c r="C6385" s="17" t="s">
        <v>5550</v>
      </c>
      <c r="D6385" s="18">
        <v>81.78</v>
      </c>
      <c r="E6385" s="18">
        <v>114.5</v>
      </c>
      <c r="F6385" s="18">
        <v>12.0</v>
      </c>
    </row>
    <row r="6386">
      <c r="A6386" s="15">
        <v>18.0</v>
      </c>
      <c r="B6386" s="16" t="s">
        <v>10946</v>
      </c>
      <c r="C6386" s="17" t="s">
        <v>5665</v>
      </c>
      <c r="D6386" s="18">
        <v>78.29</v>
      </c>
      <c r="E6386" s="18">
        <v>109.6</v>
      </c>
      <c r="F6386" s="18">
        <v>12.0</v>
      </c>
    </row>
    <row r="6387">
      <c r="A6387" s="15">
        <v>19.0</v>
      </c>
      <c r="B6387" s="16" t="s">
        <v>10947</v>
      </c>
      <c r="C6387" s="17" t="s">
        <v>5536</v>
      </c>
      <c r="D6387" s="18">
        <v>54.93</v>
      </c>
      <c r="E6387" s="18">
        <v>76.9</v>
      </c>
      <c r="F6387" s="18">
        <v>12.0</v>
      </c>
    </row>
    <row r="6388">
      <c r="A6388" s="15">
        <v>20.0</v>
      </c>
      <c r="B6388" s="16" t="s">
        <v>10948</v>
      </c>
      <c r="C6388" s="17" t="s">
        <v>5536</v>
      </c>
      <c r="D6388" s="18">
        <v>94.67</v>
      </c>
      <c r="E6388" s="18">
        <v>130.0</v>
      </c>
      <c r="F6388" s="18">
        <v>12.0</v>
      </c>
    </row>
    <row r="6389">
      <c r="A6389" s="15">
        <v>21.0</v>
      </c>
      <c r="B6389" s="16" t="s">
        <v>10949</v>
      </c>
      <c r="C6389" s="17" t="s">
        <v>5536</v>
      </c>
      <c r="D6389" s="18">
        <v>187.18</v>
      </c>
      <c r="E6389" s="18">
        <v>262.05</v>
      </c>
      <c r="F6389" s="18">
        <v>12.0</v>
      </c>
    </row>
    <row r="6390">
      <c r="A6390" s="15">
        <v>22.0</v>
      </c>
      <c r="B6390" s="16" t="s">
        <v>10950</v>
      </c>
      <c r="C6390" s="17" t="s">
        <v>5536</v>
      </c>
      <c r="D6390" s="18">
        <v>29.13</v>
      </c>
      <c r="E6390" s="18">
        <v>40.0</v>
      </c>
      <c r="F6390" s="18">
        <v>12.0</v>
      </c>
    </row>
    <row r="6391">
      <c r="A6391" s="15">
        <v>23.0</v>
      </c>
      <c r="B6391" s="16" t="s">
        <v>10951</v>
      </c>
      <c r="C6391" s="17" t="s">
        <v>5636</v>
      </c>
      <c r="D6391" s="18">
        <v>135.71</v>
      </c>
      <c r="E6391" s="18">
        <v>190.0</v>
      </c>
      <c r="F6391" s="18">
        <v>12.0</v>
      </c>
    </row>
    <row r="6392">
      <c r="A6392" s="15">
        <v>24.0</v>
      </c>
      <c r="B6392" s="16" t="s">
        <v>10952</v>
      </c>
      <c r="C6392" s="17" t="s">
        <v>7173</v>
      </c>
      <c r="D6392" s="18">
        <v>102.82</v>
      </c>
      <c r="E6392" s="18">
        <v>143.95</v>
      </c>
      <c r="F6392" s="18">
        <v>12.0</v>
      </c>
    </row>
    <row r="6393">
      <c r="A6393" s="15">
        <v>25.0</v>
      </c>
      <c r="B6393" s="16" t="s">
        <v>10952</v>
      </c>
      <c r="C6393" s="17" t="s">
        <v>7174</v>
      </c>
      <c r="D6393" s="18">
        <v>144.0</v>
      </c>
      <c r="E6393" s="18">
        <v>201.6</v>
      </c>
      <c r="F6393" s="18">
        <v>12.0</v>
      </c>
    </row>
    <row r="6394">
      <c r="A6394" s="15">
        <v>26.0</v>
      </c>
      <c r="B6394" s="16" t="s">
        <v>10953</v>
      </c>
      <c r="C6394" s="17" t="s">
        <v>7424</v>
      </c>
      <c r="D6394" s="18">
        <v>34.29</v>
      </c>
      <c r="E6394" s="18">
        <v>48.0</v>
      </c>
      <c r="F6394" s="18">
        <v>12.0</v>
      </c>
    </row>
    <row r="6395">
      <c r="A6395" s="15">
        <v>27.0</v>
      </c>
      <c r="B6395" s="16" t="s">
        <v>10953</v>
      </c>
      <c r="C6395" s="17" t="s">
        <v>7184</v>
      </c>
      <c r="D6395" s="18">
        <v>26.64</v>
      </c>
      <c r="E6395" s="18">
        <v>37.3</v>
      </c>
      <c r="F6395" s="18">
        <v>12.0</v>
      </c>
    </row>
    <row r="6396">
      <c r="A6396" s="15">
        <v>28.0</v>
      </c>
      <c r="B6396" s="16" t="s">
        <v>10954</v>
      </c>
      <c r="C6396" s="17" t="s">
        <v>5536</v>
      </c>
      <c r="D6396" s="18">
        <v>50.96</v>
      </c>
      <c r="E6396" s="18">
        <v>70.0</v>
      </c>
      <c r="F6396" s="18">
        <v>12.0</v>
      </c>
    </row>
    <row r="6397">
      <c r="A6397" s="15">
        <v>29.0</v>
      </c>
      <c r="B6397" s="16" t="s">
        <v>10955</v>
      </c>
      <c r="C6397" s="17" t="s">
        <v>5536</v>
      </c>
      <c r="D6397" s="18">
        <v>87.46</v>
      </c>
      <c r="E6397" s="18">
        <v>122.45</v>
      </c>
      <c r="F6397" s="18">
        <v>12.0</v>
      </c>
    </row>
    <row r="6398">
      <c r="A6398" s="15">
        <v>30.0</v>
      </c>
      <c r="B6398" s="16" t="s">
        <v>10956</v>
      </c>
      <c r="C6398" s="17" t="s">
        <v>5536</v>
      </c>
      <c r="D6398" s="18">
        <v>79.61</v>
      </c>
      <c r="E6398" s="18">
        <v>111.45</v>
      </c>
      <c r="F6398" s="18">
        <v>12.0</v>
      </c>
    </row>
    <row r="6399">
      <c r="A6399" s="15">
        <v>31.0</v>
      </c>
      <c r="B6399" s="16" t="s">
        <v>10957</v>
      </c>
      <c r="C6399" s="17" t="s">
        <v>5887</v>
      </c>
      <c r="D6399" s="18">
        <v>60.18</v>
      </c>
      <c r="E6399" s="18">
        <v>84.25</v>
      </c>
      <c r="F6399" s="18">
        <v>12.0</v>
      </c>
    </row>
    <row r="6400">
      <c r="A6400" s="15">
        <v>32.0</v>
      </c>
      <c r="B6400" s="16" t="s">
        <v>10957</v>
      </c>
      <c r="C6400" s="17" t="s">
        <v>6118</v>
      </c>
      <c r="D6400" s="18">
        <v>83.82</v>
      </c>
      <c r="E6400" s="18">
        <v>117.35</v>
      </c>
      <c r="F6400" s="18">
        <v>12.0</v>
      </c>
    </row>
    <row r="6401">
      <c r="A6401" s="6"/>
      <c r="B6401" s="7"/>
      <c r="C6401" s="7"/>
      <c r="D6401" s="7"/>
      <c r="E6401" s="7"/>
      <c r="F6401" s="8"/>
    </row>
    <row r="6402">
      <c r="A6402" s="9" t="s">
        <v>5225</v>
      </c>
      <c r="B6402" s="10"/>
      <c r="C6402" s="10"/>
      <c r="D6402" s="10"/>
      <c r="E6402" s="10"/>
      <c r="F6402" s="10"/>
    </row>
    <row r="6403">
      <c r="A6403" s="11">
        <v>1.0</v>
      </c>
      <c r="B6403" s="12" t="s">
        <v>10958</v>
      </c>
      <c r="C6403" s="13" t="s">
        <v>10959</v>
      </c>
      <c r="D6403" s="14">
        <v>82.46</v>
      </c>
      <c r="E6403" s="14">
        <v>115.45</v>
      </c>
      <c r="F6403" s="14">
        <v>12.0</v>
      </c>
    </row>
    <row r="6404">
      <c r="A6404" s="15">
        <v>2.0</v>
      </c>
      <c r="B6404" s="16" t="s">
        <v>10960</v>
      </c>
      <c r="C6404" s="17" t="s">
        <v>6432</v>
      </c>
      <c r="D6404" s="18">
        <v>67.61</v>
      </c>
      <c r="E6404" s="18">
        <v>94.65</v>
      </c>
      <c r="F6404" s="18">
        <v>12.0</v>
      </c>
    </row>
    <row r="6405">
      <c r="A6405" s="15">
        <v>3.0</v>
      </c>
      <c r="B6405" s="16" t="s">
        <v>10961</v>
      </c>
      <c r="C6405" s="17" t="s">
        <v>5671</v>
      </c>
      <c r="D6405" s="18">
        <v>35.36</v>
      </c>
      <c r="E6405" s="18">
        <v>49.5</v>
      </c>
      <c r="F6405" s="18">
        <v>12.0</v>
      </c>
    </row>
    <row r="6406">
      <c r="A6406" s="15">
        <v>4.0</v>
      </c>
      <c r="B6406" s="16" t="s">
        <v>10962</v>
      </c>
      <c r="C6406" s="17" t="s">
        <v>10963</v>
      </c>
      <c r="D6406" s="18">
        <v>18.57</v>
      </c>
      <c r="E6406" s="18">
        <v>26.0</v>
      </c>
      <c r="F6406" s="18">
        <v>12.0</v>
      </c>
    </row>
    <row r="6407">
      <c r="A6407" s="15">
        <v>5.0</v>
      </c>
      <c r="B6407" s="16" t="s">
        <v>10964</v>
      </c>
      <c r="C6407" s="17" t="s">
        <v>10965</v>
      </c>
      <c r="D6407" s="18">
        <v>42.21</v>
      </c>
      <c r="E6407" s="18">
        <v>59.09</v>
      </c>
      <c r="F6407" s="18">
        <v>12.0</v>
      </c>
    </row>
    <row r="6408">
      <c r="A6408" s="15">
        <v>6.0</v>
      </c>
      <c r="B6408" s="16" t="s">
        <v>10966</v>
      </c>
      <c r="C6408" s="17" t="s">
        <v>10967</v>
      </c>
      <c r="D6408" s="18">
        <v>17.14</v>
      </c>
      <c r="E6408" s="18">
        <v>24.47</v>
      </c>
      <c r="F6408" s="18">
        <v>12.0</v>
      </c>
    </row>
    <row r="6409">
      <c r="A6409" s="15">
        <v>7.0</v>
      </c>
      <c r="B6409" s="16" t="s">
        <v>10968</v>
      </c>
      <c r="C6409" s="17" t="s">
        <v>10969</v>
      </c>
      <c r="D6409" s="18">
        <v>35.26</v>
      </c>
      <c r="E6409" s="18">
        <v>49.37</v>
      </c>
      <c r="F6409" s="18">
        <v>12.0</v>
      </c>
    </row>
    <row r="6410">
      <c r="A6410" s="15">
        <v>8.0</v>
      </c>
      <c r="B6410" s="16" t="s">
        <v>10970</v>
      </c>
      <c r="C6410" s="17" t="s">
        <v>10971</v>
      </c>
      <c r="D6410" s="18">
        <v>108.64</v>
      </c>
      <c r="E6410" s="18">
        <v>152.1</v>
      </c>
      <c r="F6410" s="18">
        <v>12.0</v>
      </c>
    </row>
    <row r="6411">
      <c r="A6411" s="15">
        <v>9.0</v>
      </c>
      <c r="B6411" s="16" t="s">
        <v>10972</v>
      </c>
      <c r="C6411" s="17" t="s">
        <v>5562</v>
      </c>
      <c r="D6411" s="18">
        <v>160.93</v>
      </c>
      <c r="E6411" s="18">
        <v>225.3</v>
      </c>
      <c r="F6411" s="18">
        <v>12.0</v>
      </c>
    </row>
    <row r="6412">
      <c r="A6412" s="15">
        <v>10.0</v>
      </c>
      <c r="B6412" s="16" t="s">
        <v>10973</v>
      </c>
      <c r="C6412" s="17" t="s">
        <v>6363</v>
      </c>
      <c r="D6412" s="18">
        <v>70.14</v>
      </c>
      <c r="E6412" s="18">
        <v>98.2</v>
      </c>
      <c r="F6412" s="18">
        <v>12.0</v>
      </c>
    </row>
    <row r="6413">
      <c r="A6413" s="15">
        <v>11.0</v>
      </c>
      <c r="B6413" s="16" t="s">
        <v>10973</v>
      </c>
      <c r="C6413" s="17" t="s">
        <v>6803</v>
      </c>
      <c r="D6413" s="18">
        <v>19.75</v>
      </c>
      <c r="E6413" s="18">
        <v>27.1</v>
      </c>
      <c r="F6413" s="18">
        <v>12.0</v>
      </c>
    </row>
    <row r="6414">
      <c r="A6414" s="15">
        <v>12.0</v>
      </c>
      <c r="B6414" s="16" t="s">
        <v>10973</v>
      </c>
      <c r="C6414" s="17" t="s">
        <v>10974</v>
      </c>
      <c r="D6414" s="18">
        <v>123.6</v>
      </c>
      <c r="E6414" s="18">
        <v>195.0</v>
      </c>
      <c r="F6414" s="18">
        <v>18.0</v>
      </c>
    </row>
    <row r="6415">
      <c r="A6415" s="15">
        <v>13.0</v>
      </c>
      <c r="B6415" s="16" t="s">
        <v>10975</v>
      </c>
      <c r="C6415" s="17" t="s">
        <v>10976</v>
      </c>
      <c r="D6415" s="18">
        <v>285.0</v>
      </c>
      <c r="E6415" s="18">
        <v>399.0</v>
      </c>
      <c r="F6415" s="18">
        <v>12.0</v>
      </c>
    </row>
    <row r="6416">
      <c r="A6416" s="15">
        <v>14.0</v>
      </c>
      <c r="B6416" s="16" t="s">
        <v>10975</v>
      </c>
      <c r="C6416" s="17" t="s">
        <v>10977</v>
      </c>
      <c r="D6416" s="18">
        <v>271.36</v>
      </c>
      <c r="E6416" s="18">
        <v>379.9</v>
      </c>
      <c r="F6416" s="18">
        <v>12.0</v>
      </c>
    </row>
    <row r="6417">
      <c r="A6417" s="15">
        <v>15.0</v>
      </c>
      <c r="B6417" s="16" t="s">
        <v>10978</v>
      </c>
      <c r="C6417" s="17" t="s">
        <v>10207</v>
      </c>
      <c r="D6417" s="18">
        <v>34.34</v>
      </c>
      <c r="E6417" s="18">
        <v>42.38</v>
      </c>
      <c r="F6417" s="18">
        <v>5.0</v>
      </c>
    </row>
    <row r="6418">
      <c r="A6418" s="15">
        <v>16.0</v>
      </c>
      <c r="B6418" s="16" t="s">
        <v>10979</v>
      </c>
      <c r="C6418" s="17" t="s">
        <v>6339</v>
      </c>
      <c r="D6418" s="18">
        <v>20.89</v>
      </c>
      <c r="E6418" s="18">
        <v>29.25</v>
      </c>
      <c r="F6418" s="18">
        <v>12.0</v>
      </c>
    </row>
    <row r="6419">
      <c r="A6419" s="15">
        <v>17.0</v>
      </c>
      <c r="B6419" s="16" t="s">
        <v>10980</v>
      </c>
      <c r="C6419" s="17" t="s">
        <v>5562</v>
      </c>
      <c r="D6419" s="18">
        <v>107.54</v>
      </c>
      <c r="E6419" s="18">
        <v>150.55</v>
      </c>
      <c r="F6419" s="18">
        <v>12.0</v>
      </c>
    </row>
    <row r="6420">
      <c r="A6420" s="15">
        <v>18.0</v>
      </c>
      <c r="B6420" s="16" t="s">
        <v>10981</v>
      </c>
      <c r="C6420" s="17" t="s">
        <v>9118</v>
      </c>
      <c r="D6420" s="18">
        <v>22.85</v>
      </c>
      <c r="E6420" s="18">
        <v>31.4</v>
      </c>
      <c r="F6420" s="18">
        <v>12.0</v>
      </c>
    </row>
    <row r="6421">
      <c r="A6421" s="15">
        <v>19.0</v>
      </c>
      <c r="B6421" s="16" t="s">
        <v>10982</v>
      </c>
      <c r="C6421" s="17" t="s">
        <v>5747</v>
      </c>
      <c r="D6421" s="18">
        <v>24.37</v>
      </c>
      <c r="E6421" s="18">
        <v>33.8</v>
      </c>
      <c r="F6421" s="18">
        <v>12.0</v>
      </c>
    </row>
    <row r="6422">
      <c r="A6422" s="15">
        <v>20.0</v>
      </c>
      <c r="B6422" s="16" t="s">
        <v>10983</v>
      </c>
      <c r="C6422" s="17" t="s">
        <v>5636</v>
      </c>
      <c r="D6422" s="18">
        <v>66.14</v>
      </c>
      <c r="E6422" s="18">
        <v>90.85</v>
      </c>
      <c r="F6422" s="18">
        <v>12.0</v>
      </c>
    </row>
    <row r="6423">
      <c r="A6423" s="15">
        <v>21.0</v>
      </c>
      <c r="B6423" s="16" t="s">
        <v>10984</v>
      </c>
      <c r="C6423" s="17" t="s">
        <v>5536</v>
      </c>
      <c r="D6423" s="18">
        <v>84.32</v>
      </c>
      <c r="E6423" s="18">
        <v>118.05</v>
      </c>
      <c r="F6423" s="18">
        <v>12.0</v>
      </c>
    </row>
    <row r="6424">
      <c r="A6424" s="15">
        <v>22.0</v>
      </c>
      <c r="B6424" s="16" t="s">
        <v>10985</v>
      </c>
      <c r="C6424" s="17" t="s">
        <v>10986</v>
      </c>
      <c r="D6424" s="18">
        <v>151.82</v>
      </c>
      <c r="E6424" s="18">
        <v>212.55</v>
      </c>
      <c r="F6424" s="18">
        <v>12.0</v>
      </c>
    </row>
    <row r="6425">
      <c r="A6425" s="15">
        <v>23.0</v>
      </c>
      <c r="B6425" s="16" t="s">
        <v>10987</v>
      </c>
      <c r="C6425" s="17" t="s">
        <v>6811</v>
      </c>
      <c r="D6425" s="18">
        <v>131.07</v>
      </c>
      <c r="E6425" s="18">
        <v>183.5</v>
      </c>
      <c r="F6425" s="18">
        <v>12.0</v>
      </c>
    </row>
    <row r="6426">
      <c r="A6426" s="6"/>
      <c r="B6426" s="7"/>
      <c r="C6426" s="7"/>
      <c r="D6426" s="7"/>
      <c r="E6426" s="8"/>
      <c r="F6426" s="16" t="s">
        <v>10988</v>
      </c>
    </row>
    <row r="6427">
      <c r="A6427" s="6"/>
      <c r="B6427" s="7"/>
      <c r="C6427" s="7"/>
      <c r="D6427" s="7"/>
      <c r="E6427" s="7"/>
      <c r="F6427" s="8"/>
    </row>
    <row r="6428">
      <c r="A6428" s="6"/>
      <c r="B6428" s="7"/>
      <c r="C6428" s="7"/>
      <c r="D6428" s="7"/>
      <c r="E6428" s="7"/>
      <c r="F6428" s="8"/>
    </row>
    <row r="6429">
      <c r="A6429" s="6"/>
      <c r="B6429" s="7"/>
      <c r="C6429" s="7"/>
      <c r="D6429" s="7"/>
      <c r="E6429" s="7"/>
      <c r="F6429" s="8"/>
    </row>
    <row r="6430">
      <c r="A6430" s="6"/>
      <c r="B6430" s="7"/>
      <c r="C6430" s="7"/>
      <c r="D6430" s="7"/>
      <c r="E6430" s="7"/>
      <c r="F6430" s="8"/>
    </row>
    <row r="6431">
      <c r="A6431" s="9" t="s">
        <v>5582</v>
      </c>
      <c r="B6431" s="10"/>
      <c r="C6431" s="10"/>
      <c r="D6431" s="10"/>
      <c r="E6431" s="10"/>
      <c r="F6431" s="10"/>
    </row>
    <row r="6432">
      <c r="A6432" s="19" t="s">
        <v>5583</v>
      </c>
    </row>
    <row r="6433">
      <c r="A6433" s="6"/>
      <c r="B6433" s="7"/>
      <c r="C6433" s="7"/>
      <c r="D6433" s="8"/>
      <c r="E6433" s="12" t="s">
        <v>5584</v>
      </c>
      <c r="F6433" s="12" t="s">
        <v>10989</v>
      </c>
    </row>
    <row r="6434">
      <c r="A6434" s="20" t="s">
        <v>5522</v>
      </c>
      <c r="B6434" s="16" t="s">
        <v>5523</v>
      </c>
      <c r="C6434" s="16" t="s">
        <v>5524</v>
      </c>
      <c r="D6434" s="16" t="s">
        <v>5525</v>
      </c>
      <c r="E6434" s="16" t="s">
        <v>5526</v>
      </c>
      <c r="F6434" s="16" t="s">
        <v>5586</v>
      </c>
    </row>
    <row r="6435">
      <c r="A6435" s="15">
        <v>24.0</v>
      </c>
      <c r="B6435" s="16" t="s">
        <v>10990</v>
      </c>
      <c r="C6435" s="17" t="s">
        <v>5636</v>
      </c>
      <c r="D6435" s="18">
        <v>106.07</v>
      </c>
      <c r="E6435" s="18">
        <v>148.5</v>
      </c>
      <c r="F6435" s="18">
        <v>12.0</v>
      </c>
    </row>
    <row r="6436">
      <c r="A6436" s="15">
        <v>25.0</v>
      </c>
      <c r="B6436" s="16" t="s">
        <v>10991</v>
      </c>
      <c r="C6436" s="17" t="s">
        <v>5747</v>
      </c>
      <c r="D6436" s="18">
        <v>34.29</v>
      </c>
      <c r="E6436" s="18">
        <v>48.0</v>
      </c>
      <c r="F6436" s="18">
        <v>12.0</v>
      </c>
    </row>
    <row r="6437">
      <c r="A6437" s="15">
        <v>26.0</v>
      </c>
      <c r="B6437" s="16" t="s">
        <v>10992</v>
      </c>
      <c r="C6437" s="17" t="s">
        <v>6391</v>
      </c>
      <c r="D6437" s="18">
        <v>29.56</v>
      </c>
      <c r="E6437" s="18">
        <v>41.0</v>
      </c>
      <c r="F6437" s="18">
        <v>12.0</v>
      </c>
    </row>
    <row r="6438">
      <c r="A6438" s="15">
        <v>27.0</v>
      </c>
      <c r="B6438" s="16" t="s">
        <v>5251</v>
      </c>
      <c r="C6438" s="16" t="s">
        <v>5558</v>
      </c>
      <c r="D6438" s="18">
        <v>60.5</v>
      </c>
      <c r="E6438" s="18">
        <v>84.7</v>
      </c>
      <c r="F6438" s="18">
        <v>12.0</v>
      </c>
    </row>
    <row r="6439">
      <c r="A6439" s="15">
        <v>28.0</v>
      </c>
      <c r="B6439" s="16" t="s">
        <v>10993</v>
      </c>
      <c r="C6439" s="17" t="s">
        <v>10994</v>
      </c>
      <c r="D6439" s="18">
        <v>386.79</v>
      </c>
      <c r="E6439" s="18">
        <v>532.0</v>
      </c>
      <c r="F6439" s="18">
        <v>12.0</v>
      </c>
    </row>
    <row r="6440">
      <c r="A6440" s="15">
        <v>29.0</v>
      </c>
      <c r="B6440" s="16" t="s">
        <v>10995</v>
      </c>
      <c r="C6440" s="17" t="s">
        <v>5562</v>
      </c>
      <c r="D6440" s="18">
        <v>61.84</v>
      </c>
      <c r="E6440" s="18">
        <v>84.95</v>
      </c>
      <c r="F6440" s="18">
        <v>12.0</v>
      </c>
    </row>
    <row r="6441">
      <c r="A6441" s="15">
        <v>30.0</v>
      </c>
      <c r="B6441" s="16" t="s">
        <v>5254</v>
      </c>
      <c r="C6441" s="16" t="s">
        <v>5558</v>
      </c>
      <c r="D6441" s="18">
        <v>47.49</v>
      </c>
      <c r="E6441" s="18">
        <v>65.9</v>
      </c>
      <c r="F6441" s="18">
        <v>12.0</v>
      </c>
    </row>
    <row r="6442">
      <c r="A6442" s="15">
        <v>31.0</v>
      </c>
      <c r="B6442" s="16" t="s">
        <v>5255</v>
      </c>
      <c r="C6442" s="16" t="s">
        <v>5558</v>
      </c>
      <c r="D6442" s="18">
        <v>56.05</v>
      </c>
      <c r="E6442" s="18">
        <v>76.95</v>
      </c>
      <c r="F6442" s="18">
        <v>12.0</v>
      </c>
    </row>
    <row r="6443">
      <c r="A6443" s="15">
        <v>32.0</v>
      </c>
      <c r="B6443" s="16" t="s">
        <v>5256</v>
      </c>
      <c r="C6443" s="16" t="s">
        <v>5544</v>
      </c>
      <c r="D6443" s="18">
        <v>54.64</v>
      </c>
      <c r="E6443" s="18">
        <v>75.0</v>
      </c>
      <c r="F6443" s="18">
        <v>18.0</v>
      </c>
    </row>
    <row r="6444">
      <c r="A6444" s="15">
        <v>33.0</v>
      </c>
      <c r="B6444" s="16" t="s">
        <v>10996</v>
      </c>
      <c r="C6444" s="17" t="s">
        <v>10997</v>
      </c>
      <c r="D6444" s="18">
        <v>212.14</v>
      </c>
      <c r="E6444" s="18">
        <v>297.0</v>
      </c>
      <c r="F6444" s="18">
        <v>12.0</v>
      </c>
    </row>
    <row r="6445">
      <c r="A6445" s="15">
        <v>34.0</v>
      </c>
      <c r="B6445" s="16" t="s">
        <v>10998</v>
      </c>
      <c r="C6445" s="17" t="s">
        <v>10999</v>
      </c>
      <c r="D6445" s="18">
        <v>160.43</v>
      </c>
      <c r="E6445" s="18">
        <v>224.6</v>
      </c>
      <c r="F6445" s="18">
        <v>12.0</v>
      </c>
    </row>
    <row r="6446">
      <c r="A6446" s="15">
        <v>35.0</v>
      </c>
      <c r="B6446" s="16" t="s">
        <v>11000</v>
      </c>
      <c r="C6446" s="17" t="s">
        <v>5536</v>
      </c>
      <c r="D6446" s="18">
        <v>121.6</v>
      </c>
      <c r="E6446" s="18">
        <v>167.0</v>
      </c>
      <c r="F6446" s="18">
        <v>12.0</v>
      </c>
    </row>
    <row r="6447">
      <c r="A6447" s="15">
        <v>36.0</v>
      </c>
      <c r="B6447" s="16" t="s">
        <v>11001</v>
      </c>
      <c r="C6447" s="17" t="s">
        <v>5636</v>
      </c>
      <c r="D6447" s="18">
        <v>103.72</v>
      </c>
      <c r="E6447" s="18">
        <v>159.1</v>
      </c>
      <c r="F6447" s="18">
        <v>12.0</v>
      </c>
    </row>
    <row r="6448">
      <c r="A6448" s="15">
        <v>37.0</v>
      </c>
      <c r="B6448" s="16" t="s">
        <v>11002</v>
      </c>
      <c r="C6448" s="17" t="s">
        <v>5636</v>
      </c>
      <c r="D6448" s="18">
        <v>137.46</v>
      </c>
      <c r="E6448" s="18">
        <v>192.45</v>
      </c>
      <c r="F6448" s="18">
        <v>12.0</v>
      </c>
    </row>
    <row r="6449">
      <c r="A6449" s="15">
        <v>38.0</v>
      </c>
      <c r="B6449" s="16" t="s">
        <v>11003</v>
      </c>
      <c r="C6449" s="17" t="s">
        <v>5636</v>
      </c>
      <c r="D6449" s="18">
        <v>156.1</v>
      </c>
      <c r="E6449" s="18">
        <v>218.55</v>
      </c>
      <c r="F6449" s="18">
        <v>12.0</v>
      </c>
    </row>
    <row r="6450">
      <c r="A6450" s="15">
        <v>39.0</v>
      </c>
      <c r="B6450" s="16" t="s">
        <v>11004</v>
      </c>
      <c r="C6450" s="16" t="s">
        <v>6854</v>
      </c>
      <c r="D6450" s="18">
        <v>42.95</v>
      </c>
      <c r="E6450" s="18">
        <v>59.0</v>
      </c>
      <c r="F6450" s="18">
        <v>12.0</v>
      </c>
    </row>
    <row r="6451">
      <c r="A6451" s="15">
        <v>40.0</v>
      </c>
      <c r="B6451" s="16" t="s">
        <v>11005</v>
      </c>
      <c r="C6451" s="17" t="s">
        <v>5636</v>
      </c>
      <c r="D6451" s="18">
        <v>64.6</v>
      </c>
      <c r="E6451" s="18">
        <v>88.7</v>
      </c>
      <c r="F6451" s="18">
        <v>12.0</v>
      </c>
    </row>
    <row r="6452">
      <c r="A6452" s="6"/>
      <c r="B6452" s="7"/>
      <c r="C6452" s="7"/>
      <c r="D6452" s="7"/>
      <c r="E6452" s="7"/>
      <c r="F6452" s="8"/>
    </row>
    <row r="6453">
      <c r="A6453" s="9" t="s">
        <v>11006</v>
      </c>
      <c r="B6453" s="10"/>
      <c r="C6453" s="10"/>
      <c r="D6453" s="10"/>
      <c r="E6453" s="10"/>
      <c r="F6453" s="10"/>
    </row>
    <row r="6454">
      <c r="A6454" s="11">
        <v>1.0</v>
      </c>
      <c r="B6454" s="12" t="s">
        <v>11007</v>
      </c>
      <c r="C6454" s="13" t="s">
        <v>11008</v>
      </c>
      <c r="D6454" s="14">
        <v>59.5</v>
      </c>
      <c r="E6454" s="14">
        <v>83.3</v>
      </c>
      <c r="F6454" s="14">
        <v>12.0</v>
      </c>
    </row>
    <row r="6455">
      <c r="A6455" s="15">
        <v>2.0</v>
      </c>
      <c r="B6455" s="16" t="s">
        <v>11009</v>
      </c>
      <c r="C6455" s="17" t="s">
        <v>11010</v>
      </c>
      <c r="D6455" s="18">
        <v>130.59</v>
      </c>
      <c r="E6455" s="18">
        <v>182.83</v>
      </c>
      <c r="F6455" s="18">
        <v>12.0</v>
      </c>
    </row>
    <row r="6456">
      <c r="A6456" s="15">
        <v>3.0</v>
      </c>
      <c r="B6456" s="16" t="s">
        <v>11011</v>
      </c>
      <c r="C6456" s="17" t="s">
        <v>5707</v>
      </c>
      <c r="D6456" s="18">
        <v>56.9</v>
      </c>
      <c r="E6456" s="18">
        <v>79.65</v>
      </c>
      <c r="F6456" s="18">
        <v>12.0</v>
      </c>
    </row>
    <row r="6457">
      <c r="A6457" s="15">
        <v>4.0</v>
      </c>
      <c r="B6457" s="16" t="s">
        <v>11012</v>
      </c>
      <c r="C6457" s="17" t="s">
        <v>8494</v>
      </c>
      <c r="D6457" s="18">
        <v>106.93</v>
      </c>
      <c r="E6457" s="18">
        <v>149.7</v>
      </c>
      <c r="F6457" s="18">
        <v>12.0</v>
      </c>
    </row>
    <row r="6458">
      <c r="A6458" s="15">
        <v>5.0</v>
      </c>
      <c r="B6458" s="16" t="s">
        <v>11013</v>
      </c>
      <c r="C6458" s="17" t="s">
        <v>6391</v>
      </c>
      <c r="D6458" s="18">
        <v>42.43</v>
      </c>
      <c r="E6458" s="18">
        <v>59.41</v>
      </c>
      <c r="F6458" s="18">
        <v>12.0</v>
      </c>
    </row>
    <row r="6459">
      <c r="A6459" s="15">
        <v>6.0</v>
      </c>
      <c r="B6459" s="16" t="s">
        <v>11014</v>
      </c>
      <c r="C6459" s="16" t="s">
        <v>6399</v>
      </c>
      <c r="D6459" s="18">
        <v>28.86</v>
      </c>
      <c r="E6459" s="18">
        <v>40.4</v>
      </c>
      <c r="F6459" s="18">
        <v>12.0</v>
      </c>
    </row>
    <row r="6460">
      <c r="A6460" s="15">
        <v>7.0</v>
      </c>
      <c r="B6460" s="16" t="s">
        <v>11015</v>
      </c>
      <c r="C6460" s="17" t="s">
        <v>11016</v>
      </c>
      <c r="D6460" s="18">
        <v>71.43</v>
      </c>
      <c r="E6460" s="18">
        <v>100.0</v>
      </c>
      <c r="F6460" s="18">
        <v>12.0</v>
      </c>
    </row>
    <row r="6461">
      <c r="A6461" s="15">
        <v>8.0</v>
      </c>
      <c r="B6461" s="16" t="s">
        <v>11017</v>
      </c>
      <c r="C6461" s="16" t="s">
        <v>6176</v>
      </c>
      <c r="D6461" s="18">
        <v>93.97</v>
      </c>
      <c r="E6461" s="18">
        <v>131.55</v>
      </c>
      <c r="F6461" s="18">
        <v>12.0</v>
      </c>
    </row>
    <row r="6462">
      <c r="A6462" s="15">
        <v>9.0</v>
      </c>
      <c r="B6462" s="16" t="s">
        <v>11018</v>
      </c>
      <c r="C6462" s="17" t="s">
        <v>5859</v>
      </c>
      <c r="D6462" s="18">
        <v>61.02</v>
      </c>
      <c r="E6462" s="18">
        <v>90.0</v>
      </c>
      <c r="F6462" s="18">
        <v>18.0</v>
      </c>
    </row>
    <row r="6463">
      <c r="A6463" s="15">
        <v>10.0</v>
      </c>
      <c r="B6463" s="16" t="s">
        <v>11018</v>
      </c>
      <c r="C6463" s="17" t="s">
        <v>5636</v>
      </c>
      <c r="D6463" s="18">
        <v>96.43</v>
      </c>
      <c r="E6463" s="18">
        <v>135.0</v>
      </c>
      <c r="F6463" s="18">
        <v>12.0</v>
      </c>
    </row>
    <row r="6464">
      <c r="A6464" s="15">
        <v>11.0</v>
      </c>
      <c r="B6464" s="16" t="s">
        <v>11019</v>
      </c>
      <c r="C6464" s="17" t="s">
        <v>5546</v>
      </c>
      <c r="D6464" s="18">
        <v>36.86</v>
      </c>
      <c r="E6464" s="18">
        <v>51.6</v>
      </c>
      <c r="F6464" s="18">
        <v>12.0</v>
      </c>
    </row>
    <row r="6465">
      <c r="A6465" s="15">
        <v>12.0</v>
      </c>
      <c r="B6465" s="16" t="s">
        <v>11020</v>
      </c>
      <c r="C6465" s="17" t="s">
        <v>5603</v>
      </c>
      <c r="D6465" s="18">
        <v>65.0</v>
      </c>
      <c r="E6465" s="18">
        <v>91.0</v>
      </c>
      <c r="F6465" s="18">
        <v>12.0</v>
      </c>
    </row>
    <row r="6466">
      <c r="A6466" s="15">
        <v>13.0</v>
      </c>
      <c r="B6466" s="16" t="s">
        <v>11021</v>
      </c>
      <c r="C6466" s="17" t="s">
        <v>5603</v>
      </c>
      <c r="D6466" s="18">
        <v>101.32</v>
      </c>
      <c r="E6466" s="18">
        <v>141.85</v>
      </c>
      <c r="F6466" s="18">
        <v>12.0</v>
      </c>
    </row>
    <row r="6467">
      <c r="A6467" s="15">
        <v>14.0</v>
      </c>
      <c r="B6467" s="16" t="s">
        <v>11022</v>
      </c>
      <c r="C6467" s="17" t="s">
        <v>5536</v>
      </c>
      <c r="D6467" s="18">
        <v>99.54</v>
      </c>
      <c r="E6467" s="18">
        <v>139.35</v>
      </c>
      <c r="F6467" s="18">
        <v>12.0</v>
      </c>
    </row>
    <row r="6468">
      <c r="A6468" s="15">
        <v>15.0</v>
      </c>
      <c r="B6468" s="16" t="s">
        <v>5280</v>
      </c>
      <c r="C6468" s="16" t="s">
        <v>5544</v>
      </c>
      <c r="D6468" s="18">
        <v>113.07</v>
      </c>
      <c r="E6468" s="18">
        <v>131.1</v>
      </c>
      <c r="F6468" s="18">
        <v>12.0</v>
      </c>
    </row>
    <row r="6469">
      <c r="A6469" s="15">
        <v>16.0</v>
      </c>
      <c r="B6469" s="16" t="s">
        <v>5281</v>
      </c>
      <c r="C6469" s="16" t="s">
        <v>5558</v>
      </c>
      <c r="D6469" s="18">
        <v>54.64</v>
      </c>
      <c r="E6469" s="18">
        <v>76.5</v>
      </c>
      <c r="F6469" s="18">
        <v>12.0</v>
      </c>
    </row>
    <row r="6470">
      <c r="A6470" s="15">
        <v>17.0</v>
      </c>
      <c r="B6470" s="16" t="s">
        <v>5281</v>
      </c>
      <c r="C6470" s="16" t="s">
        <v>5544</v>
      </c>
      <c r="D6470" s="18">
        <v>81.97</v>
      </c>
      <c r="E6470" s="18">
        <v>114.75</v>
      </c>
      <c r="F6470" s="18">
        <v>12.0</v>
      </c>
    </row>
    <row r="6471">
      <c r="A6471" s="15">
        <v>18.0</v>
      </c>
      <c r="B6471" s="16" t="s">
        <v>11023</v>
      </c>
      <c r="C6471" s="17" t="s">
        <v>5536</v>
      </c>
      <c r="D6471" s="18">
        <v>52.25</v>
      </c>
      <c r="E6471" s="18">
        <v>72.5</v>
      </c>
      <c r="F6471" s="18">
        <v>12.0</v>
      </c>
    </row>
    <row r="6472">
      <c r="A6472" s="15">
        <v>19.0</v>
      </c>
      <c r="B6472" s="16" t="s">
        <v>11024</v>
      </c>
      <c r="C6472" s="17" t="s">
        <v>5536</v>
      </c>
      <c r="D6472" s="18">
        <v>70.07</v>
      </c>
      <c r="E6472" s="18">
        <v>98.1</v>
      </c>
      <c r="F6472" s="18">
        <v>12.0</v>
      </c>
    </row>
    <row r="6473">
      <c r="A6473" s="15">
        <v>20.0</v>
      </c>
      <c r="B6473" s="16" t="s">
        <v>11025</v>
      </c>
      <c r="C6473" s="17" t="s">
        <v>5636</v>
      </c>
      <c r="D6473" s="18">
        <v>106.57</v>
      </c>
      <c r="E6473" s="18">
        <v>149.2</v>
      </c>
      <c r="F6473" s="18">
        <v>12.0</v>
      </c>
    </row>
    <row r="6474">
      <c r="A6474" s="15">
        <v>21.0</v>
      </c>
      <c r="B6474" s="16" t="s">
        <v>11026</v>
      </c>
      <c r="C6474" s="17" t="s">
        <v>7213</v>
      </c>
      <c r="D6474" s="18">
        <v>134.32</v>
      </c>
      <c r="E6474" s="18">
        <v>188.05</v>
      </c>
      <c r="F6474" s="18">
        <v>12.0</v>
      </c>
    </row>
    <row r="6475">
      <c r="A6475" s="15">
        <v>22.0</v>
      </c>
      <c r="B6475" s="16" t="s">
        <v>11027</v>
      </c>
      <c r="C6475" s="17" t="s">
        <v>5546</v>
      </c>
      <c r="D6475" s="18">
        <v>133.68</v>
      </c>
      <c r="E6475" s="18">
        <v>187.15</v>
      </c>
      <c r="F6475" s="18">
        <v>12.0</v>
      </c>
    </row>
    <row r="6476">
      <c r="A6476" s="15">
        <v>23.0</v>
      </c>
      <c r="B6476" s="16" t="s">
        <v>11028</v>
      </c>
      <c r="C6476" s="17" t="s">
        <v>5636</v>
      </c>
      <c r="D6476" s="18">
        <v>98.5</v>
      </c>
      <c r="E6476" s="18">
        <v>137.9</v>
      </c>
      <c r="F6476" s="18">
        <v>12.0</v>
      </c>
    </row>
    <row r="6477">
      <c r="A6477" s="15">
        <v>24.0</v>
      </c>
      <c r="B6477" s="16" t="s">
        <v>11029</v>
      </c>
      <c r="C6477" s="17" t="s">
        <v>5636</v>
      </c>
      <c r="D6477" s="18">
        <v>105.43</v>
      </c>
      <c r="E6477" s="18">
        <v>147.6</v>
      </c>
      <c r="F6477" s="18">
        <v>12.0</v>
      </c>
    </row>
    <row r="6478">
      <c r="A6478" s="15">
        <v>25.0</v>
      </c>
      <c r="B6478" s="16" t="s">
        <v>11030</v>
      </c>
      <c r="C6478" s="17" t="s">
        <v>6803</v>
      </c>
      <c r="D6478" s="18">
        <v>67.07</v>
      </c>
      <c r="E6478" s="18">
        <v>93.9</v>
      </c>
      <c r="F6478" s="18">
        <v>12.0</v>
      </c>
    </row>
    <row r="6479">
      <c r="A6479" s="15">
        <v>26.0</v>
      </c>
      <c r="B6479" s="16" t="s">
        <v>11030</v>
      </c>
      <c r="C6479" s="17" t="s">
        <v>11031</v>
      </c>
      <c r="D6479" s="18">
        <v>110.5</v>
      </c>
      <c r="E6479" s="18">
        <v>154.7</v>
      </c>
      <c r="F6479" s="18">
        <v>12.0</v>
      </c>
    </row>
    <row r="6480">
      <c r="A6480" s="15">
        <v>27.0</v>
      </c>
      <c r="B6480" s="16" t="s">
        <v>11030</v>
      </c>
      <c r="C6480" s="17" t="s">
        <v>5636</v>
      </c>
      <c r="D6480" s="18">
        <v>88.29</v>
      </c>
      <c r="E6480" s="18">
        <v>123.6</v>
      </c>
      <c r="F6480" s="18">
        <v>12.0</v>
      </c>
    </row>
    <row r="6481">
      <c r="A6481" s="15">
        <v>28.0</v>
      </c>
      <c r="B6481" s="16" t="s">
        <v>11032</v>
      </c>
      <c r="C6481" s="17" t="s">
        <v>11033</v>
      </c>
      <c r="D6481" s="18">
        <v>271.18</v>
      </c>
      <c r="E6481" s="18">
        <v>400.0</v>
      </c>
      <c r="F6481" s="18">
        <v>18.0</v>
      </c>
    </row>
    <row r="6482">
      <c r="A6482" s="15">
        <v>29.0</v>
      </c>
      <c r="B6482" s="16" t="s">
        <v>11034</v>
      </c>
      <c r="C6482" s="17" t="s">
        <v>11035</v>
      </c>
      <c r="D6482" s="18">
        <v>103.05</v>
      </c>
      <c r="E6482" s="18">
        <v>152.0</v>
      </c>
      <c r="F6482" s="18">
        <v>18.0</v>
      </c>
    </row>
    <row r="6483">
      <c r="A6483" s="15">
        <v>30.0</v>
      </c>
      <c r="B6483" s="16" t="s">
        <v>11036</v>
      </c>
      <c r="C6483" s="17" t="s">
        <v>6305</v>
      </c>
      <c r="D6483" s="18">
        <v>103.25</v>
      </c>
      <c r="E6483" s="18">
        <v>144.55</v>
      </c>
      <c r="F6483" s="18">
        <v>12.0</v>
      </c>
    </row>
    <row r="6484">
      <c r="A6484" s="15">
        <v>31.0</v>
      </c>
      <c r="B6484" s="16" t="s">
        <v>5295</v>
      </c>
      <c r="C6484" s="16" t="s">
        <v>8083</v>
      </c>
      <c r="D6484" s="18">
        <v>311.43</v>
      </c>
      <c r="E6484" s="18">
        <v>436.0</v>
      </c>
      <c r="F6484" s="18">
        <v>12.0</v>
      </c>
    </row>
    <row r="6485">
      <c r="A6485" s="15">
        <v>32.0</v>
      </c>
      <c r="B6485" s="16" t="s">
        <v>11037</v>
      </c>
      <c r="C6485" s="17" t="s">
        <v>5636</v>
      </c>
      <c r="D6485" s="18">
        <v>42.39</v>
      </c>
      <c r="E6485" s="18">
        <v>59.35</v>
      </c>
      <c r="F6485" s="18">
        <v>12.0</v>
      </c>
    </row>
    <row r="6486">
      <c r="A6486" s="15">
        <v>33.0</v>
      </c>
      <c r="B6486" s="16" t="s">
        <v>11038</v>
      </c>
      <c r="C6486" s="16" t="s">
        <v>6399</v>
      </c>
      <c r="D6486" s="18">
        <v>49.29</v>
      </c>
      <c r="E6486" s="18">
        <v>69.0</v>
      </c>
      <c r="F6486" s="18">
        <v>12.0</v>
      </c>
    </row>
    <row r="6487">
      <c r="A6487" s="15">
        <v>34.0</v>
      </c>
      <c r="B6487" s="16" t="s">
        <v>11039</v>
      </c>
      <c r="C6487" s="17" t="s">
        <v>11040</v>
      </c>
      <c r="D6487" s="18">
        <v>78.58</v>
      </c>
      <c r="E6487" s="18">
        <v>110.0</v>
      </c>
      <c r="F6487" s="18">
        <v>12.0</v>
      </c>
    </row>
    <row r="6488">
      <c r="A6488" s="15">
        <v>35.0</v>
      </c>
      <c r="B6488" s="16" t="s">
        <v>11041</v>
      </c>
      <c r="C6488" s="17" t="s">
        <v>5804</v>
      </c>
      <c r="D6488" s="18">
        <v>60.64</v>
      </c>
      <c r="E6488" s="18">
        <v>70.3</v>
      </c>
      <c r="F6488" s="18">
        <v>12.0</v>
      </c>
    </row>
    <row r="6489">
      <c r="A6489" s="15">
        <v>36.0</v>
      </c>
      <c r="B6489" s="16" t="s">
        <v>11042</v>
      </c>
      <c r="C6489" s="17" t="s">
        <v>8070</v>
      </c>
      <c r="D6489" s="18">
        <v>55.9</v>
      </c>
      <c r="E6489" s="18">
        <v>78.25</v>
      </c>
      <c r="F6489" s="18">
        <v>12.0</v>
      </c>
    </row>
    <row r="6490">
      <c r="A6490" s="15">
        <v>37.0</v>
      </c>
      <c r="B6490" s="16" t="s">
        <v>11042</v>
      </c>
      <c r="C6490" s="17" t="s">
        <v>7672</v>
      </c>
      <c r="D6490" s="18">
        <v>58.71</v>
      </c>
      <c r="E6490" s="18">
        <v>82.2</v>
      </c>
      <c r="F6490" s="18">
        <v>12.0</v>
      </c>
    </row>
    <row r="6491">
      <c r="A6491" s="15">
        <v>38.0</v>
      </c>
      <c r="B6491" s="16" t="s">
        <v>11042</v>
      </c>
      <c r="C6491" s="17" t="s">
        <v>5636</v>
      </c>
      <c r="D6491" s="18">
        <v>26.14</v>
      </c>
      <c r="E6491" s="18">
        <v>36.6</v>
      </c>
      <c r="F6491" s="18">
        <v>12.0</v>
      </c>
    </row>
    <row r="6492">
      <c r="A6492" s="15">
        <v>39.0</v>
      </c>
      <c r="B6492" s="16" t="s">
        <v>11039</v>
      </c>
      <c r="C6492" s="17" t="s">
        <v>5804</v>
      </c>
      <c r="D6492" s="18">
        <v>51.71</v>
      </c>
      <c r="E6492" s="18">
        <v>72.4</v>
      </c>
      <c r="F6492" s="18">
        <v>12.0</v>
      </c>
    </row>
    <row r="6493">
      <c r="A6493" s="15">
        <v>40.0</v>
      </c>
      <c r="B6493" s="16" t="s">
        <v>5304</v>
      </c>
      <c r="C6493" s="16" t="s">
        <v>5558</v>
      </c>
      <c r="D6493" s="18">
        <v>21.68</v>
      </c>
      <c r="E6493" s="18">
        <v>30.35</v>
      </c>
      <c r="F6493" s="18">
        <v>12.0</v>
      </c>
    </row>
    <row r="6494">
      <c r="A6494" s="15">
        <v>41.0</v>
      </c>
      <c r="B6494" s="16" t="s">
        <v>11043</v>
      </c>
      <c r="C6494" s="17" t="s">
        <v>6456</v>
      </c>
      <c r="D6494" s="18">
        <v>56.43</v>
      </c>
      <c r="E6494" s="18">
        <v>79.0</v>
      </c>
      <c r="F6494" s="18">
        <v>12.0</v>
      </c>
    </row>
    <row r="6495">
      <c r="A6495" s="15">
        <v>42.0</v>
      </c>
      <c r="B6495" s="16" t="s">
        <v>11044</v>
      </c>
      <c r="C6495" s="17" t="s">
        <v>11045</v>
      </c>
      <c r="D6495" s="18">
        <v>508.3</v>
      </c>
      <c r="E6495" s="18">
        <v>698.0</v>
      </c>
      <c r="F6495" s="18">
        <v>12.0</v>
      </c>
    </row>
    <row r="6496">
      <c r="A6496" s="6"/>
      <c r="B6496" s="7"/>
      <c r="C6496" s="7"/>
      <c r="D6496" s="7"/>
      <c r="E6496" s="8"/>
      <c r="F6496" s="16" t="s">
        <v>11046</v>
      </c>
    </row>
    <row r="6497">
      <c r="A6497" s="6"/>
      <c r="B6497" s="7"/>
      <c r="C6497" s="7"/>
      <c r="D6497" s="7"/>
      <c r="E6497" s="7"/>
      <c r="F6497" s="8"/>
    </row>
    <row r="6498">
      <c r="A6498" s="6"/>
      <c r="B6498" s="7"/>
      <c r="C6498" s="7"/>
      <c r="D6498" s="7"/>
      <c r="E6498" s="7"/>
      <c r="F6498" s="8"/>
    </row>
    <row r="6499">
      <c r="A6499" s="6"/>
      <c r="B6499" s="7"/>
      <c r="C6499" s="7"/>
      <c r="D6499" s="7"/>
      <c r="E6499" s="7"/>
      <c r="F6499" s="8"/>
    </row>
    <row r="6500">
      <c r="A6500" s="6"/>
      <c r="B6500" s="7"/>
      <c r="C6500" s="7"/>
      <c r="D6500" s="7"/>
      <c r="E6500" s="7"/>
      <c r="F6500" s="8"/>
    </row>
    <row r="6501">
      <c r="A6501" s="9" t="s">
        <v>5582</v>
      </c>
      <c r="B6501" s="10"/>
      <c r="C6501" s="10"/>
      <c r="D6501" s="10"/>
      <c r="E6501" s="10"/>
      <c r="F6501" s="10"/>
    </row>
    <row r="6502">
      <c r="A6502" s="19" t="s">
        <v>5583</v>
      </c>
    </row>
    <row r="6503">
      <c r="A6503" s="6"/>
      <c r="B6503" s="7"/>
      <c r="C6503" s="7"/>
      <c r="D6503" s="8"/>
      <c r="E6503" s="12" t="s">
        <v>5584</v>
      </c>
      <c r="F6503" s="12" t="s">
        <v>11047</v>
      </c>
    </row>
    <row r="6504">
      <c r="A6504" s="20" t="s">
        <v>5522</v>
      </c>
      <c r="B6504" s="16" t="s">
        <v>5523</v>
      </c>
      <c r="C6504" s="16" t="s">
        <v>5524</v>
      </c>
      <c r="D6504" s="16" t="s">
        <v>5525</v>
      </c>
      <c r="E6504" s="16" t="s">
        <v>5526</v>
      </c>
      <c r="F6504" s="16" t="s">
        <v>5586</v>
      </c>
    </row>
    <row r="6505">
      <c r="A6505" s="15">
        <v>43.0</v>
      </c>
      <c r="B6505" s="16" t="s">
        <v>11048</v>
      </c>
      <c r="C6505" s="17" t="s">
        <v>11049</v>
      </c>
      <c r="D6505" s="18">
        <v>20.2</v>
      </c>
      <c r="E6505" s="18">
        <v>28.0</v>
      </c>
      <c r="F6505" s="18">
        <v>12.0</v>
      </c>
    </row>
    <row r="6506">
      <c r="A6506" s="15">
        <v>44.0</v>
      </c>
      <c r="B6506" s="16" t="s">
        <v>11050</v>
      </c>
      <c r="C6506" s="17" t="s">
        <v>11051</v>
      </c>
      <c r="D6506" s="18">
        <v>35.32</v>
      </c>
      <c r="E6506" s="18">
        <v>49.0</v>
      </c>
      <c r="F6506" s="18">
        <v>12.0</v>
      </c>
    </row>
    <row r="6507">
      <c r="A6507" s="15">
        <v>45.0</v>
      </c>
      <c r="B6507" s="16" t="s">
        <v>11052</v>
      </c>
      <c r="C6507" s="17" t="s">
        <v>5536</v>
      </c>
      <c r="D6507" s="18">
        <v>36.49</v>
      </c>
      <c r="E6507" s="18">
        <v>50.1</v>
      </c>
      <c r="F6507" s="18">
        <v>12.0</v>
      </c>
    </row>
    <row r="6508">
      <c r="A6508" s="15">
        <v>46.0</v>
      </c>
      <c r="B6508" s="16" t="s">
        <v>11052</v>
      </c>
      <c r="C6508" s="17" t="s">
        <v>5546</v>
      </c>
      <c r="D6508" s="18">
        <v>71.07</v>
      </c>
      <c r="E6508" s="18">
        <v>99.5</v>
      </c>
      <c r="F6508" s="18">
        <v>12.0</v>
      </c>
    </row>
    <row r="6509">
      <c r="A6509" s="15">
        <v>47.0</v>
      </c>
      <c r="B6509" s="16" t="s">
        <v>11053</v>
      </c>
      <c r="C6509" s="17" t="s">
        <v>5536</v>
      </c>
      <c r="D6509" s="18">
        <v>77.86</v>
      </c>
      <c r="E6509" s="18">
        <v>109.0</v>
      </c>
      <c r="F6509" s="18">
        <v>12.0</v>
      </c>
    </row>
    <row r="6510">
      <c r="A6510" s="15">
        <v>48.0</v>
      </c>
      <c r="B6510" s="16" t="s">
        <v>11054</v>
      </c>
      <c r="C6510" s="17" t="s">
        <v>10254</v>
      </c>
      <c r="D6510" s="18">
        <v>122.43</v>
      </c>
      <c r="E6510" s="18">
        <v>171.4</v>
      </c>
      <c r="F6510" s="18">
        <v>12.0</v>
      </c>
    </row>
    <row r="6511">
      <c r="A6511" s="15">
        <v>49.0</v>
      </c>
      <c r="B6511" s="16" t="s">
        <v>11055</v>
      </c>
      <c r="C6511" s="17" t="s">
        <v>5562</v>
      </c>
      <c r="D6511" s="18">
        <v>142.32</v>
      </c>
      <c r="E6511" s="18">
        <v>199.25</v>
      </c>
      <c r="F6511" s="18">
        <v>12.0</v>
      </c>
    </row>
    <row r="6512">
      <c r="A6512" s="15">
        <v>50.0</v>
      </c>
      <c r="B6512" s="16" t="s">
        <v>11056</v>
      </c>
      <c r="C6512" s="17" t="s">
        <v>7768</v>
      </c>
      <c r="D6512" s="18">
        <v>60.71</v>
      </c>
      <c r="E6512" s="18">
        <v>85.0</v>
      </c>
      <c r="F6512" s="18">
        <v>12.0</v>
      </c>
    </row>
    <row r="6513">
      <c r="A6513" s="15">
        <v>51.0</v>
      </c>
      <c r="B6513" s="16" t="s">
        <v>11057</v>
      </c>
      <c r="C6513" s="17" t="s">
        <v>5802</v>
      </c>
      <c r="D6513" s="18">
        <v>57.91</v>
      </c>
      <c r="E6513" s="18">
        <v>79.55</v>
      </c>
      <c r="F6513" s="18">
        <v>12.0</v>
      </c>
    </row>
    <row r="6514">
      <c r="A6514" s="15">
        <v>52.0</v>
      </c>
      <c r="B6514" s="16" t="s">
        <v>11058</v>
      </c>
      <c r="C6514" s="17" t="s">
        <v>5768</v>
      </c>
      <c r="D6514" s="18">
        <v>44.78</v>
      </c>
      <c r="E6514" s="18">
        <v>61.5</v>
      </c>
      <c r="F6514" s="18">
        <v>12.0</v>
      </c>
    </row>
    <row r="6515">
      <c r="A6515" s="15">
        <v>53.0</v>
      </c>
      <c r="B6515" s="16" t="s">
        <v>11059</v>
      </c>
      <c r="C6515" s="17" t="s">
        <v>11060</v>
      </c>
      <c r="D6515" s="18">
        <v>51.0</v>
      </c>
      <c r="E6515" s="18">
        <v>71.4</v>
      </c>
      <c r="F6515" s="18">
        <v>12.0</v>
      </c>
    </row>
    <row r="6516">
      <c r="A6516" s="15">
        <v>54.0</v>
      </c>
      <c r="B6516" s="16" t="s">
        <v>11061</v>
      </c>
      <c r="C6516" s="17" t="s">
        <v>5768</v>
      </c>
      <c r="D6516" s="18">
        <v>49.72</v>
      </c>
      <c r="E6516" s="18">
        <v>69.0</v>
      </c>
      <c r="F6516" s="18">
        <v>12.0</v>
      </c>
    </row>
    <row r="6517">
      <c r="A6517" s="15">
        <v>55.0</v>
      </c>
      <c r="B6517" s="16" t="s">
        <v>11059</v>
      </c>
      <c r="C6517" s="17" t="s">
        <v>5768</v>
      </c>
      <c r="D6517" s="18">
        <v>57.16</v>
      </c>
      <c r="E6517" s="18">
        <v>80.02</v>
      </c>
      <c r="F6517" s="18">
        <v>12.0</v>
      </c>
    </row>
    <row r="6518">
      <c r="A6518" s="15">
        <v>56.0</v>
      </c>
      <c r="B6518" s="16" t="s">
        <v>11062</v>
      </c>
      <c r="C6518" s="17" t="s">
        <v>5636</v>
      </c>
      <c r="D6518" s="18">
        <v>164.07</v>
      </c>
      <c r="E6518" s="18">
        <v>229.78</v>
      </c>
      <c r="F6518" s="18">
        <v>12.0</v>
      </c>
    </row>
    <row r="6519">
      <c r="A6519" s="15">
        <v>57.0</v>
      </c>
      <c r="B6519" s="16" t="s">
        <v>5320</v>
      </c>
      <c r="C6519" s="16" t="s">
        <v>5558</v>
      </c>
      <c r="D6519" s="18">
        <v>58.95</v>
      </c>
      <c r="E6519" s="18">
        <v>80.95</v>
      </c>
      <c r="F6519" s="18">
        <v>12.0</v>
      </c>
    </row>
    <row r="6520">
      <c r="A6520" s="15">
        <v>58.0</v>
      </c>
      <c r="B6520" s="16" t="s">
        <v>11063</v>
      </c>
      <c r="C6520" s="17" t="s">
        <v>11064</v>
      </c>
      <c r="D6520" s="18">
        <v>25.9</v>
      </c>
      <c r="E6520" s="18">
        <v>36.25</v>
      </c>
      <c r="F6520" s="18">
        <v>12.0</v>
      </c>
    </row>
    <row r="6521">
      <c r="A6521" s="15">
        <v>59.0</v>
      </c>
      <c r="B6521" s="16" t="s">
        <v>11063</v>
      </c>
      <c r="C6521" s="17" t="s">
        <v>7548</v>
      </c>
      <c r="D6521" s="18">
        <v>54.14</v>
      </c>
      <c r="E6521" s="18">
        <v>75.8</v>
      </c>
      <c r="F6521" s="18">
        <v>12.0</v>
      </c>
    </row>
    <row r="6522">
      <c r="A6522" s="15">
        <v>60.0</v>
      </c>
      <c r="B6522" s="16" t="s">
        <v>11063</v>
      </c>
      <c r="C6522" s="17" t="s">
        <v>10204</v>
      </c>
      <c r="D6522" s="18">
        <v>26.22</v>
      </c>
      <c r="E6522" s="18">
        <v>36.7</v>
      </c>
      <c r="F6522" s="18">
        <v>12.0</v>
      </c>
    </row>
    <row r="6523">
      <c r="A6523" s="15">
        <v>61.0</v>
      </c>
      <c r="B6523" s="16" t="s">
        <v>11063</v>
      </c>
      <c r="C6523" s="17" t="s">
        <v>11065</v>
      </c>
      <c r="D6523" s="18">
        <v>78.35</v>
      </c>
      <c r="E6523" s="18">
        <v>109.69</v>
      </c>
      <c r="F6523" s="18">
        <v>12.0</v>
      </c>
    </row>
    <row r="6524">
      <c r="A6524" s="15">
        <v>62.0</v>
      </c>
      <c r="B6524" s="16" t="s">
        <v>11066</v>
      </c>
      <c r="C6524" s="17" t="s">
        <v>5562</v>
      </c>
      <c r="D6524" s="18">
        <v>75.68</v>
      </c>
      <c r="E6524" s="18">
        <v>105.0</v>
      </c>
      <c r="F6524" s="18">
        <v>12.0</v>
      </c>
    </row>
    <row r="6525">
      <c r="A6525" s="15">
        <v>63.0</v>
      </c>
      <c r="B6525" s="16" t="s">
        <v>11067</v>
      </c>
      <c r="C6525" s="17" t="s">
        <v>5636</v>
      </c>
      <c r="D6525" s="18">
        <v>39.32</v>
      </c>
      <c r="E6525" s="18">
        <v>55.05</v>
      </c>
      <c r="F6525" s="18">
        <v>12.0</v>
      </c>
    </row>
    <row r="6526">
      <c r="A6526" s="15">
        <v>64.0</v>
      </c>
      <c r="B6526" s="16" t="s">
        <v>11068</v>
      </c>
      <c r="C6526" s="17" t="s">
        <v>5768</v>
      </c>
      <c r="D6526" s="18">
        <v>62.61</v>
      </c>
      <c r="E6526" s="18">
        <v>87.65</v>
      </c>
      <c r="F6526" s="18">
        <v>12.0</v>
      </c>
    </row>
    <row r="6527">
      <c r="A6527" s="15">
        <v>65.0</v>
      </c>
      <c r="B6527" s="16" t="s">
        <v>11069</v>
      </c>
      <c r="C6527" s="17" t="s">
        <v>5618</v>
      </c>
      <c r="D6527" s="18">
        <v>202.5</v>
      </c>
      <c r="E6527" s="18">
        <v>283.5</v>
      </c>
      <c r="F6527" s="18">
        <v>12.0</v>
      </c>
    </row>
    <row r="6528">
      <c r="A6528" s="15">
        <v>66.0</v>
      </c>
      <c r="B6528" s="16" t="s">
        <v>11070</v>
      </c>
      <c r="C6528" s="17" t="s">
        <v>7722</v>
      </c>
      <c r="D6528" s="18">
        <v>123.42</v>
      </c>
      <c r="E6528" s="18">
        <v>169.45</v>
      </c>
      <c r="F6528" s="18">
        <v>12.0</v>
      </c>
    </row>
    <row r="6529">
      <c r="A6529" s="15">
        <v>67.0</v>
      </c>
      <c r="B6529" s="16" t="s">
        <v>11071</v>
      </c>
      <c r="C6529" s="17" t="s">
        <v>7722</v>
      </c>
      <c r="D6529" s="18">
        <v>0.0</v>
      </c>
      <c r="E6529" s="18">
        <v>0.0</v>
      </c>
      <c r="F6529" s="18">
        <v>0.0</v>
      </c>
    </row>
    <row r="6530">
      <c r="A6530" s="15">
        <v>68.0</v>
      </c>
      <c r="B6530" s="16" t="s">
        <v>11072</v>
      </c>
      <c r="C6530" s="17" t="s">
        <v>11073</v>
      </c>
      <c r="D6530" s="18">
        <v>120.0</v>
      </c>
      <c r="E6530" s="18">
        <v>168.0</v>
      </c>
      <c r="F6530" s="18">
        <v>12.0</v>
      </c>
    </row>
    <row r="6531">
      <c r="A6531" s="15">
        <v>69.0</v>
      </c>
      <c r="B6531" s="16" t="s">
        <v>11074</v>
      </c>
      <c r="C6531" s="17" t="s">
        <v>6432</v>
      </c>
      <c r="D6531" s="18">
        <v>96.1</v>
      </c>
      <c r="E6531" s="18">
        <v>134.55</v>
      </c>
      <c r="F6531" s="18">
        <v>12.0</v>
      </c>
    </row>
    <row r="6532">
      <c r="A6532" s="15">
        <v>70.0</v>
      </c>
      <c r="B6532" s="16" t="s">
        <v>11072</v>
      </c>
      <c r="C6532" s="17" t="s">
        <v>5636</v>
      </c>
      <c r="D6532" s="18">
        <v>314.29</v>
      </c>
      <c r="E6532" s="18">
        <v>440.0</v>
      </c>
      <c r="F6532" s="18">
        <v>12.0</v>
      </c>
    </row>
    <row r="6533">
      <c r="A6533" s="15">
        <v>71.0</v>
      </c>
      <c r="B6533" s="16" t="s">
        <v>11075</v>
      </c>
      <c r="C6533" s="17" t="s">
        <v>5603</v>
      </c>
      <c r="D6533" s="18">
        <v>57.14</v>
      </c>
      <c r="E6533" s="18">
        <v>80.0</v>
      </c>
      <c r="F6533" s="18">
        <v>12.0</v>
      </c>
    </row>
    <row r="6534">
      <c r="A6534" s="6"/>
      <c r="B6534" s="7"/>
      <c r="C6534" s="7"/>
      <c r="D6534" s="7"/>
      <c r="E6534" s="7"/>
      <c r="F6534" s="8"/>
    </row>
    <row r="6535">
      <c r="A6535" s="9" t="s">
        <v>11076</v>
      </c>
      <c r="B6535" s="10"/>
      <c r="C6535" s="10"/>
      <c r="D6535" s="10"/>
      <c r="E6535" s="10"/>
      <c r="F6535" s="10"/>
    </row>
    <row r="6536">
      <c r="A6536" s="11">
        <v>1.0</v>
      </c>
      <c r="B6536" s="12" t="s">
        <v>11077</v>
      </c>
      <c r="C6536" s="13" t="s">
        <v>11078</v>
      </c>
      <c r="D6536" s="14">
        <v>152.54</v>
      </c>
      <c r="E6536" s="14">
        <v>225.0</v>
      </c>
      <c r="F6536" s="14">
        <v>18.0</v>
      </c>
    </row>
    <row r="6537">
      <c r="A6537" s="15">
        <v>2.0</v>
      </c>
      <c r="B6537" s="16" t="s">
        <v>11079</v>
      </c>
      <c r="C6537" s="16" t="s">
        <v>6399</v>
      </c>
      <c r="D6537" s="18">
        <v>58.64</v>
      </c>
      <c r="E6537" s="18">
        <v>82.1</v>
      </c>
      <c r="F6537" s="18">
        <v>12.0</v>
      </c>
    </row>
    <row r="6538">
      <c r="A6538" s="15">
        <v>3.0</v>
      </c>
      <c r="B6538" s="16" t="s">
        <v>5338</v>
      </c>
      <c r="C6538" s="16" t="s">
        <v>5544</v>
      </c>
      <c r="D6538" s="18">
        <v>151.79</v>
      </c>
      <c r="E6538" s="18">
        <v>212.5</v>
      </c>
      <c r="F6538" s="18">
        <v>12.0</v>
      </c>
    </row>
    <row r="6539">
      <c r="A6539" s="15">
        <v>4.0</v>
      </c>
      <c r="B6539" s="16" t="s">
        <v>11080</v>
      </c>
      <c r="C6539" s="17" t="s">
        <v>6212</v>
      </c>
      <c r="D6539" s="18">
        <v>210.39</v>
      </c>
      <c r="E6539" s="18">
        <v>294.55</v>
      </c>
      <c r="F6539" s="18">
        <v>12.0</v>
      </c>
    </row>
    <row r="6540">
      <c r="A6540" s="15">
        <v>5.0</v>
      </c>
      <c r="B6540" s="16" t="s">
        <v>11081</v>
      </c>
      <c r="C6540" s="17" t="s">
        <v>6289</v>
      </c>
      <c r="D6540" s="18">
        <v>114.86</v>
      </c>
      <c r="E6540" s="18">
        <v>160.8</v>
      </c>
      <c r="F6540" s="18">
        <v>12.0</v>
      </c>
    </row>
    <row r="6541">
      <c r="A6541" s="15">
        <v>6.0</v>
      </c>
      <c r="B6541" s="16" t="s">
        <v>11082</v>
      </c>
      <c r="C6541" s="17" t="s">
        <v>6363</v>
      </c>
      <c r="D6541" s="18">
        <v>125.14</v>
      </c>
      <c r="E6541" s="18">
        <v>175.2</v>
      </c>
      <c r="F6541" s="18">
        <v>12.0</v>
      </c>
    </row>
    <row r="6542">
      <c r="A6542" s="15">
        <v>7.0</v>
      </c>
      <c r="B6542" s="16" t="s">
        <v>11083</v>
      </c>
      <c r="C6542" s="17" t="s">
        <v>6031</v>
      </c>
      <c r="D6542" s="18">
        <v>198.71</v>
      </c>
      <c r="E6542" s="18">
        <v>278.2</v>
      </c>
      <c r="F6542" s="18">
        <v>12.0</v>
      </c>
    </row>
    <row r="6543">
      <c r="A6543" s="15">
        <v>8.0</v>
      </c>
      <c r="B6543" s="16" t="s">
        <v>11083</v>
      </c>
      <c r="C6543" s="17" t="s">
        <v>5603</v>
      </c>
      <c r="D6543" s="18">
        <v>114.64</v>
      </c>
      <c r="E6543" s="18">
        <v>160.5</v>
      </c>
      <c r="F6543" s="18">
        <v>12.0</v>
      </c>
    </row>
    <row r="6544">
      <c r="A6544" s="15">
        <v>9.0</v>
      </c>
      <c r="B6544" s="16" t="s">
        <v>11084</v>
      </c>
      <c r="C6544" s="17" t="s">
        <v>5603</v>
      </c>
      <c r="D6544" s="18">
        <v>186.71</v>
      </c>
      <c r="E6544" s="18">
        <v>261.4</v>
      </c>
      <c r="F6544" s="18">
        <v>12.0</v>
      </c>
    </row>
    <row r="6545">
      <c r="A6545" s="15">
        <v>10.0</v>
      </c>
      <c r="B6545" s="16" t="s">
        <v>11085</v>
      </c>
      <c r="C6545" s="17" t="s">
        <v>5603</v>
      </c>
      <c r="D6545" s="18">
        <v>108.36</v>
      </c>
      <c r="E6545" s="18">
        <v>151.7</v>
      </c>
      <c r="F6545" s="18">
        <v>12.0</v>
      </c>
    </row>
    <row r="6546">
      <c r="A6546" s="15">
        <v>11.0</v>
      </c>
      <c r="B6546" s="16" t="s">
        <v>11086</v>
      </c>
      <c r="C6546" s="17" t="s">
        <v>5603</v>
      </c>
      <c r="D6546" s="18">
        <v>164.93</v>
      </c>
      <c r="E6546" s="18">
        <v>230.9</v>
      </c>
      <c r="F6546" s="18">
        <v>12.0</v>
      </c>
    </row>
    <row r="6547">
      <c r="A6547" s="15">
        <v>12.0</v>
      </c>
      <c r="B6547" s="16" t="s">
        <v>11086</v>
      </c>
      <c r="C6547" s="17" t="s">
        <v>11078</v>
      </c>
      <c r="D6547" s="18">
        <v>184.14</v>
      </c>
      <c r="E6547" s="18">
        <v>271.6</v>
      </c>
      <c r="F6547" s="18">
        <v>18.0</v>
      </c>
    </row>
    <row r="6548">
      <c r="A6548" s="15">
        <v>13.0</v>
      </c>
      <c r="B6548" s="16" t="s">
        <v>11087</v>
      </c>
      <c r="C6548" s="17" t="s">
        <v>5636</v>
      </c>
      <c r="D6548" s="18">
        <v>195.25</v>
      </c>
      <c r="E6548" s="18">
        <v>288.0</v>
      </c>
      <c r="F6548" s="18">
        <v>18.0</v>
      </c>
    </row>
    <row r="6549">
      <c r="A6549" s="15">
        <v>14.0</v>
      </c>
      <c r="B6549" s="16" t="s">
        <v>11088</v>
      </c>
      <c r="C6549" s="17" t="s">
        <v>11089</v>
      </c>
      <c r="D6549" s="18">
        <v>312.86</v>
      </c>
      <c r="E6549" s="18">
        <v>438.0</v>
      </c>
      <c r="F6549" s="18">
        <v>12.0</v>
      </c>
    </row>
    <row r="6550">
      <c r="A6550" s="6"/>
      <c r="B6550" s="7"/>
      <c r="C6550" s="7"/>
      <c r="D6550" s="7"/>
      <c r="E6550" s="7"/>
      <c r="F6550" s="8"/>
    </row>
    <row r="6551">
      <c r="A6551" s="9" t="s">
        <v>11090</v>
      </c>
      <c r="B6551" s="10"/>
      <c r="C6551" s="10"/>
      <c r="D6551" s="10"/>
      <c r="E6551" s="10"/>
      <c r="F6551" s="10"/>
    </row>
    <row r="6552">
      <c r="A6552" s="11">
        <v>1.0</v>
      </c>
      <c r="B6552" s="12" t="s">
        <v>11091</v>
      </c>
      <c r="C6552" s="13" t="s">
        <v>5999</v>
      </c>
      <c r="D6552" s="14">
        <v>91.81</v>
      </c>
      <c r="E6552" s="14">
        <v>130.0</v>
      </c>
      <c r="F6552" s="14">
        <v>18.0</v>
      </c>
    </row>
    <row r="6553">
      <c r="A6553" s="15">
        <v>2.0</v>
      </c>
      <c r="B6553" s="16" t="s">
        <v>11092</v>
      </c>
      <c r="C6553" s="16" t="s">
        <v>8715</v>
      </c>
      <c r="D6553" s="18">
        <v>57.91</v>
      </c>
      <c r="E6553" s="18">
        <v>82.0</v>
      </c>
      <c r="F6553" s="18">
        <v>18.0</v>
      </c>
    </row>
    <row r="6554">
      <c r="A6554" s="15">
        <v>3.0</v>
      </c>
      <c r="B6554" s="16" t="s">
        <v>11093</v>
      </c>
      <c r="C6554" s="17" t="s">
        <v>11094</v>
      </c>
      <c r="D6554" s="18">
        <v>72.17</v>
      </c>
      <c r="E6554" s="18">
        <v>97.0</v>
      </c>
      <c r="F6554" s="18">
        <v>12.0</v>
      </c>
    </row>
    <row r="6555">
      <c r="A6555" s="15">
        <v>4.0</v>
      </c>
      <c r="B6555" s="16" t="s">
        <v>11093</v>
      </c>
      <c r="C6555" s="17" t="s">
        <v>5745</v>
      </c>
      <c r="D6555" s="18">
        <v>73.66</v>
      </c>
      <c r="E6555" s="18">
        <v>99.0</v>
      </c>
      <c r="F6555" s="18">
        <v>12.0</v>
      </c>
    </row>
    <row r="6556">
      <c r="A6556" s="15">
        <v>5.0</v>
      </c>
      <c r="B6556" s="16" t="s">
        <v>11095</v>
      </c>
      <c r="C6556" s="17" t="s">
        <v>11096</v>
      </c>
      <c r="D6556" s="18">
        <v>73.66</v>
      </c>
      <c r="E6556" s="18">
        <v>99.0</v>
      </c>
      <c r="F6556" s="18">
        <v>12.0</v>
      </c>
    </row>
    <row r="6557">
      <c r="A6557" s="15">
        <v>6.0</v>
      </c>
      <c r="B6557" s="16" t="s">
        <v>11097</v>
      </c>
      <c r="C6557" s="16" t="s">
        <v>11098</v>
      </c>
      <c r="D6557" s="18">
        <v>81.21</v>
      </c>
      <c r="E6557" s="18">
        <v>115.0</v>
      </c>
      <c r="F6557" s="18">
        <v>18.0</v>
      </c>
    </row>
    <row r="6558">
      <c r="A6558" s="15">
        <v>7.0</v>
      </c>
      <c r="B6558" s="16" t="s">
        <v>11099</v>
      </c>
      <c r="C6558" s="16" t="s">
        <v>8715</v>
      </c>
      <c r="D6558" s="18">
        <v>55.79</v>
      </c>
      <c r="E6558" s="18">
        <v>79.0</v>
      </c>
      <c r="F6558" s="18">
        <v>18.0</v>
      </c>
    </row>
    <row r="6559">
      <c r="A6559" s="15">
        <v>8.0</v>
      </c>
      <c r="B6559" s="16" t="s">
        <v>11100</v>
      </c>
      <c r="C6559" s="17" t="s">
        <v>7287</v>
      </c>
      <c r="D6559" s="18">
        <v>81.1</v>
      </c>
      <c r="E6559" s="18">
        <v>109.0</v>
      </c>
      <c r="F6559" s="18">
        <v>12.0</v>
      </c>
    </row>
    <row r="6560">
      <c r="A6560" s="15">
        <v>9.0</v>
      </c>
      <c r="B6560" s="16" t="s">
        <v>11101</v>
      </c>
      <c r="C6560" s="16" t="s">
        <v>11098</v>
      </c>
      <c r="D6560" s="18">
        <v>55.79</v>
      </c>
      <c r="E6560" s="18">
        <v>79.0</v>
      </c>
      <c r="F6560" s="18">
        <v>18.0</v>
      </c>
    </row>
    <row r="6561">
      <c r="A6561" s="6"/>
      <c r="B6561" s="7"/>
      <c r="C6561" s="7"/>
      <c r="D6561" s="7"/>
      <c r="E6561" s="7"/>
      <c r="F6561" s="8"/>
    </row>
    <row r="6562">
      <c r="A6562" s="9" t="s">
        <v>11102</v>
      </c>
      <c r="B6562" s="10"/>
      <c r="C6562" s="10"/>
      <c r="D6562" s="10"/>
      <c r="E6562" s="10"/>
      <c r="F6562" s="10"/>
    </row>
    <row r="6563">
      <c r="A6563" s="11">
        <v>1.0</v>
      </c>
      <c r="B6563" s="12" t="s">
        <v>11103</v>
      </c>
      <c r="C6563" s="13" t="s">
        <v>5828</v>
      </c>
      <c r="D6563" s="14">
        <v>100.0</v>
      </c>
      <c r="E6563" s="14">
        <v>140.0</v>
      </c>
      <c r="F6563" s="14">
        <v>12.0</v>
      </c>
    </row>
    <row r="6564">
      <c r="A6564" s="15">
        <v>2.0</v>
      </c>
      <c r="B6564" s="16" t="s">
        <v>11104</v>
      </c>
      <c r="C6564" s="17" t="s">
        <v>5960</v>
      </c>
      <c r="D6564" s="18">
        <v>127.14</v>
      </c>
      <c r="E6564" s="18">
        <v>178.0</v>
      </c>
      <c r="F6564" s="18">
        <v>12.0</v>
      </c>
    </row>
    <row r="6565">
      <c r="A6565" s="15">
        <v>3.0</v>
      </c>
      <c r="B6565" s="16" t="s">
        <v>11104</v>
      </c>
      <c r="C6565" s="17" t="s">
        <v>5636</v>
      </c>
      <c r="D6565" s="18">
        <v>70.0</v>
      </c>
      <c r="E6565" s="18">
        <v>98.0</v>
      </c>
      <c r="F6565" s="18">
        <v>12.0</v>
      </c>
    </row>
    <row r="6566">
      <c r="A6566" s="6"/>
      <c r="B6566" s="7"/>
      <c r="C6566" s="7"/>
      <c r="D6566" s="7"/>
      <c r="E6566" s="8"/>
      <c r="F6566" s="16" t="s">
        <v>11105</v>
      </c>
    </row>
    <row r="6567">
      <c r="A6567" s="6"/>
      <c r="B6567" s="7"/>
      <c r="C6567" s="7"/>
      <c r="D6567" s="7"/>
      <c r="E6567" s="7"/>
      <c r="F6567" s="8"/>
    </row>
    <row r="6568">
      <c r="A6568" s="6"/>
      <c r="B6568" s="7"/>
      <c r="C6568" s="7"/>
      <c r="D6568" s="7"/>
      <c r="E6568" s="7"/>
      <c r="F6568" s="8"/>
    </row>
    <row r="6569">
      <c r="A6569" s="6"/>
      <c r="B6569" s="7"/>
      <c r="C6569" s="7"/>
      <c r="D6569" s="7"/>
      <c r="E6569" s="7"/>
      <c r="F6569" s="8"/>
    </row>
    <row r="6570">
      <c r="A6570" s="6"/>
      <c r="B6570" s="7"/>
      <c r="C6570" s="7"/>
      <c r="D6570" s="7"/>
      <c r="E6570" s="7"/>
      <c r="F6570" s="8"/>
    </row>
    <row r="6571">
      <c r="A6571" s="9" t="s">
        <v>5582</v>
      </c>
      <c r="B6571" s="10"/>
      <c r="C6571" s="10"/>
      <c r="D6571" s="10"/>
      <c r="E6571" s="10"/>
      <c r="F6571" s="10"/>
    </row>
    <row r="6572">
      <c r="A6572" s="19" t="s">
        <v>5583</v>
      </c>
    </row>
    <row r="6573">
      <c r="A6573" s="6"/>
      <c r="B6573" s="7"/>
      <c r="C6573" s="7"/>
      <c r="D6573" s="8"/>
      <c r="E6573" s="12" t="s">
        <v>5584</v>
      </c>
      <c r="F6573" s="12" t="s">
        <v>11106</v>
      </c>
    </row>
    <row r="6574">
      <c r="A6574" s="20" t="s">
        <v>5522</v>
      </c>
      <c r="B6574" s="16" t="s">
        <v>5523</v>
      </c>
      <c r="C6574" s="16" t="s">
        <v>5524</v>
      </c>
      <c r="D6574" s="16" t="s">
        <v>5525</v>
      </c>
      <c r="E6574" s="16" t="s">
        <v>5526</v>
      </c>
      <c r="F6574" s="16" t="s">
        <v>5586</v>
      </c>
    </row>
    <row r="6575">
      <c r="A6575" s="15">
        <v>4.0</v>
      </c>
      <c r="B6575" s="16" t="s">
        <v>9228</v>
      </c>
      <c r="C6575" s="17" t="s">
        <v>11107</v>
      </c>
      <c r="D6575" s="18">
        <v>81.37</v>
      </c>
      <c r="E6575" s="18">
        <v>117.0</v>
      </c>
      <c r="F6575" s="18">
        <v>18.0</v>
      </c>
    </row>
    <row r="6576">
      <c r="A6576" s="15">
        <v>5.0</v>
      </c>
      <c r="B6576" s="16" t="s">
        <v>9228</v>
      </c>
      <c r="C6576" s="17" t="s">
        <v>6363</v>
      </c>
      <c r="D6576" s="18">
        <v>130.17</v>
      </c>
      <c r="E6576" s="18">
        <v>192.0</v>
      </c>
      <c r="F6576" s="18">
        <v>12.0</v>
      </c>
    </row>
    <row r="6577">
      <c r="A6577" s="15">
        <v>6.0</v>
      </c>
      <c r="B6577" s="16" t="s">
        <v>11108</v>
      </c>
      <c r="C6577" s="17" t="s">
        <v>5562</v>
      </c>
      <c r="D6577" s="18">
        <v>168.57</v>
      </c>
      <c r="E6577" s="18">
        <v>236.0</v>
      </c>
      <c r="F6577" s="18">
        <v>12.0</v>
      </c>
    </row>
    <row r="6578">
      <c r="A6578" s="15">
        <v>7.0</v>
      </c>
      <c r="B6578" s="16" t="s">
        <v>11109</v>
      </c>
      <c r="C6578" s="17" t="s">
        <v>5636</v>
      </c>
      <c r="D6578" s="18">
        <v>166.83</v>
      </c>
      <c r="E6578" s="18">
        <v>244.0</v>
      </c>
      <c r="F6578" s="18">
        <v>18.0</v>
      </c>
    </row>
    <row r="6579">
      <c r="A6579" s="15">
        <v>8.0</v>
      </c>
      <c r="B6579" s="16" t="s">
        <v>11110</v>
      </c>
      <c r="C6579" s="17" t="s">
        <v>5636</v>
      </c>
      <c r="D6579" s="18">
        <v>128.96</v>
      </c>
      <c r="E6579" s="18">
        <v>190.0</v>
      </c>
      <c r="F6579" s="18">
        <v>18.0</v>
      </c>
    </row>
    <row r="6580">
      <c r="A6580" s="15">
        <v>9.0</v>
      </c>
      <c r="B6580" s="16" t="s">
        <v>9039</v>
      </c>
      <c r="C6580" s="17" t="s">
        <v>11111</v>
      </c>
      <c r="D6580" s="18">
        <v>77.83</v>
      </c>
      <c r="E6580" s="18">
        <v>108.0</v>
      </c>
      <c r="F6580" s="18">
        <v>12.0</v>
      </c>
    </row>
    <row r="6581">
      <c r="A6581" s="15">
        <v>10.0</v>
      </c>
      <c r="B6581" s="16" t="s">
        <v>9039</v>
      </c>
      <c r="C6581" s="17" t="s">
        <v>5948</v>
      </c>
      <c r="D6581" s="18">
        <v>114.29</v>
      </c>
      <c r="E6581" s="18">
        <v>160.0</v>
      </c>
      <c r="F6581" s="18">
        <v>12.0</v>
      </c>
    </row>
    <row r="6582">
      <c r="A6582" s="15">
        <v>11.0</v>
      </c>
      <c r="B6582" s="16" t="s">
        <v>9039</v>
      </c>
      <c r="C6582" s="17" t="s">
        <v>6230</v>
      </c>
      <c r="D6582" s="18">
        <v>75.36</v>
      </c>
      <c r="E6582" s="18">
        <v>105.5</v>
      </c>
      <c r="F6582" s="18">
        <v>12.0</v>
      </c>
    </row>
    <row r="6583">
      <c r="A6583" s="15">
        <v>12.0</v>
      </c>
      <c r="B6583" s="16" t="s">
        <v>9039</v>
      </c>
      <c r="C6583" s="17" t="s">
        <v>11112</v>
      </c>
      <c r="D6583" s="18">
        <v>24.29</v>
      </c>
      <c r="E6583" s="18">
        <v>34.0</v>
      </c>
      <c r="F6583" s="18">
        <v>12.0</v>
      </c>
    </row>
    <row r="6584">
      <c r="A6584" s="15">
        <v>13.0</v>
      </c>
      <c r="B6584" s="16" t="s">
        <v>11113</v>
      </c>
      <c r="C6584" s="17" t="s">
        <v>5847</v>
      </c>
      <c r="D6584" s="18">
        <v>85.71</v>
      </c>
      <c r="E6584" s="18">
        <v>120.0</v>
      </c>
      <c r="F6584" s="18">
        <v>12.0</v>
      </c>
    </row>
    <row r="6585">
      <c r="A6585" s="15">
        <v>14.0</v>
      </c>
      <c r="B6585" s="16" t="s">
        <v>9039</v>
      </c>
      <c r="C6585" s="17" t="s">
        <v>5636</v>
      </c>
      <c r="D6585" s="18">
        <v>71.43</v>
      </c>
      <c r="E6585" s="18">
        <v>100.0</v>
      </c>
      <c r="F6585" s="18">
        <v>12.0</v>
      </c>
    </row>
    <row r="6586">
      <c r="A6586" s="15">
        <v>15.0</v>
      </c>
      <c r="B6586" s="16" t="s">
        <v>11114</v>
      </c>
      <c r="C6586" s="17" t="s">
        <v>5960</v>
      </c>
      <c r="D6586" s="18">
        <v>151.43</v>
      </c>
      <c r="E6586" s="18">
        <v>212.0</v>
      </c>
      <c r="F6586" s="18">
        <v>12.0</v>
      </c>
    </row>
    <row r="6587">
      <c r="A6587" s="15">
        <v>16.0</v>
      </c>
      <c r="B6587" s="16" t="s">
        <v>11115</v>
      </c>
      <c r="C6587" s="17" t="s">
        <v>5562</v>
      </c>
      <c r="D6587" s="18">
        <v>21.98</v>
      </c>
      <c r="E6587" s="18">
        <v>30.5</v>
      </c>
      <c r="F6587" s="18">
        <v>12.0</v>
      </c>
    </row>
    <row r="6588">
      <c r="A6588" s="15">
        <v>17.0</v>
      </c>
      <c r="B6588" s="16" t="s">
        <v>11116</v>
      </c>
      <c r="C6588" s="17" t="s">
        <v>5633</v>
      </c>
      <c r="D6588" s="18">
        <v>56.82</v>
      </c>
      <c r="E6588" s="18">
        <v>78.0</v>
      </c>
      <c r="F6588" s="18">
        <v>12.0</v>
      </c>
    </row>
    <row r="6589">
      <c r="A6589" s="15">
        <v>18.0</v>
      </c>
      <c r="B6589" s="16" t="s">
        <v>11117</v>
      </c>
      <c r="C6589" s="17" t="s">
        <v>7548</v>
      </c>
      <c r="D6589" s="18">
        <v>55.2</v>
      </c>
      <c r="E6589" s="18">
        <v>77.28</v>
      </c>
      <c r="F6589" s="18">
        <v>12.0</v>
      </c>
    </row>
    <row r="6590">
      <c r="A6590" s="15">
        <v>19.0</v>
      </c>
      <c r="B6590" s="16" t="s">
        <v>11117</v>
      </c>
      <c r="C6590" s="17" t="s">
        <v>6659</v>
      </c>
      <c r="D6590" s="18">
        <v>75.94</v>
      </c>
      <c r="E6590" s="18">
        <v>106.31</v>
      </c>
      <c r="F6590" s="18">
        <v>12.0</v>
      </c>
    </row>
    <row r="6591">
      <c r="A6591" s="15">
        <v>20.0</v>
      </c>
      <c r="B6591" s="16" t="s">
        <v>11118</v>
      </c>
      <c r="C6591" s="17" t="s">
        <v>6308</v>
      </c>
      <c r="D6591" s="18">
        <v>182.24</v>
      </c>
      <c r="E6591" s="18">
        <v>265.0</v>
      </c>
      <c r="F6591" s="18">
        <v>18.0</v>
      </c>
    </row>
    <row r="6592">
      <c r="A6592" s="15">
        <v>21.0</v>
      </c>
      <c r="B6592" s="16" t="s">
        <v>11118</v>
      </c>
      <c r="C6592" s="17" t="s">
        <v>11119</v>
      </c>
      <c r="D6592" s="18">
        <v>350.72</v>
      </c>
      <c r="E6592" s="18">
        <v>510.0</v>
      </c>
      <c r="F6592" s="18">
        <v>18.0</v>
      </c>
    </row>
    <row r="6593">
      <c r="A6593" s="15">
        <v>22.0</v>
      </c>
      <c r="B6593" s="16" t="s">
        <v>11118</v>
      </c>
      <c r="C6593" s="17" t="s">
        <v>11120</v>
      </c>
      <c r="D6593" s="18">
        <v>220.34</v>
      </c>
      <c r="E6593" s="18">
        <v>325.0</v>
      </c>
      <c r="F6593" s="18">
        <v>18.0</v>
      </c>
    </row>
    <row r="6594">
      <c r="A6594" s="15">
        <v>23.0</v>
      </c>
      <c r="B6594" s="16" t="s">
        <v>11121</v>
      </c>
      <c r="C6594" s="16" t="s">
        <v>6176</v>
      </c>
      <c r="D6594" s="18">
        <v>138.38</v>
      </c>
      <c r="E6594" s="18">
        <v>192.0</v>
      </c>
      <c r="F6594" s="18">
        <v>12.0</v>
      </c>
    </row>
    <row r="6595">
      <c r="A6595" s="15">
        <v>24.0</v>
      </c>
      <c r="B6595" s="16" t="s">
        <v>11122</v>
      </c>
      <c r="C6595" s="17" t="s">
        <v>5536</v>
      </c>
      <c r="D6595" s="18">
        <v>40.36</v>
      </c>
      <c r="E6595" s="18">
        <v>56.0</v>
      </c>
      <c r="F6595" s="18">
        <v>12.0</v>
      </c>
    </row>
    <row r="6596">
      <c r="A6596" s="15">
        <v>25.0</v>
      </c>
      <c r="B6596" s="16" t="s">
        <v>11123</v>
      </c>
      <c r="C6596" s="17" t="s">
        <v>5562</v>
      </c>
      <c r="D6596" s="18">
        <v>45.05</v>
      </c>
      <c r="E6596" s="18">
        <v>62.5</v>
      </c>
      <c r="F6596" s="18">
        <v>12.0</v>
      </c>
    </row>
    <row r="6597">
      <c r="A6597" s="15">
        <v>26.0</v>
      </c>
      <c r="B6597" s="16" t="s">
        <v>11124</v>
      </c>
      <c r="C6597" s="17" t="s">
        <v>5562</v>
      </c>
      <c r="D6597" s="18">
        <v>149.15</v>
      </c>
      <c r="E6597" s="18">
        <v>220.0</v>
      </c>
      <c r="F6597" s="18">
        <v>18.0</v>
      </c>
    </row>
    <row r="6598">
      <c r="A6598" s="15">
        <v>27.0</v>
      </c>
      <c r="B6598" s="16" t="s">
        <v>11125</v>
      </c>
      <c r="C6598" s="17" t="s">
        <v>5636</v>
      </c>
      <c r="D6598" s="18">
        <v>0.0</v>
      </c>
      <c r="E6598" s="18">
        <v>0.0</v>
      </c>
      <c r="F6598" s="18">
        <v>12.0</v>
      </c>
    </row>
    <row r="6599">
      <c r="A6599" s="15">
        <v>28.0</v>
      </c>
      <c r="B6599" s="16" t="s">
        <v>5388</v>
      </c>
      <c r="C6599" s="16" t="s">
        <v>5558</v>
      </c>
      <c r="D6599" s="18">
        <v>61.27</v>
      </c>
      <c r="E6599" s="18">
        <v>80.0</v>
      </c>
      <c r="F6599" s="18">
        <v>12.0</v>
      </c>
    </row>
    <row r="6600">
      <c r="A6600" s="15">
        <v>29.0</v>
      </c>
      <c r="B6600" s="16" t="s">
        <v>11126</v>
      </c>
      <c r="C6600" s="17" t="s">
        <v>5636</v>
      </c>
      <c r="D6600" s="18">
        <v>162.86</v>
      </c>
      <c r="E6600" s="18">
        <v>228.0</v>
      </c>
      <c r="F6600" s="18">
        <v>12.0</v>
      </c>
    </row>
    <row r="6601">
      <c r="A6601" s="6"/>
      <c r="B6601" s="7"/>
      <c r="C6601" s="7"/>
      <c r="D6601" s="7"/>
      <c r="E6601" s="7"/>
      <c r="F6601" s="8"/>
    </row>
    <row r="6602">
      <c r="A6602" s="9" t="s">
        <v>11127</v>
      </c>
      <c r="B6602" s="10"/>
      <c r="C6602" s="10"/>
      <c r="D6602" s="10"/>
      <c r="E6602" s="10"/>
      <c r="F6602" s="10"/>
    </row>
    <row r="6603">
      <c r="A6603" s="11">
        <v>1.0</v>
      </c>
      <c r="B6603" s="12" t="s">
        <v>11128</v>
      </c>
      <c r="C6603" s="13" t="s">
        <v>5614</v>
      </c>
      <c r="D6603" s="14">
        <v>40.71</v>
      </c>
      <c r="E6603" s="14">
        <v>57.0</v>
      </c>
      <c r="F6603" s="14">
        <v>12.0</v>
      </c>
    </row>
    <row r="6604">
      <c r="A6604" s="15">
        <v>2.0</v>
      </c>
      <c r="B6604" s="16" t="s">
        <v>11129</v>
      </c>
      <c r="C6604" s="17" t="s">
        <v>5614</v>
      </c>
      <c r="D6604" s="18">
        <v>50.54</v>
      </c>
      <c r="E6604" s="18">
        <v>70.75</v>
      </c>
      <c r="F6604" s="18">
        <v>12.0</v>
      </c>
    </row>
    <row r="6605">
      <c r="A6605" s="15">
        <v>3.0</v>
      </c>
      <c r="B6605" s="16" t="s">
        <v>11130</v>
      </c>
      <c r="C6605" s="17" t="s">
        <v>5536</v>
      </c>
      <c r="D6605" s="18">
        <v>101.07</v>
      </c>
      <c r="E6605" s="18">
        <v>141.5</v>
      </c>
      <c r="F6605" s="18">
        <v>12.0</v>
      </c>
    </row>
    <row r="6606">
      <c r="A6606" s="15">
        <v>4.0</v>
      </c>
      <c r="B6606" s="16" t="s">
        <v>11131</v>
      </c>
      <c r="C6606" s="17" t="s">
        <v>5536</v>
      </c>
      <c r="D6606" s="18">
        <v>121.43</v>
      </c>
      <c r="E6606" s="18">
        <v>170.0</v>
      </c>
      <c r="F6606" s="18">
        <v>12.0</v>
      </c>
    </row>
    <row r="6607">
      <c r="A6607" s="15">
        <v>5.0</v>
      </c>
      <c r="B6607" s="16" t="s">
        <v>11132</v>
      </c>
      <c r="C6607" s="17" t="s">
        <v>5603</v>
      </c>
      <c r="D6607" s="18">
        <v>65.61</v>
      </c>
      <c r="E6607" s="18">
        <v>91.85</v>
      </c>
      <c r="F6607" s="18">
        <v>12.0</v>
      </c>
    </row>
    <row r="6608">
      <c r="A6608" s="15">
        <v>6.0</v>
      </c>
      <c r="B6608" s="16" t="s">
        <v>11133</v>
      </c>
      <c r="C6608" s="17" t="s">
        <v>5636</v>
      </c>
      <c r="D6608" s="18">
        <v>128.57</v>
      </c>
      <c r="E6608" s="18">
        <v>135.0</v>
      </c>
      <c r="F6608" s="18">
        <v>12.0</v>
      </c>
    </row>
    <row r="6609">
      <c r="A6609" s="15">
        <v>7.0</v>
      </c>
      <c r="B6609" s="16" t="s">
        <v>11133</v>
      </c>
      <c r="C6609" s="17" t="s">
        <v>5603</v>
      </c>
      <c r="D6609" s="18">
        <v>158.94</v>
      </c>
      <c r="E6609" s="18">
        <v>222.51</v>
      </c>
      <c r="F6609" s="18">
        <v>12.0</v>
      </c>
    </row>
    <row r="6610">
      <c r="A6610" s="15">
        <v>8.0</v>
      </c>
      <c r="B6610" s="16" t="s">
        <v>11134</v>
      </c>
      <c r="C6610" s="17" t="s">
        <v>5603</v>
      </c>
      <c r="D6610" s="18">
        <v>230.82</v>
      </c>
      <c r="E6610" s="18">
        <v>323.15</v>
      </c>
      <c r="F6610" s="18">
        <v>12.0</v>
      </c>
    </row>
    <row r="6611">
      <c r="A6611" s="15">
        <v>9.0</v>
      </c>
      <c r="B6611" s="16" t="s">
        <v>11135</v>
      </c>
      <c r="C6611" s="17" t="s">
        <v>5603</v>
      </c>
      <c r="D6611" s="18">
        <v>62.32</v>
      </c>
      <c r="E6611" s="18">
        <v>87.25</v>
      </c>
      <c r="F6611" s="18">
        <v>12.0</v>
      </c>
    </row>
    <row r="6612">
      <c r="A6612" s="15">
        <v>10.0</v>
      </c>
      <c r="B6612" s="16" t="s">
        <v>11136</v>
      </c>
      <c r="C6612" s="17" t="s">
        <v>5636</v>
      </c>
      <c r="D6612" s="18">
        <v>343.93</v>
      </c>
      <c r="E6612" s="18">
        <v>481.5</v>
      </c>
      <c r="F6612" s="18">
        <v>12.0</v>
      </c>
    </row>
    <row r="6613">
      <c r="A6613" s="15">
        <v>11.0</v>
      </c>
      <c r="B6613" s="16" t="s">
        <v>11136</v>
      </c>
      <c r="C6613" s="17" t="s">
        <v>5603</v>
      </c>
      <c r="D6613" s="18">
        <v>343.93</v>
      </c>
      <c r="E6613" s="18">
        <v>481.5</v>
      </c>
      <c r="F6613" s="18">
        <v>12.0</v>
      </c>
    </row>
    <row r="6614">
      <c r="A6614" s="15">
        <v>12.0</v>
      </c>
      <c r="B6614" s="16" t="s">
        <v>11137</v>
      </c>
      <c r="C6614" s="17" t="s">
        <v>5632</v>
      </c>
      <c r="D6614" s="18">
        <v>19.27</v>
      </c>
      <c r="E6614" s="18">
        <v>26.98</v>
      </c>
      <c r="F6614" s="18">
        <v>12.0</v>
      </c>
    </row>
    <row r="6615">
      <c r="A6615" s="15">
        <v>13.0</v>
      </c>
      <c r="B6615" s="16" t="s">
        <v>11137</v>
      </c>
      <c r="C6615" s="17" t="s">
        <v>5633</v>
      </c>
      <c r="D6615" s="18">
        <v>23.04</v>
      </c>
      <c r="E6615" s="18">
        <v>32.25</v>
      </c>
      <c r="F6615" s="18">
        <v>12.0</v>
      </c>
    </row>
    <row r="6616">
      <c r="A6616" s="15">
        <v>14.0</v>
      </c>
      <c r="B6616" s="16" t="s">
        <v>11138</v>
      </c>
      <c r="C6616" s="17" t="s">
        <v>5536</v>
      </c>
      <c r="D6616" s="18">
        <v>101.79</v>
      </c>
      <c r="E6616" s="18">
        <v>142.5</v>
      </c>
      <c r="F6616" s="18">
        <v>12.0</v>
      </c>
    </row>
    <row r="6617">
      <c r="A6617" s="15">
        <v>15.0</v>
      </c>
      <c r="B6617" s="16" t="s">
        <v>11139</v>
      </c>
      <c r="C6617" s="17" t="s">
        <v>5536</v>
      </c>
      <c r="D6617" s="18">
        <v>135.72</v>
      </c>
      <c r="E6617" s="18">
        <v>190.0</v>
      </c>
      <c r="F6617" s="18">
        <v>12.0</v>
      </c>
    </row>
    <row r="6618">
      <c r="A6618" s="15">
        <v>16.0</v>
      </c>
      <c r="B6618" s="16" t="s">
        <v>11140</v>
      </c>
      <c r="C6618" s="17" t="s">
        <v>5536</v>
      </c>
      <c r="D6618" s="18">
        <v>146.43</v>
      </c>
      <c r="E6618" s="18">
        <v>205.0</v>
      </c>
      <c r="F6618" s="18">
        <v>12.0</v>
      </c>
    </row>
    <row r="6619">
      <c r="A6619" s="15">
        <v>17.0</v>
      </c>
      <c r="B6619" s="16" t="s">
        <v>11141</v>
      </c>
      <c r="C6619" s="17" t="s">
        <v>5536</v>
      </c>
      <c r="D6619" s="18">
        <v>97.86</v>
      </c>
      <c r="E6619" s="18">
        <v>137.0</v>
      </c>
      <c r="F6619" s="18">
        <v>12.0</v>
      </c>
    </row>
    <row r="6620">
      <c r="A6620" s="15">
        <v>18.0</v>
      </c>
      <c r="B6620" s="16" t="s">
        <v>11142</v>
      </c>
      <c r="C6620" s="17" t="s">
        <v>5536</v>
      </c>
      <c r="D6620" s="18">
        <v>53.57</v>
      </c>
      <c r="E6620" s="18">
        <v>75.0</v>
      </c>
      <c r="F6620" s="18">
        <v>12.0</v>
      </c>
    </row>
    <row r="6621">
      <c r="A6621" s="15">
        <v>19.0</v>
      </c>
      <c r="B6621" s="16" t="s">
        <v>11143</v>
      </c>
      <c r="C6621" s="17" t="s">
        <v>5536</v>
      </c>
      <c r="D6621" s="18">
        <v>73.93</v>
      </c>
      <c r="E6621" s="18">
        <v>103.5</v>
      </c>
      <c r="F6621" s="18">
        <v>12.0</v>
      </c>
    </row>
    <row r="6622">
      <c r="A6622" s="15">
        <v>20.0</v>
      </c>
      <c r="B6622" s="16" t="s">
        <v>11144</v>
      </c>
      <c r="C6622" s="17" t="s">
        <v>5536</v>
      </c>
      <c r="D6622" s="18">
        <v>127.5</v>
      </c>
      <c r="E6622" s="18">
        <v>178.5</v>
      </c>
      <c r="F6622" s="18">
        <v>12.0</v>
      </c>
    </row>
    <row r="6623">
      <c r="A6623" s="15">
        <v>21.0</v>
      </c>
      <c r="B6623" s="16" t="s">
        <v>11145</v>
      </c>
      <c r="C6623" s="17" t="s">
        <v>5830</v>
      </c>
      <c r="D6623" s="18">
        <v>145.71</v>
      </c>
      <c r="E6623" s="18">
        <v>204.0</v>
      </c>
      <c r="F6623" s="18">
        <v>12.0</v>
      </c>
    </row>
    <row r="6624">
      <c r="A6624" s="15">
        <v>22.0</v>
      </c>
      <c r="B6624" s="16" t="s">
        <v>11145</v>
      </c>
      <c r="C6624" s="17" t="s">
        <v>5636</v>
      </c>
      <c r="D6624" s="18">
        <v>94.29</v>
      </c>
      <c r="E6624" s="18">
        <v>132.0</v>
      </c>
      <c r="F6624" s="18">
        <v>12.0</v>
      </c>
    </row>
    <row r="6625">
      <c r="A6625" s="15">
        <v>23.0</v>
      </c>
      <c r="B6625" s="16" t="s">
        <v>11146</v>
      </c>
      <c r="C6625" s="17" t="s">
        <v>11147</v>
      </c>
      <c r="D6625" s="18">
        <v>103.57</v>
      </c>
      <c r="E6625" s="18">
        <v>145.0</v>
      </c>
      <c r="F6625" s="18">
        <v>12.0</v>
      </c>
    </row>
    <row r="6626">
      <c r="A6626" s="15">
        <v>24.0</v>
      </c>
      <c r="B6626" s="16" t="s">
        <v>11146</v>
      </c>
      <c r="C6626" s="17" t="s">
        <v>11148</v>
      </c>
      <c r="D6626" s="18">
        <v>120.0</v>
      </c>
      <c r="E6626" s="18">
        <v>168.0</v>
      </c>
      <c r="F6626" s="18">
        <v>12.0</v>
      </c>
    </row>
    <row r="6627">
      <c r="A6627" s="15">
        <v>25.0</v>
      </c>
      <c r="B6627" s="16" t="s">
        <v>11149</v>
      </c>
      <c r="C6627" s="17" t="s">
        <v>5654</v>
      </c>
      <c r="D6627" s="18">
        <v>97.86</v>
      </c>
      <c r="E6627" s="18">
        <v>137.0</v>
      </c>
      <c r="F6627" s="18">
        <v>12.0</v>
      </c>
    </row>
    <row r="6628">
      <c r="A6628" s="15">
        <v>26.0</v>
      </c>
      <c r="B6628" s="16" t="s">
        <v>11149</v>
      </c>
      <c r="C6628" s="17" t="s">
        <v>5830</v>
      </c>
      <c r="D6628" s="18">
        <v>161.43</v>
      </c>
      <c r="E6628" s="18">
        <v>226.0</v>
      </c>
      <c r="F6628" s="18">
        <v>12.0</v>
      </c>
    </row>
    <row r="6629">
      <c r="A6629" s="15">
        <v>27.0</v>
      </c>
      <c r="B6629" s="16" t="s">
        <v>11150</v>
      </c>
      <c r="C6629" s="17" t="s">
        <v>5654</v>
      </c>
      <c r="D6629" s="18">
        <v>90.36</v>
      </c>
      <c r="E6629" s="18">
        <v>126.5</v>
      </c>
      <c r="F6629" s="18">
        <v>12.0</v>
      </c>
    </row>
    <row r="6630">
      <c r="A6630" s="15">
        <v>28.0</v>
      </c>
      <c r="B6630" s="16" t="s">
        <v>11150</v>
      </c>
      <c r="C6630" s="17" t="s">
        <v>5830</v>
      </c>
      <c r="D6630" s="18">
        <v>152.86</v>
      </c>
      <c r="E6630" s="18">
        <v>214.0</v>
      </c>
      <c r="F6630" s="18">
        <v>12.0</v>
      </c>
    </row>
    <row r="6631">
      <c r="A6631" s="15">
        <v>29.0</v>
      </c>
      <c r="B6631" s="16" t="s">
        <v>11151</v>
      </c>
      <c r="C6631" s="17" t="s">
        <v>5830</v>
      </c>
      <c r="D6631" s="18">
        <v>149.64</v>
      </c>
      <c r="E6631" s="18">
        <v>209.5</v>
      </c>
      <c r="F6631" s="18">
        <v>12.0</v>
      </c>
    </row>
    <row r="6632">
      <c r="A6632" s="15">
        <v>30.0</v>
      </c>
      <c r="B6632" s="16" t="s">
        <v>11151</v>
      </c>
      <c r="C6632" s="17" t="s">
        <v>11152</v>
      </c>
      <c r="D6632" s="18">
        <v>73.18</v>
      </c>
      <c r="E6632" s="18">
        <v>102.45</v>
      </c>
      <c r="F6632" s="18">
        <v>12.0</v>
      </c>
    </row>
    <row r="6633">
      <c r="A6633" s="15">
        <v>31.0</v>
      </c>
      <c r="B6633" s="16" t="s">
        <v>11151</v>
      </c>
      <c r="C6633" s="17" t="s">
        <v>11153</v>
      </c>
      <c r="D6633" s="18">
        <v>132.14</v>
      </c>
      <c r="E6633" s="18">
        <v>185.0</v>
      </c>
      <c r="F6633" s="18">
        <v>12.0</v>
      </c>
    </row>
    <row r="6634">
      <c r="A6634" s="15">
        <v>32.0</v>
      </c>
      <c r="B6634" s="16" t="s">
        <v>11151</v>
      </c>
      <c r="C6634" s="17" t="s">
        <v>5636</v>
      </c>
      <c r="D6634" s="18">
        <v>105.0</v>
      </c>
      <c r="E6634" s="18">
        <v>147.0</v>
      </c>
      <c r="F6634" s="18">
        <v>12.0</v>
      </c>
    </row>
    <row r="6635">
      <c r="A6635" s="6"/>
      <c r="B6635" s="7"/>
      <c r="C6635" s="7"/>
      <c r="D6635" s="7"/>
      <c r="E6635" s="7"/>
      <c r="F6635" s="8"/>
    </row>
    <row r="6636">
      <c r="A6636" s="6"/>
      <c r="B6636" s="7"/>
      <c r="C6636" s="7"/>
      <c r="D6636" s="7"/>
      <c r="E6636" s="8"/>
      <c r="F6636" s="16" t="s">
        <v>11154</v>
      </c>
    </row>
    <row r="6637">
      <c r="A6637" s="6"/>
      <c r="B6637" s="7"/>
      <c r="C6637" s="7"/>
      <c r="D6637" s="7"/>
      <c r="E6637" s="7"/>
      <c r="F6637" s="8"/>
    </row>
    <row r="6638">
      <c r="A6638" s="6"/>
      <c r="B6638" s="7"/>
      <c r="C6638" s="7"/>
      <c r="D6638" s="7"/>
      <c r="E6638" s="7"/>
      <c r="F6638" s="8"/>
    </row>
    <row r="6639">
      <c r="A6639" s="6"/>
      <c r="B6639" s="7"/>
      <c r="C6639" s="7"/>
      <c r="D6639" s="7"/>
      <c r="E6639" s="7"/>
      <c r="F6639" s="8"/>
    </row>
    <row r="6640">
      <c r="A6640" s="6"/>
      <c r="B6640" s="7"/>
      <c r="C6640" s="7"/>
      <c r="D6640" s="7"/>
      <c r="E6640" s="7"/>
      <c r="F6640" s="8"/>
    </row>
    <row r="6641">
      <c r="A6641" s="9" t="s">
        <v>5582</v>
      </c>
      <c r="B6641" s="10"/>
      <c r="C6641" s="10"/>
      <c r="D6641" s="10"/>
      <c r="E6641" s="10"/>
      <c r="F6641" s="10"/>
    </row>
    <row r="6642">
      <c r="A6642" s="19" t="s">
        <v>5583</v>
      </c>
    </row>
    <row r="6643">
      <c r="A6643" s="6"/>
      <c r="B6643" s="7"/>
      <c r="C6643" s="7"/>
      <c r="D6643" s="8"/>
      <c r="E6643" s="12" t="s">
        <v>5584</v>
      </c>
      <c r="F6643" s="12" t="s">
        <v>11155</v>
      </c>
    </row>
    <row r="6644">
      <c r="A6644" s="20" t="s">
        <v>5522</v>
      </c>
      <c r="B6644" s="16" t="s">
        <v>5523</v>
      </c>
      <c r="C6644" s="16" t="s">
        <v>5524</v>
      </c>
      <c r="D6644" s="16" t="s">
        <v>5525</v>
      </c>
      <c r="E6644" s="16" t="s">
        <v>5526</v>
      </c>
      <c r="F6644" s="16" t="s">
        <v>5586</v>
      </c>
    </row>
    <row r="6645">
      <c r="A6645" s="9" t="s">
        <v>11156</v>
      </c>
      <c r="B6645" s="10"/>
      <c r="C6645" s="10"/>
      <c r="D6645" s="10"/>
      <c r="E6645" s="10"/>
      <c r="F6645" s="10"/>
    </row>
    <row r="6646">
      <c r="A6646" s="11">
        <v>1.0</v>
      </c>
      <c r="B6646" s="12" t="s">
        <v>11157</v>
      </c>
      <c r="C6646" s="13" t="s">
        <v>11158</v>
      </c>
      <c r="D6646" s="14">
        <v>160.71</v>
      </c>
      <c r="E6646" s="14">
        <v>225.0</v>
      </c>
      <c r="F6646" s="14">
        <v>12.0</v>
      </c>
    </row>
    <row r="6647">
      <c r="A6647" s="15">
        <v>2.0</v>
      </c>
      <c r="B6647" s="16" t="s">
        <v>11157</v>
      </c>
      <c r="C6647" s="17" t="s">
        <v>11159</v>
      </c>
      <c r="D6647" s="18">
        <v>189.29</v>
      </c>
      <c r="E6647" s="18">
        <v>265.0</v>
      </c>
      <c r="F6647" s="18">
        <v>12.0</v>
      </c>
    </row>
    <row r="6648">
      <c r="A6648" s="15">
        <v>3.0</v>
      </c>
      <c r="B6648" s="16" t="s">
        <v>11157</v>
      </c>
      <c r="C6648" s="17" t="s">
        <v>11160</v>
      </c>
      <c r="D6648" s="18">
        <v>363.93</v>
      </c>
      <c r="E6648" s="18">
        <v>509.5</v>
      </c>
      <c r="F6648" s="18">
        <v>12.0</v>
      </c>
    </row>
    <row r="6649">
      <c r="A6649" s="15">
        <v>4.0</v>
      </c>
      <c r="B6649" s="16" t="s">
        <v>11161</v>
      </c>
      <c r="C6649" s="17" t="s">
        <v>5536</v>
      </c>
      <c r="D6649" s="18">
        <v>67.32</v>
      </c>
      <c r="E6649" s="18">
        <v>94.25</v>
      </c>
      <c r="F6649" s="18">
        <v>12.0</v>
      </c>
    </row>
    <row r="6650">
      <c r="A6650" s="15">
        <v>5.0</v>
      </c>
      <c r="B6650" s="16" t="s">
        <v>11162</v>
      </c>
      <c r="C6650" s="17" t="s">
        <v>5536</v>
      </c>
      <c r="D6650" s="18">
        <v>42.88</v>
      </c>
      <c r="E6650" s="18">
        <v>60.03</v>
      </c>
      <c r="F6650" s="18">
        <v>12.0</v>
      </c>
    </row>
    <row r="6651">
      <c r="A6651" s="15">
        <v>6.0</v>
      </c>
      <c r="B6651" s="16" t="s">
        <v>11163</v>
      </c>
      <c r="C6651" s="17" t="s">
        <v>5536</v>
      </c>
      <c r="D6651" s="18">
        <v>212.2</v>
      </c>
      <c r="E6651" s="18">
        <v>313.0</v>
      </c>
      <c r="F6651" s="18">
        <v>18.0</v>
      </c>
    </row>
    <row r="6652">
      <c r="A6652" s="15">
        <v>7.0</v>
      </c>
      <c r="B6652" s="16" t="s">
        <v>11164</v>
      </c>
      <c r="C6652" s="17" t="s">
        <v>5536</v>
      </c>
      <c r="D6652" s="18">
        <v>327.46</v>
      </c>
      <c r="E6652" s="18">
        <v>483.0</v>
      </c>
      <c r="F6652" s="18">
        <v>18.0</v>
      </c>
    </row>
    <row r="6653">
      <c r="A6653" s="15">
        <v>8.0</v>
      </c>
      <c r="B6653" s="16" t="s">
        <v>11165</v>
      </c>
      <c r="C6653" s="17" t="s">
        <v>8784</v>
      </c>
      <c r="D6653" s="18">
        <v>120.0</v>
      </c>
      <c r="E6653" s="18">
        <v>168.0</v>
      </c>
      <c r="F6653" s="18">
        <v>12.0</v>
      </c>
    </row>
    <row r="6654">
      <c r="A6654" s="15">
        <v>9.0</v>
      </c>
      <c r="B6654" s="16" t="s">
        <v>11166</v>
      </c>
      <c r="C6654" s="17" t="s">
        <v>5562</v>
      </c>
      <c r="D6654" s="18">
        <v>172.5</v>
      </c>
      <c r="E6654" s="18">
        <v>241.5</v>
      </c>
      <c r="F6654" s="18">
        <v>12.0</v>
      </c>
    </row>
    <row r="6655">
      <c r="A6655" s="15">
        <v>10.0</v>
      </c>
      <c r="B6655" s="16" t="s">
        <v>11167</v>
      </c>
      <c r="C6655" s="17" t="s">
        <v>11119</v>
      </c>
      <c r="D6655" s="18">
        <v>662.37</v>
      </c>
      <c r="E6655" s="18">
        <v>977.0</v>
      </c>
      <c r="F6655" s="18">
        <v>18.0</v>
      </c>
    </row>
    <row r="6656">
      <c r="A6656" s="15">
        <v>11.0</v>
      </c>
      <c r="B6656" s="16" t="s">
        <v>11168</v>
      </c>
      <c r="C6656" s="17" t="s">
        <v>5536</v>
      </c>
      <c r="D6656" s="18">
        <v>116.79</v>
      </c>
      <c r="E6656" s="18">
        <v>163.5</v>
      </c>
      <c r="F6656" s="18">
        <v>12.0</v>
      </c>
    </row>
    <row r="6657">
      <c r="A6657" s="15">
        <v>12.0</v>
      </c>
      <c r="B6657" s="16" t="s">
        <v>11169</v>
      </c>
      <c r="C6657" s="17" t="s">
        <v>5536</v>
      </c>
      <c r="D6657" s="18">
        <v>179.64</v>
      </c>
      <c r="E6657" s="18">
        <v>251.5</v>
      </c>
      <c r="F6657" s="18">
        <v>12.0</v>
      </c>
    </row>
    <row r="6658">
      <c r="A6658" s="15">
        <v>13.0</v>
      </c>
      <c r="B6658" s="16" t="s">
        <v>11170</v>
      </c>
      <c r="C6658" s="17" t="s">
        <v>5536</v>
      </c>
      <c r="D6658" s="18">
        <v>239.29</v>
      </c>
      <c r="E6658" s="18">
        <v>335.0</v>
      </c>
      <c r="F6658" s="18">
        <v>12.0</v>
      </c>
    </row>
    <row r="6659">
      <c r="A6659" s="15">
        <v>14.0</v>
      </c>
      <c r="B6659" s="16" t="s">
        <v>11171</v>
      </c>
      <c r="C6659" s="17" t="s">
        <v>5536</v>
      </c>
      <c r="D6659" s="18">
        <v>282.14</v>
      </c>
      <c r="E6659" s="18">
        <v>395.0</v>
      </c>
      <c r="F6659" s="18">
        <v>12.0</v>
      </c>
    </row>
    <row r="6660">
      <c r="A6660" s="15">
        <v>15.0</v>
      </c>
      <c r="B6660" s="16" t="s">
        <v>5436</v>
      </c>
      <c r="C6660" s="16" t="s">
        <v>5558</v>
      </c>
      <c r="D6660" s="18">
        <v>117.5</v>
      </c>
      <c r="E6660" s="18">
        <v>164.5</v>
      </c>
      <c r="F6660" s="18">
        <v>12.0</v>
      </c>
    </row>
    <row r="6661">
      <c r="A6661" s="15">
        <v>16.0</v>
      </c>
      <c r="B6661" s="16" t="s">
        <v>11172</v>
      </c>
      <c r="C6661" s="17" t="s">
        <v>11173</v>
      </c>
      <c r="D6661" s="18">
        <v>25.76</v>
      </c>
      <c r="E6661" s="18">
        <v>38.0</v>
      </c>
      <c r="F6661" s="18">
        <v>18.0</v>
      </c>
    </row>
    <row r="6662">
      <c r="A6662" s="6"/>
      <c r="B6662" s="7"/>
      <c r="C6662" s="7"/>
      <c r="D6662" s="7"/>
      <c r="E6662" s="7"/>
      <c r="F6662" s="8"/>
    </row>
    <row r="6663">
      <c r="A6663" s="9" t="s">
        <v>11174</v>
      </c>
      <c r="B6663" s="10"/>
      <c r="C6663" s="10"/>
      <c r="D6663" s="10"/>
      <c r="E6663" s="10"/>
      <c r="F6663" s="10"/>
    </row>
    <row r="6664">
      <c r="A6664" s="11">
        <v>1.0</v>
      </c>
      <c r="B6664" s="12" t="s">
        <v>11175</v>
      </c>
      <c r="C6664" s="13" t="s">
        <v>6762</v>
      </c>
      <c r="D6664" s="14">
        <v>58.57</v>
      </c>
      <c r="E6664" s="14">
        <v>82.0</v>
      </c>
      <c r="F6664" s="14">
        <v>12.0</v>
      </c>
    </row>
    <row r="6665">
      <c r="A6665" s="15">
        <v>2.0</v>
      </c>
      <c r="B6665" s="16" t="s">
        <v>11176</v>
      </c>
      <c r="C6665" s="17" t="s">
        <v>11177</v>
      </c>
      <c r="D6665" s="18">
        <v>212.2</v>
      </c>
      <c r="E6665" s="18">
        <v>313.0</v>
      </c>
      <c r="F6665" s="18">
        <v>18.0</v>
      </c>
    </row>
    <row r="6666">
      <c r="A6666" s="15">
        <v>3.0</v>
      </c>
      <c r="B6666" s="16" t="s">
        <v>11178</v>
      </c>
      <c r="C6666" s="17" t="s">
        <v>11179</v>
      </c>
      <c r="D6666" s="18">
        <v>327.46</v>
      </c>
      <c r="E6666" s="18">
        <v>483.0</v>
      </c>
      <c r="F6666" s="18">
        <v>18.0</v>
      </c>
    </row>
    <row r="6667">
      <c r="A6667" s="15">
        <v>4.0</v>
      </c>
      <c r="B6667" s="16" t="s">
        <v>11180</v>
      </c>
      <c r="C6667" s="17" t="s">
        <v>5536</v>
      </c>
      <c r="D6667" s="18">
        <v>19.61</v>
      </c>
      <c r="E6667" s="18">
        <v>27.45</v>
      </c>
      <c r="F6667" s="18">
        <v>12.0</v>
      </c>
    </row>
    <row r="6668">
      <c r="A6668" s="15">
        <v>5.0</v>
      </c>
      <c r="B6668" s="16" t="s">
        <v>11181</v>
      </c>
      <c r="C6668" s="17" t="s">
        <v>11182</v>
      </c>
      <c r="D6668" s="18">
        <v>92.14</v>
      </c>
      <c r="E6668" s="18">
        <v>129.0</v>
      </c>
      <c r="F6668" s="18">
        <v>12.0</v>
      </c>
    </row>
    <row r="6669">
      <c r="A6669" s="15">
        <v>6.0</v>
      </c>
      <c r="B6669" s="16" t="s">
        <v>11181</v>
      </c>
      <c r="C6669" s="17" t="s">
        <v>11183</v>
      </c>
      <c r="D6669" s="18">
        <v>62.86</v>
      </c>
      <c r="E6669" s="18">
        <v>88.0</v>
      </c>
      <c r="F6669" s="18">
        <v>12.0</v>
      </c>
    </row>
    <row r="6670">
      <c r="A6670" s="15">
        <v>7.0</v>
      </c>
      <c r="B6670" s="16" t="s">
        <v>11184</v>
      </c>
      <c r="C6670" s="17" t="s">
        <v>7169</v>
      </c>
      <c r="D6670" s="18">
        <v>16.79</v>
      </c>
      <c r="E6670" s="18">
        <v>23.5</v>
      </c>
      <c r="F6670" s="18">
        <v>12.0</v>
      </c>
    </row>
    <row r="6671">
      <c r="A6671" s="15">
        <v>8.0</v>
      </c>
      <c r="B6671" s="16" t="s">
        <v>11184</v>
      </c>
      <c r="C6671" s="17" t="s">
        <v>8672</v>
      </c>
      <c r="D6671" s="18">
        <v>30.31</v>
      </c>
      <c r="E6671" s="18">
        <v>42.44</v>
      </c>
      <c r="F6671" s="18">
        <v>12.0</v>
      </c>
    </row>
    <row r="6672">
      <c r="A6672" s="15">
        <v>9.0</v>
      </c>
      <c r="B6672" s="16" t="s">
        <v>11184</v>
      </c>
      <c r="C6672" s="17" t="s">
        <v>6097</v>
      </c>
      <c r="D6672" s="18">
        <v>50.0</v>
      </c>
      <c r="E6672" s="18">
        <v>70.0</v>
      </c>
      <c r="F6672" s="18">
        <v>12.0</v>
      </c>
    </row>
    <row r="6673">
      <c r="A6673" s="15">
        <v>10.0</v>
      </c>
      <c r="B6673" s="16" t="s">
        <v>11184</v>
      </c>
      <c r="C6673" s="17" t="s">
        <v>11185</v>
      </c>
      <c r="D6673" s="18">
        <v>45.12</v>
      </c>
      <c r="E6673" s="18">
        <v>63.17</v>
      </c>
      <c r="F6673" s="18">
        <v>12.0</v>
      </c>
    </row>
    <row r="6674">
      <c r="A6674" s="15">
        <v>11.0</v>
      </c>
      <c r="B6674" s="16" t="s">
        <v>11186</v>
      </c>
      <c r="C6674" s="17" t="s">
        <v>5818</v>
      </c>
      <c r="D6674" s="18">
        <v>62.71</v>
      </c>
      <c r="E6674" s="18">
        <v>87.8</v>
      </c>
      <c r="F6674" s="18">
        <v>12.0</v>
      </c>
    </row>
    <row r="6675">
      <c r="A6675" s="15">
        <v>12.0</v>
      </c>
      <c r="B6675" s="16" t="s">
        <v>11186</v>
      </c>
      <c r="C6675" s="17" t="s">
        <v>5636</v>
      </c>
      <c r="D6675" s="18">
        <v>149.29</v>
      </c>
      <c r="E6675" s="18">
        <v>209.0</v>
      </c>
      <c r="F6675" s="18">
        <v>12.0</v>
      </c>
    </row>
    <row r="6676">
      <c r="A6676" s="15">
        <v>13.0</v>
      </c>
      <c r="B6676" s="16" t="s">
        <v>11187</v>
      </c>
      <c r="C6676" s="17" t="s">
        <v>5536</v>
      </c>
      <c r="D6676" s="18">
        <v>69.79</v>
      </c>
      <c r="E6676" s="18">
        <v>97.7</v>
      </c>
      <c r="F6676" s="18">
        <v>12.0</v>
      </c>
    </row>
    <row r="6677">
      <c r="A6677" s="15">
        <v>14.0</v>
      </c>
      <c r="B6677" s="16" t="s">
        <v>11188</v>
      </c>
      <c r="C6677" s="17" t="s">
        <v>5536</v>
      </c>
      <c r="D6677" s="18">
        <v>33.21</v>
      </c>
      <c r="E6677" s="18">
        <v>40.0</v>
      </c>
      <c r="F6677" s="18">
        <v>12.0</v>
      </c>
    </row>
    <row r="6678">
      <c r="A6678" s="15">
        <v>15.0</v>
      </c>
      <c r="B6678" s="16" t="s">
        <v>11189</v>
      </c>
      <c r="C6678" s="17" t="s">
        <v>5536</v>
      </c>
      <c r="D6678" s="18">
        <v>40.64</v>
      </c>
      <c r="E6678" s="18">
        <v>56.89</v>
      </c>
      <c r="F6678" s="18">
        <v>12.0</v>
      </c>
    </row>
    <row r="6679">
      <c r="A6679" s="15">
        <v>16.0</v>
      </c>
      <c r="B6679" s="16" t="s">
        <v>11190</v>
      </c>
      <c r="C6679" s="17" t="s">
        <v>5536</v>
      </c>
      <c r="D6679" s="18">
        <v>117.95</v>
      </c>
      <c r="E6679" s="18">
        <v>162.0</v>
      </c>
      <c r="F6679" s="18">
        <v>12.0</v>
      </c>
    </row>
    <row r="6680">
      <c r="A6680" s="15">
        <v>17.0</v>
      </c>
      <c r="B6680" s="16" t="s">
        <v>11191</v>
      </c>
      <c r="C6680" s="17" t="s">
        <v>5536</v>
      </c>
      <c r="D6680" s="18">
        <v>56.08</v>
      </c>
      <c r="E6680" s="18">
        <v>77.0</v>
      </c>
      <c r="F6680" s="18">
        <v>12.0</v>
      </c>
    </row>
    <row r="6681">
      <c r="A6681" s="15">
        <v>18.0</v>
      </c>
      <c r="B6681" s="16" t="s">
        <v>11192</v>
      </c>
      <c r="C6681" s="17" t="s">
        <v>5536</v>
      </c>
      <c r="D6681" s="18">
        <v>85.68</v>
      </c>
      <c r="E6681" s="18">
        <v>112.45</v>
      </c>
      <c r="F6681" s="18">
        <v>5.0</v>
      </c>
    </row>
    <row r="6682">
      <c r="A6682" s="15">
        <v>19.0</v>
      </c>
      <c r="B6682" s="16" t="s">
        <v>11193</v>
      </c>
      <c r="C6682" s="17" t="s">
        <v>5536</v>
      </c>
      <c r="D6682" s="18">
        <v>217.14</v>
      </c>
      <c r="E6682" s="18">
        <v>285.0</v>
      </c>
      <c r="F6682" s="18">
        <v>5.0</v>
      </c>
    </row>
    <row r="6683">
      <c r="A6683" s="15">
        <v>20.0</v>
      </c>
      <c r="B6683" s="16" t="s">
        <v>11194</v>
      </c>
      <c r="C6683" s="17" t="s">
        <v>5636</v>
      </c>
      <c r="D6683" s="18">
        <v>43.36</v>
      </c>
      <c r="E6683" s="18">
        <v>56.91</v>
      </c>
      <c r="F6683" s="18">
        <v>5.0</v>
      </c>
    </row>
    <row r="6684">
      <c r="A6684" s="15">
        <v>21.0</v>
      </c>
      <c r="B6684" s="16" t="s">
        <v>11195</v>
      </c>
      <c r="C6684" s="17" t="s">
        <v>11196</v>
      </c>
      <c r="D6684" s="18">
        <v>113.52</v>
      </c>
      <c r="E6684" s="18">
        <v>149.0</v>
      </c>
      <c r="F6684" s="18">
        <v>5.0</v>
      </c>
    </row>
    <row r="6685">
      <c r="A6685" s="15">
        <v>22.0</v>
      </c>
      <c r="B6685" s="16" t="s">
        <v>11197</v>
      </c>
      <c r="C6685" s="17" t="s">
        <v>5653</v>
      </c>
      <c r="D6685" s="18">
        <v>132.57</v>
      </c>
      <c r="E6685" s="18">
        <v>174.0</v>
      </c>
      <c r="F6685" s="18">
        <v>5.0</v>
      </c>
    </row>
    <row r="6686">
      <c r="A6686" s="15">
        <v>23.0</v>
      </c>
      <c r="B6686" s="16" t="s">
        <v>11197</v>
      </c>
      <c r="C6686" s="17" t="s">
        <v>7169</v>
      </c>
      <c r="D6686" s="18">
        <v>208.76</v>
      </c>
      <c r="E6686" s="18">
        <v>274.0</v>
      </c>
      <c r="F6686" s="18">
        <v>5.0</v>
      </c>
    </row>
    <row r="6687">
      <c r="A6687" s="15">
        <v>24.0</v>
      </c>
      <c r="B6687" s="16" t="s">
        <v>11197</v>
      </c>
      <c r="C6687" s="17" t="s">
        <v>6747</v>
      </c>
      <c r="D6687" s="18">
        <v>259.05</v>
      </c>
      <c r="E6687" s="18">
        <v>340.0</v>
      </c>
      <c r="F6687" s="18">
        <v>5.0</v>
      </c>
    </row>
    <row r="6688">
      <c r="A6688" s="15">
        <v>25.0</v>
      </c>
      <c r="B6688" s="16" t="s">
        <v>11198</v>
      </c>
      <c r="C6688" s="17" t="s">
        <v>5536</v>
      </c>
      <c r="D6688" s="18">
        <v>78.57</v>
      </c>
      <c r="E6688" s="18">
        <v>110.0</v>
      </c>
      <c r="F6688" s="18">
        <v>12.0</v>
      </c>
    </row>
    <row r="6689">
      <c r="A6689" s="15">
        <v>26.0</v>
      </c>
      <c r="B6689" s="16" t="s">
        <v>11199</v>
      </c>
      <c r="C6689" s="17" t="s">
        <v>5536</v>
      </c>
      <c r="D6689" s="18">
        <v>142.86</v>
      </c>
      <c r="E6689" s="18">
        <v>200.0</v>
      </c>
      <c r="F6689" s="18">
        <v>12.0</v>
      </c>
    </row>
    <row r="6690">
      <c r="A6690" s="15">
        <v>27.0</v>
      </c>
      <c r="B6690" s="16" t="s">
        <v>11200</v>
      </c>
      <c r="C6690" s="17" t="s">
        <v>5536</v>
      </c>
      <c r="D6690" s="18">
        <v>43.57</v>
      </c>
      <c r="E6690" s="18">
        <v>61.0</v>
      </c>
      <c r="F6690" s="18">
        <v>12.0</v>
      </c>
    </row>
    <row r="6691">
      <c r="A6691" s="15">
        <v>28.0</v>
      </c>
      <c r="B6691" s="16" t="s">
        <v>11201</v>
      </c>
      <c r="C6691" s="17" t="s">
        <v>5536</v>
      </c>
      <c r="D6691" s="18">
        <v>67.14</v>
      </c>
      <c r="E6691" s="18">
        <v>94.0</v>
      </c>
      <c r="F6691" s="18">
        <v>12.0</v>
      </c>
    </row>
    <row r="6692">
      <c r="A6692" s="15">
        <v>29.0</v>
      </c>
      <c r="B6692" s="16" t="s">
        <v>11202</v>
      </c>
      <c r="C6692" s="17" t="s">
        <v>5536</v>
      </c>
      <c r="D6692" s="18">
        <v>108.23</v>
      </c>
      <c r="E6692" s="18">
        <v>151.52</v>
      </c>
      <c r="F6692" s="18">
        <v>12.0</v>
      </c>
    </row>
    <row r="6693">
      <c r="A6693" s="15">
        <v>30.0</v>
      </c>
      <c r="B6693" s="16" t="s">
        <v>11203</v>
      </c>
      <c r="C6693" s="17" t="s">
        <v>5536</v>
      </c>
      <c r="D6693" s="18">
        <v>125.0</v>
      </c>
      <c r="E6693" s="18">
        <v>175.0</v>
      </c>
      <c r="F6693" s="18">
        <v>12.0</v>
      </c>
    </row>
    <row r="6694">
      <c r="A6694" s="15">
        <v>31.0</v>
      </c>
      <c r="B6694" s="16" t="s">
        <v>11204</v>
      </c>
      <c r="C6694" s="17" t="s">
        <v>5966</v>
      </c>
      <c r="D6694" s="18">
        <v>48.93</v>
      </c>
      <c r="E6694" s="18">
        <v>68.5</v>
      </c>
      <c r="F6694" s="18">
        <v>12.0</v>
      </c>
    </row>
    <row r="6695">
      <c r="A6695" s="15">
        <v>32.0</v>
      </c>
      <c r="B6695" s="16" t="s">
        <v>11204</v>
      </c>
      <c r="C6695" s="17" t="s">
        <v>5967</v>
      </c>
      <c r="D6695" s="18">
        <v>81.42</v>
      </c>
      <c r="E6695" s="18">
        <v>105.0</v>
      </c>
      <c r="F6695" s="18">
        <v>12.0</v>
      </c>
    </row>
    <row r="6696">
      <c r="A6696" s="15">
        <v>33.0</v>
      </c>
      <c r="B6696" s="16" t="s">
        <v>11204</v>
      </c>
      <c r="C6696" s="17" t="s">
        <v>5968</v>
      </c>
      <c r="D6696" s="18">
        <v>113.57</v>
      </c>
      <c r="E6696" s="18">
        <v>159.0</v>
      </c>
      <c r="F6696" s="18">
        <v>12.0</v>
      </c>
    </row>
    <row r="6697">
      <c r="A6697" s="15">
        <v>34.0</v>
      </c>
      <c r="B6697" s="16" t="s">
        <v>11204</v>
      </c>
      <c r="C6697" s="17" t="s">
        <v>5969</v>
      </c>
      <c r="D6697" s="18">
        <v>139.29</v>
      </c>
      <c r="E6697" s="18">
        <v>195.0</v>
      </c>
      <c r="F6697" s="18">
        <v>12.0</v>
      </c>
    </row>
    <row r="6698">
      <c r="A6698" s="15">
        <v>35.0</v>
      </c>
      <c r="B6698" s="16" t="s">
        <v>11205</v>
      </c>
      <c r="C6698" s="17" t="s">
        <v>7424</v>
      </c>
      <c r="D6698" s="18">
        <v>103.57</v>
      </c>
      <c r="E6698" s="18">
        <v>145.0</v>
      </c>
      <c r="F6698" s="18">
        <v>12.0</v>
      </c>
    </row>
    <row r="6699">
      <c r="A6699" s="15">
        <v>36.0</v>
      </c>
      <c r="B6699" s="16" t="s">
        <v>11206</v>
      </c>
      <c r="C6699" s="17" t="s">
        <v>5536</v>
      </c>
      <c r="D6699" s="18">
        <v>130.0</v>
      </c>
      <c r="E6699" s="18">
        <v>182.0</v>
      </c>
      <c r="F6699" s="18">
        <v>12.0</v>
      </c>
    </row>
    <row r="6700">
      <c r="A6700" s="15">
        <v>37.0</v>
      </c>
      <c r="B6700" s="16" t="s">
        <v>11207</v>
      </c>
      <c r="C6700" s="17" t="s">
        <v>5636</v>
      </c>
      <c r="D6700" s="18">
        <v>92.86</v>
      </c>
      <c r="E6700" s="18">
        <v>130.0</v>
      </c>
      <c r="F6700" s="18">
        <v>12.0</v>
      </c>
    </row>
    <row r="6701">
      <c r="A6701" s="15">
        <v>38.0</v>
      </c>
      <c r="B6701" s="16" t="s">
        <v>11208</v>
      </c>
      <c r="C6701" s="17" t="s">
        <v>5636</v>
      </c>
      <c r="D6701" s="18">
        <v>85.71</v>
      </c>
      <c r="E6701" s="18">
        <v>120.0</v>
      </c>
      <c r="F6701" s="18">
        <v>12.0</v>
      </c>
    </row>
    <row r="6702">
      <c r="A6702" s="15">
        <v>39.0</v>
      </c>
      <c r="B6702" s="16" t="s">
        <v>11209</v>
      </c>
      <c r="C6702" s="17" t="s">
        <v>7424</v>
      </c>
      <c r="D6702" s="18">
        <v>98.57</v>
      </c>
      <c r="E6702" s="18">
        <v>138.0</v>
      </c>
      <c r="F6702" s="18">
        <v>12.0</v>
      </c>
    </row>
    <row r="6703">
      <c r="A6703" s="15">
        <v>40.0</v>
      </c>
      <c r="B6703" s="16" t="s">
        <v>11209</v>
      </c>
      <c r="C6703" s="17" t="s">
        <v>5530</v>
      </c>
      <c r="D6703" s="18">
        <v>128.57</v>
      </c>
      <c r="E6703" s="18">
        <v>180.0</v>
      </c>
      <c r="F6703" s="18">
        <v>12.0</v>
      </c>
    </row>
    <row r="6704">
      <c r="A6704" s="15">
        <v>41.0</v>
      </c>
      <c r="B6704" s="16" t="s">
        <v>11209</v>
      </c>
      <c r="C6704" s="17" t="s">
        <v>11210</v>
      </c>
      <c r="D6704" s="18">
        <v>152.9</v>
      </c>
      <c r="E6704" s="18">
        <v>210.0</v>
      </c>
      <c r="F6704" s="18">
        <v>12.0</v>
      </c>
    </row>
    <row r="6705">
      <c r="A6705" s="15">
        <v>42.0</v>
      </c>
      <c r="B6705" s="16" t="s">
        <v>11211</v>
      </c>
      <c r="C6705" s="17" t="s">
        <v>5636</v>
      </c>
      <c r="D6705" s="18">
        <v>350.0</v>
      </c>
      <c r="E6705" s="18">
        <v>490.0</v>
      </c>
      <c r="F6705" s="18">
        <v>12.0</v>
      </c>
    </row>
    <row r="6706">
      <c r="A6706" s="6"/>
      <c r="B6706" s="7"/>
      <c r="C6706" s="7"/>
      <c r="D6706" s="7"/>
      <c r="E6706" s="8"/>
      <c r="F6706" s="16" t="s">
        <v>11212</v>
      </c>
    </row>
    <row r="6707">
      <c r="A6707" s="6"/>
      <c r="B6707" s="7"/>
      <c r="C6707" s="7"/>
      <c r="D6707" s="7"/>
      <c r="E6707" s="7"/>
      <c r="F6707" s="8"/>
    </row>
    <row r="6708">
      <c r="A6708" s="6"/>
      <c r="B6708" s="7"/>
      <c r="C6708" s="7"/>
      <c r="D6708" s="7"/>
      <c r="E6708" s="7"/>
      <c r="F6708" s="8"/>
    </row>
    <row r="6709">
      <c r="A6709" s="6"/>
      <c r="B6709" s="7"/>
      <c r="C6709" s="7"/>
      <c r="D6709" s="7"/>
      <c r="E6709" s="7"/>
      <c r="F6709" s="8"/>
    </row>
    <row r="6710">
      <c r="A6710" s="6"/>
      <c r="B6710" s="7"/>
      <c r="C6710" s="7"/>
      <c r="D6710" s="7"/>
      <c r="E6710" s="7"/>
      <c r="F6710" s="8"/>
    </row>
    <row r="6711">
      <c r="A6711" s="9" t="s">
        <v>5582</v>
      </c>
      <c r="B6711" s="10"/>
      <c r="C6711" s="10"/>
      <c r="D6711" s="10"/>
      <c r="E6711" s="10"/>
      <c r="F6711" s="10"/>
    </row>
    <row r="6712">
      <c r="A6712" s="19" t="s">
        <v>5583</v>
      </c>
    </row>
    <row r="6713">
      <c r="A6713" s="6"/>
      <c r="B6713" s="7"/>
      <c r="C6713" s="7"/>
      <c r="D6713" s="8"/>
      <c r="E6713" s="12" t="s">
        <v>5584</v>
      </c>
      <c r="F6713" s="12" t="s">
        <v>11213</v>
      </c>
    </row>
    <row r="6714">
      <c r="A6714" s="20" t="s">
        <v>5522</v>
      </c>
      <c r="B6714" s="16" t="s">
        <v>5523</v>
      </c>
      <c r="C6714" s="16" t="s">
        <v>5524</v>
      </c>
      <c r="D6714" s="16" t="s">
        <v>5525</v>
      </c>
      <c r="E6714" s="16" t="s">
        <v>5526</v>
      </c>
      <c r="F6714" s="16" t="s">
        <v>5586</v>
      </c>
    </row>
    <row r="6715">
      <c r="A6715" s="15">
        <v>43.0</v>
      </c>
      <c r="B6715" s="16" t="s">
        <v>11214</v>
      </c>
      <c r="C6715" s="17" t="s">
        <v>5886</v>
      </c>
      <c r="D6715" s="18">
        <v>62.14</v>
      </c>
      <c r="E6715" s="18">
        <v>87.0</v>
      </c>
      <c r="F6715" s="18">
        <v>12.0</v>
      </c>
    </row>
    <row r="6716">
      <c r="A6716" s="15">
        <v>44.0</v>
      </c>
      <c r="B6716" s="16" t="s">
        <v>11215</v>
      </c>
      <c r="C6716" s="17" t="s">
        <v>5536</v>
      </c>
      <c r="D6716" s="18">
        <v>91.43</v>
      </c>
      <c r="E6716" s="18">
        <v>128.0</v>
      </c>
      <c r="F6716" s="18">
        <v>12.0</v>
      </c>
    </row>
    <row r="6717">
      <c r="A6717" s="15">
        <v>45.0</v>
      </c>
      <c r="B6717" s="16" t="s">
        <v>11216</v>
      </c>
      <c r="C6717" s="17" t="s">
        <v>5536</v>
      </c>
      <c r="D6717" s="18">
        <v>61.76</v>
      </c>
      <c r="E6717" s="18">
        <v>86.46</v>
      </c>
      <c r="F6717" s="18">
        <v>12.0</v>
      </c>
    </row>
    <row r="6718">
      <c r="A6718" s="15">
        <v>46.0</v>
      </c>
      <c r="B6718" s="16" t="s">
        <v>11217</v>
      </c>
      <c r="C6718" s="17" t="s">
        <v>5536</v>
      </c>
      <c r="D6718" s="18">
        <v>135.0</v>
      </c>
      <c r="E6718" s="18">
        <v>189.0</v>
      </c>
      <c r="F6718" s="18">
        <v>12.0</v>
      </c>
    </row>
    <row r="6719">
      <c r="A6719" s="15">
        <v>47.0</v>
      </c>
      <c r="B6719" s="16" t="s">
        <v>11218</v>
      </c>
      <c r="C6719" s="17" t="s">
        <v>5536</v>
      </c>
      <c r="D6719" s="18">
        <v>20.0</v>
      </c>
      <c r="E6719" s="18">
        <v>28.0</v>
      </c>
      <c r="F6719" s="18">
        <v>12.0</v>
      </c>
    </row>
    <row r="6720">
      <c r="A6720" s="15">
        <v>48.0</v>
      </c>
      <c r="B6720" s="16" t="s">
        <v>11219</v>
      </c>
      <c r="C6720" s="17" t="s">
        <v>5536</v>
      </c>
      <c r="D6720" s="18">
        <v>38.31</v>
      </c>
      <c r="E6720" s="18">
        <v>53.63</v>
      </c>
      <c r="F6720" s="18">
        <v>12.0</v>
      </c>
    </row>
    <row r="6721">
      <c r="A6721" s="15">
        <v>49.0</v>
      </c>
      <c r="B6721" s="16" t="s">
        <v>11220</v>
      </c>
      <c r="C6721" s="17" t="s">
        <v>5818</v>
      </c>
      <c r="D6721" s="18">
        <v>57.86</v>
      </c>
      <c r="E6721" s="18">
        <v>81.0</v>
      </c>
      <c r="F6721" s="18">
        <v>12.0</v>
      </c>
    </row>
    <row r="6722">
      <c r="A6722" s="15">
        <v>50.0</v>
      </c>
      <c r="B6722" s="16" t="s">
        <v>11220</v>
      </c>
      <c r="C6722" s="17" t="s">
        <v>5966</v>
      </c>
      <c r="D6722" s="18">
        <v>78.57</v>
      </c>
      <c r="E6722" s="18">
        <v>110.0</v>
      </c>
      <c r="F6722" s="18">
        <v>12.0</v>
      </c>
    </row>
    <row r="6723">
      <c r="A6723" s="15">
        <v>51.0</v>
      </c>
      <c r="B6723" s="16" t="s">
        <v>11221</v>
      </c>
      <c r="C6723" s="17" t="s">
        <v>5536</v>
      </c>
      <c r="D6723" s="18">
        <v>36.39</v>
      </c>
      <c r="E6723" s="18">
        <v>50.0</v>
      </c>
      <c r="F6723" s="18">
        <v>12.0</v>
      </c>
    </row>
    <row r="6724">
      <c r="A6724" s="15">
        <v>52.0</v>
      </c>
      <c r="B6724" s="16" t="s">
        <v>11222</v>
      </c>
      <c r="C6724" s="17" t="s">
        <v>5966</v>
      </c>
      <c r="D6724" s="18">
        <v>80.72</v>
      </c>
      <c r="E6724" s="18">
        <v>113.0</v>
      </c>
      <c r="F6724" s="18">
        <v>12.0</v>
      </c>
    </row>
    <row r="6725">
      <c r="A6725" s="15">
        <v>53.0</v>
      </c>
      <c r="B6725" s="16" t="s">
        <v>11222</v>
      </c>
      <c r="C6725" s="17" t="s">
        <v>5967</v>
      </c>
      <c r="D6725" s="18">
        <v>151.43</v>
      </c>
      <c r="E6725" s="18">
        <v>212.0</v>
      </c>
      <c r="F6725" s="18">
        <v>12.0</v>
      </c>
    </row>
    <row r="6726">
      <c r="A6726" s="15">
        <v>54.0</v>
      </c>
      <c r="B6726" s="16" t="s">
        <v>11222</v>
      </c>
      <c r="C6726" s="17" t="s">
        <v>5968</v>
      </c>
      <c r="D6726" s="18">
        <v>211.43</v>
      </c>
      <c r="E6726" s="18">
        <v>296.0</v>
      </c>
      <c r="F6726" s="18">
        <v>12.0</v>
      </c>
    </row>
    <row r="6727">
      <c r="A6727" s="15">
        <v>55.0</v>
      </c>
      <c r="B6727" s="16" t="s">
        <v>11223</v>
      </c>
      <c r="C6727" s="17" t="s">
        <v>5536</v>
      </c>
      <c r="D6727" s="18">
        <v>152.86</v>
      </c>
      <c r="E6727" s="18">
        <v>214.0</v>
      </c>
      <c r="F6727" s="18">
        <v>12.0</v>
      </c>
    </row>
    <row r="6728">
      <c r="A6728" s="15">
        <v>56.0</v>
      </c>
      <c r="B6728" s="16" t="s">
        <v>11224</v>
      </c>
      <c r="C6728" s="17" t="s">
        <v>5536</v>
      </c>
      <c r="D6728" s="18">
        <v>55.0</v>
      </c>
      <c r="E6728" s="18">
        <v>77.0</v>
      </c>
      <c r="F6728" s="18">
        <v>12.0</v>
      </c>
    </row>
    <row r="6729">
      <c r="A6729" s="15">
        <v>57.0</v>
      </c>
      <c r="B6729" s="16" t="s">
        <v>11225</v>
      </c>
      <c r="C6729" s="17" t="s">
        <v>5536</v>
      </c>
      <c r="D6729" s="18">
        <v>87.14</v>
      </c>
      <c r="E6729" s="18">
        <v>122.0</v>
      </c>
      <c r="F6729" s="18">
        <v>12.0</v>
      </c>
    </row>
    <row r="6730">
      <c r="A6730" s="15">
        <v>58.0</v>
      </c>
      <c r="B6730" s="16" t="s">
        <v>11226</v>
      </c>
      <c r="C6730" s="17" t="s">
        <v>6669</v>
      </c>
      <c r="D6730" s="18">
        <v>36.43</v>
      </c>
      <c r="E6730" s="18">
        <v>48.0</v>
      </c>
      <c r="F6730" s="18">
        <v>12.0</v>
      </c>
    </row>
    <row r="6731">
      <c r="A6731" s="15">
        <v>59.0</v>
      </c>
      <c r="B6731" s="16" t="s">
        <v>11227</v>
      </c>
      <c r="C6731" s="17" t="s">
        <v>5614</v>
      </c>
      <c r="D6731" s="18">
        <v>67.14</v>
      </c>
      <c r="E6731" s="18">
        <v>94.0</v>
      </c>
      <c r="F6731" s="18">
        <v>12.0</v>
      </c>
    </row>
    <row r="6732">
      <c r="A6732" s="15">
        <v>60.0</v>
      </c>
      <c r="B6732" s="16" t="s">
        <v>11228</v>
      </c>
      <c r="C6732" s="17" t="s">
        <v>5536</v>
      </c>
      <c r="D6732" s="18">
        <v>150.0</v>
      </c>
      <c r="E6732" s="18">
        <v>210.0</v>
      </c>
      <c r="F6732" s="18">
        <v>12.0</v>
      </c>
    </row>
    <row r="6733">
      <c r="A6733" s="15">
        <v>61.0</v>
      </c>
      <c r="B6733" s="16" t="s">
        <v>11229</v>
      </c>
      <c r="C6733" s="17" t="s">
        <v>5536</v>
      </c>
      <c r="D6733" s="18">
        <v>95.71</v>
      </c>
      <c r="E6733" s="18">
        <v>134.0</v>
      </c>
      <c r="F6733" s="18">
        <v>12.0</v>
      </c>
    </row>
    <row r="6734">
      <c r="A6734" s="6"/>
      <c r="B6734" s="7"/>
      <c r="C6734" s="7"/>
      <c r="D6734" s="7"/>
      <c r="E6734" s="7"/>
      <c r="F6734" s="8"/>
    </row>
    <row r="6735">
      <c r="A6735" s="9" t="s">
        <v>11230</v>
      </c>
      <c r="B6735" s="10"/>
      <c r="C6735" s="10"/>
      <c r="D6735" s="10"/>
      <c r="E6735" s="10"/>
      <c r="F6735" s="10"/>
    </row>
    <row r="6736">
      <c r="A6736" s="11">
        <v>1.0</v>
      </c>
      <c r="B6736" s="12" t="s">
        <v>11231</v>
      </c>
      <c r="C6736" s="13" t="s">
        <v>11232</v>
      </c>
      <c r="D6736" s="14">
        <v>300.68</v>
      </c>
      <c r="E6736" s="14">
        <v>443.5</v>
      </c>
      <c r="F6736" s="14">
        <v>18.0</v>
      </c>
    </row>
    <row r="6737">
      <c r="A6737" s="15">
        <v>2.0</v>
      </c>
      <c r="B6737" s="16" t="s">
        <v>11233</v>
      </c>
      <c r="C6737" s="16" t="s">
        <v>2274</v>
      </c>
      <c r="D6737" s="18">
        <v>140.36</v>
      </c>
      <c r="E6737" s="18">
        <v>196.5</v>
      </c>
      <c r="F6737" s="18">
        <v>12.0</v>
      </c>
    </row>
    <row r="6738">
      <c r="A6738" s="15">
        <v>3.0</v>
      </c>
      <c r="B6738" s="16" t="s">
        <v>11234</v>
      </c>
      <c r="C6738" s="17" t="s">
        <v>9020</v>
      </c>
      <c r="D6738" s="18">
        <v>105.71</v>
      </c>
      <c r="E6738" s="18">
        <v>148.0</v>
      </c>
      <c r="F6738" s="18">
        <v>12.0</v>
      </c>
    </row>
    <row r="6739">
      <c r="A6739" s="15">
        <v>4.0</v>
      </c>
      <c r="B6739" s="16" t="s">
        <v>11235</v>
      </c>
      <c r="C6739" s="17" t="s">
        <v>5827</v>
      </c>
      <c r="D6739" s="18">
        <v>124.64</v>
      </c>
      <c r="E6739" s="18">
        <v>174.5</v>
      </c>
      <c r="F6739" s="18">
        <v>12.0</v>
      </c>
    </row>
    <row r="6740">
      <c r="A6740" s="15">
        <v>5.0</v>
      </c>
      <c r="B6740" s="16" t="s">
        <v>11236</v>
      </c>
      <c r="C6740" s="17" t="s">
        <v>6452</v>
      </c>
      <c r="D6740" s="18">
        <v>155.71</v>
      </c>
      <c r="E6740" s="18">
        <v>218.0</v>
      </c>
      <c r="F6740" s="18">
        <v>12.0</v>
      </c>
    </row>
    <row r="6741">
      <c r="A6741" s="15">
        <v>6.0</v>
      </c>
      <c r="B6741" s="16" t="s">
        <v>11237</v>
      </c>
      <c r="C6741" s="17" t="s">
        <v>6452</v>
      </c>
      <c r="D6741" s="18">
        <v>168.57</v>
      </c>
      <c r="E6741" s="18">
        <v>236.0</v>
      </c>
      <c r="F6741" s="18">
        <v>12.0</v>
      </c>
    </row>
    <row r="6742">
      <c r="A6742" s="15">
        <v>7.0</v>
      </c>
      <c r="B6742" s="16" t="s">
        <v>11237</v>
      </c>
      <c r="C6742" s="17" t="s">
        <v>6864</v>
      </c>
      <c r="D6742" s="18">
        <v>93.21</v>
      </c>
      <c r="E6742" s="18">
        <v>130.5</v>
      </c>
      <c r="F6742" s="18">
        <v>12.0</v>
      </c>
    </row>
    <row r="6743">
      <c r="A6743" s="15">
        <v>8.0</v>
      </c>
      <c r="B6743" s="16" t="s">
        <v>11238</v>
      </c>
      <c r="C6743" s="17" t="s">
        <v>5827</v>
      </c>
      <c r="D6743" s="18">
        <v>114.21</v>
      </c>
      <c r="E6743" s="18">
        <v>159.9</v>
      </c>
      <c r="F6743" s="18">
        <v>12.0</v>
      </c>
    </row>
    <row r="6744">
      <c r="A6744" s="15">
        <v>9.0</v>
      </c>
      <c r="B6744" s="16" t="s">
        <v>11238</v>
      </c>
      <c r="C6744" s="17" t="s">
        <v>5742</v>
      </c>
      <c r="D6744" s="18">
        <v>213.57</v>
      </c>
      <c r="E6744" s="18">
        <v>299.0</v>
      </c>
      <c r="F6744" s="18">
        <v>12.0</v>
      </c>
    </row>
    <row r="6745">
      <c r="A6745" s="15">
        <v>10.0</v>
      </c>
      <c r="B6745" s="16" t="s">
        <v>11238</v>
      </c>
      <c r="C6745" s="17" t="s">
        <v>5828</v>
      </c>
      <c r="D6745" s="18">
        <v>270.71</v>
      </c>
      <c r="E6745" s="18">
        <v>379.0</v>
      </c>
      <c r="F6745" s="18">
        <v>12.0</v>
      </c>
    </row>
    <row r="6746">
      <c r="A6746" s="15">
        <v>11.0</v>
      </c>
      <c r="B6746" s="16" t="s">
        <v>11238</v>
      </c>
      <c r="C6746" s="17" t="s">
        <v>5674</v>
      </c>
      <c r="D6746" s="18">
        <v>391.43</v>
      </c>
      <c r="E6746" s="18">
        <v>548.0</v>
      </c>
      <c r="F6746" s="18">
        <v>12.0</v>
      </c>
    </row>
    <row r="6747">
      <c r="A6747" s="15">
        <v>12.0</v>
      </c>
      <c r="B6747" s="16" t="s">
        <v>11238</v>
      </c>
      <c r="C6747" s="17" t="s">
        <v>7554</v>
      </c>
      <c r="D6747" s="18">
        <v>156.07</v>
      </c>
      <c r="E6747" s="18">
        <v>218.5</v>
      </c>
      <c r="F6747" s="18">
        <v>12.0</v>
      </c>
    </row>
    <row r="6748">
      <c r="A6748" s="15">
        <v>13.0</v>
      </c>
      <c r="B6748" s="16" t="s">
        <v>11238</v>
      </c>
      <c r="C6748" s="17" t="s">
        <v>11239</v>
      </c>
      <c r="D6748" s="18">
        <v>301.79</v>
      </c>
      <c r="E6748" s="18">
        <v>422.5</v>
      </c>
      <c r="F6748" s="18">
        <v>12.0</v>
      </c>
    </row>
    <row r="6749">
      <c r="A6749" s="6"/>
      <c r="B6749" s="7"/>
      <c r="C6749" s="7"/>
      <c r="D6749" s="7"/>
      <c r="E6749" s="7"/>
      <c r="F6749" s="8"/>
    </row>
    <row r="6750">
      <c r="A6750" s="9" t="s">
        <v>5515</v>
      </c>
      <c r="B6750" s="10"/>
      <c r="C6750" s="10"/>
      <c r="D6750" s="10"/>
      <c r="E6750" s="10"/>
      <c r="F6750" s="10"/>
    </row>
    <row r="6751">
      <c r="A6751" s="11">
        <v>1.0</v>
      </c>
      <c r="B6751" s="12" t="s">
        <v>11240</v>
      </c>
      <c r="C6751" s="13" t="s">
        <v>7905</v>
      </c>
      <c r="D6751" s="14">
        <v>100.0</v>
      </c>
      <c r="E6751" s="14">
        <v>140.0</v>
      </c>
      <c r="F6751" s="14">
        <v>12.0</v>
      </c>
    </row>
    <row r="6752">
      <c r="A6752" s="15">
        <v>2.0</v>
      </c>
      <c r="B6752" s="16" t="s">
        <v>11241</v>
      </c>
      <c r="C6752" s="17" t="s">
        <v>7905</v>
      </c>
      <c r="D6752" s="18">
        <v>178.57</v>
      </c>
      <c r="E6752" s="18">
        <v>250.0</v>
      </c>
      <c r="F6752" s="18">
        <v>12.0</v>
      </c>
    </row>
    <row r="6753">
      <c r="A6753" s="15">
        <v>3.0</v>
      </c>
      <c r="B6753" s="16" t="s">
        <v>11242</v>
      </c>
      <c r="C6753" s="17" t="s">
        <v>7986</v>
      </c>
      <c r="D6753" s="18">
        <v>214.29</v>
      </c>
      <c r="E6753" s="18">
        <v>300.0</v>
      </c>
      <c r="F6753" s="18">
        <v>12.0</v>
      </c>
    </row>
    <row r="6754">
      <c r="A6754" s="15">
        <v>4.0</v>
      </c>
      <c r="B6754" s="16" t="s">
        <v>11242</v>
      </c>
      <c r="C6754" s="17" t="s">
        <v>11243</v>
      </c>
      <c r="D6754" s="18">
        <v>375.0</v>
      </c>
      <c r="E6754" s="18">
        <v>525.0</v>
      </c>
      <c r="F6754" s="18">
        <v>12.0</v>
      </c>
    </row>
    <row r="6755">
      <c r="A6755" s="15">
        <v>5.0</v>
      </c>
      <c r="B6755" s="16" t="s">
        <v>11244</v>
      </c>
      <c r="C6755" s="17" t="s">
        <v>6456</v>
      </c>
      <c r="D6755" s="18">
        <v>96.43</v>
      </c>
      <c r="E6755" s="18">
        <v>135.0</v>
      </c>
      <c r="F6755" s="18">
        <v>12.0</v>
      </c>
    </row>
    <row r="6756">
      <c r="A6756" s="15">
        <v>6.0</v>
      </c>
      <c r="B6756" s="16" t="s">
        <v>11245</v>
      </c>
      <c r="C6756" s="17" t="s">
        <v>11246</v>
      </c>
      <c r="D6756" s="18">
        <v>317.29</v>
      </c>
      <c r="E6756" s="18">
        <v>468.0</v>
      </c>
      <c r="F6756" s="18">
        <v>18.0</v>
      </c>
    </row>
    <row r="6757">
      <c r="A6757" s="15">
        <v>7.0</v>
      </c>
      <c r="B6757" s="16" t="s">
        <v>11245</v>
      </c>
      <c r="C6757" s="17" t="s">
        <v>7986</v>
      </c>
      <c r="D6757" s="18">
        <v>562.03</v>
      </c>
      <c r="E6757" s="18">
        <v>829.0</v>
      </c>
      <c r="F6757" s="18">
        <v>18.0</v>
      </c>
    </row>
    <row r="6758">
      <c r="A6758" s="6"/>
      <c r="B6758" s="7"/>
      <c r="C6758" s="7"/>
      <c r="D6758" s="7"/>
      <c r="E6758" s="7"/>
      <c r="F6758" s="8"/>
    </row>
    <row r="6759">
      <c r="A6759" s="24" t="s">
        <v>11247</v>
      </c>
      <c r="B6759" s="10"/>
      <c r="C6759" s="10"/>
      <c r="D6759" s="10"/>
      <c r="E6759" s="10"/>
      <c r="F6759" s="10"/>
    </row>
  </sheetData>
  <autoFilter ref="$A$1:$F$6759"/>
  <mergeCells count="1216">
    <mergeCell ref="A3:F3"/>
    <mergeCell ref="A4:F4"/>
    <mergeCell ref="A12:F12"/>
    <mergeCell ref="A13:F13"/>
    <mergeCell ref="A41:F41"/>
    <mergeCell ref="A42:F42"/>
    <mergeCell ref="A43:F43"/>
    <mergeCell ref="A44:F44"/>
    <mergeCell ref="A46:E46"/>
    <mergeCell ref="A47:F47"/>
    <mergeCell ref="A48:F48"/>
    <mergeCell ref="A49:F49"/>
    <mergeCell ref="A50:F50"/>
    <mergeCell ref="A51:F51"/>
    <mergeCell ref="A52:F52"/>
    <mergeCell ref="A53:D53"/>
    <mergeCell ref="A60:F60"/>
    <mergeCell ref="A61:F61"/>
    <mergeCell ref="A96:F96"/>
    <mergeCell ref="A97:F97"/>
    <mergeCell ref="A116:E116"/>
    <mergeCell ref="A117:F117"/>
    <mergeCell ref="A118:F118"/>
    <mergeCell ref="A119:F119"/>
    <mergeCell ref="A120:F120"/>
    <mergeCell ref="A121:F121"/>
    <mergeCell ref="A122:F122"/>
    <mergeCell ref="A123:D123"/>
    <mergeCell ref="A186:E186"/>
    <mergeCell ref="A187:F187"/>
    <mergeCell ref="A188:F188"/>
    <mergeCell ref="A189:F189"/>
    <mergeCell ref="A190:F190"/>
    <mergeCell ref="A191:F191"/>
    <mergeCell ref="A192:F192"/>
    <mergeCell ref="A193:D193"/>
    <mergeCell ref="A256:E256"/>
    <mergeCell ref="A257:F257"/>
    <mergeCell ref="A258:F258"/>
    <mergeCell ref="A259:F259"/>
    <mergeCell ref="A260:F260"/>
    <mergeCell ref="A261:F261"/>
    <mergeCell ref="A262:F262"/>
    <mergeCell ref="A263:D263"/>
    <mergeCell ref="A266:F266"/>
    <mergeCell ref="A267:F267"/>
    <mergeCell ref="A326:E326"/>
    <mergeCell ref="A327:F327"/>
    <mergeCell ref="A328:F328"/>
    <mergeCell ref="A329:F329"/>
    <mergeCell ref="A330:F330"/>
    <mergeCell ref="A331:F331"/>
    <mergeCell ref="A332:F332"/>
    <mergeCell ref="A333:D333"/>
    <mergeCell ref="A396:E396"/>
    <mergeCell ref="A397:F397"/>
    <mergeCell ref="A398:F398"/>
    <mergeCell ref="A399:F399"/>
    <mergeCell ref="A400:F400"/>
    <mergeCell ref="A401:F401"/>
    <mergeCell ref="A402:F402"/>
    <mergeCell ref="A403:D403"/>
    <mergeCell ref="A466:E466"/>
    <mergeCell ref="A467:F467"/>
    <mergeCell ref="A468:F468"/>
    <mergeCell ref="A469:F469"/>
    <mergeCell ref="A470:F470"/>
    <mergeCell ref="A471:F471"/>
    <mergeCell ref="A472:F472"/>
    <mergeCell ref="A473:D473"/>
    <mergeCell ref="A536:E536"/>
    <mergeCell ref="A537:F537"/>
    <mergeCell ref="A538:F538"/>
    <mergeCell ref="A539:F539"/>
    <mergeCell ref="A540:F540"/>
    <mergeCell ref="A541:F541"/>
    <mergeCell ref="A542:F542"/>
    <mergeCell ref="A543:D543"/>
    <mergeCell ref="A574:F574"/>
    <mergeCell ref="A575:F575"/>
    <mergeCell ref="A580:F580"/>
    <mergeCell ref="A581:F581"/>
    <mergeCell ref="A582:F582"/>
    <mergeCell ref="A583:F583"/>
    <mergeCell ref="A584:F584"/>
    <mergeCell ref="A585:F585"/>
    <mergeCell ref="A592:F592"/>
    <mergeCell ref="A593:F593"/>
    <mergeCell ref="A599:F599"/>
    <mergeCell ref="A600:F600"/>
    <mergeCell ref="A606:E606"/>
    <mergeCell ref="A607:F607"/>
    <mergeCell ref="A608:F608"/>
    <mergeCell ref="A609:F609"/>
    <mergeCell ref="A610:F610"/>
    <mergeCell ref="A611:F611"/>
    <mergeCell ref="A612:F612"/>
    <mergeCell ref="A613:D613"/>
    <mergeCell ref="A615:F615"/>
    <mergeCell ref="A616:F616"/>
    <mergeCell ref="A618:F618"/>
    <mergeCell ref="A619:F619"/>
    <mergeCell ref="A625:F625"/>
    <mergeCell ref="A626:F626"/>
    <mergeCell ref="A627:F627"/>
    <mergeCell ref="A628:F628"/>
    <mergeCell ref="A635:F635"/>
    <mergeCell ref="A636:F636"/>
    <mergeCell ref="A639:F639"/>
    <mergeCell ref="A640:F640"/>
    <mergeCell ref="A643:F643"/>
    <mergeCell ref="A644:F644"/>
    <mergeCell ref="A648:F648"/>
    <mergeCell ref="A649:F649"/>
    <mergeCell ref="A663:F663"/>
    <mergeCell ref="A664:F664"/>
    <mergeCell ref="A673:F673"/>
    <mergeCell ref="A674:F674"/>
    <mergeCell ref="A676:E676"/>
    <mergeCell ref="A677:F677"/>
    <mergeCell ref="A678:F678"/>
    <mergeCell ref="A679:F679"/>
    <mergeCell ref="A680:F680"/>
    <mergeCell ref="A681:F681"/>
    <mergeCell ref="A682:F682"/>
    <mergeCell ref="A683:D683"/>
    <mergeCell ref="A746:E746"/>
    <mergeCell ref="A747:F747"/>
    <mergeCell ref="A748:F748"/>
    <mergeCell ref="A749:F749"/>
    <mergeCell ref="A750:F750"/>
    <mergeCell ref="A751:F751"/>
    <mergeCell ref="A752:F752"/>
    <mergeCell ref="A753:D753"/>
    <mergeCell ref="A774:F774"/>
    <mergeCell ref="A775:F775"/>
    <mergeCell ref="A806:F806"/>
    <mergeCell ref="A807:F807"/>
    <mergeCell ref="A811:F811"/>
    <mergeCell ref="A812:F812"/>
    <mergeCell ref="A816:E816"/>
    <mergeCell ref="A817:F817"/>
    <mergeCell ref="A818:F818"/>
    <mergeCell ref="A819:F819"/>
    <mergeCell ref="A820:F820"/>
    <mergeCell ref="A821:F821"/>
    <mergeCell ref="A822:F822"/>
    <mergeCell ref="A823:D823"/>
    <mergeCell ref="A832:F832"/>
    <mergeCell ref="A833:F833"/>
    <mergeCell ref="A865:F865"/>
    <mergeCell ref="A866:F866"/>
    <mergeCell ref="A886:E886"/>
    <mergeCell ref="A887:F887"/>
    <mergeCell ref="A888:F888"/>
    <mergeCell ref="A889:F889"/>
    <mergeCell ref="A890:F890"/>
    <mergeCell ref="A891:F891"/>
    <mergeCell ref="A892:F892"/>
    <mergeCell ref="A893:D893"/>
    <mergeCell ref="A924:F924"/>
    <mergeCell ref="A925:F925"/>
    <mergeCell ref="A956:E956"/>
    <mergeCell ref="A957:F957"/>
    <mergeCell ref="A958:F958"/>
    <mergeCell ref="A959:F959"/>
    <mergeCell ref="A960:F960"/>
    <mergeCell ref="A961:F961"/>
    <mergeCell ref="A962:F962"/>
    <mergeCell ref="A963:D963"/>
    <mergeCell ref="A970:F970"/>
    <mergeCell ref="A971:F971"/>
    <mergeCell ref="A973:F973"/>
    <mergeCell ref="A974:F974"/>
    <mergeCell ref="A988:F988"/>
    <mergeCell ref="A989:F989"/>
    <mergeCell ref="A1011:F1011"/>
    <mergeCell ref="A1012:F1012"/>
    <mergeCell ref="A1026:E1026"/>
    <mergeCell ref="A1027:F1027"/>
    <mergeCell ref="A1028:F1028"/>
    <mergeCell ref="A1029:F1029"/>
    <mergeCell ref="A1030:F1030"/>
    <mergeCell ref="A1031:F1031"/>
    <mergeCell ref="A1032:F1032"/>
    <mergeCell ref="A1033:D1033"/>
    <mergeCell ref="A1043:F1043"/>
    <mergeCell ref="A1044:F1044"/>
    <mergeCell ref="A1054:F1054"/>
    <mergeCell ref="A1055:F1055"/>
    <mergeCell ref="A1060:F1060"/>
    <mergeCell ref="A1061:F1061"/>
    <mergeCell ref="A1091:F1091"/>
    <mergeCell ref="A1092:F1092"/>
    <mergeCell ref="A1096:E1096"/>
    <mergeCell ref="A1097:F1097"/>
    <mergeCell ref="A1308:F1308"/>
    <mergeCell ref="A1309:F1309"/>
    <mergeCell ref="A1310:F1310"/>
    <mergeCell ref="A1311:F1311"/>
    <mergeCell ref="A1312:F1312"/>
    <mergeCell ref="A1313:D1313"/>
    <mergeCell ref="A1332:F1332"/>
    <mergeCell ref="A1333:F1333"/>
    <mergeCell ref="A1359:F1359"/>
    <mergeCell ref="A1360:F1360"/>
    <mergeCell ref="A1361:F1361"/>
    <mergeCell ref="A1362:F1362"/>
    <mergeCell ref="A1383:F1383"/>
    <mergeCell ref="A1384:F1384"/>
    <mergeCell ref="A1098:F1098"/>
    <mergeCell ref="A1099:F1099"/>
    <mergeCell ref="A1100:F1100"/>
    <mergeCell ref="A1101:F1101"/>
    <mergeCell ref="A1102:F1102"/>
    <mergeCell ref="A1103:D1103"/>
    <mergeCell ref="A1119:F1119"/>
    <mergeCell ref="A1120:F1120"/>
    <mergeCell ref="A1136:F1136"/>
    <mergeCell ref="A1137:F1137"/>
    <mergeCell ref="A1166:E1166"/>
    <mergeCell ref="A1167:F1167"/>
    <mergeCell ref="A1168:F1168"/>
    <mergeCell ref="A1169:F1169"/>
    <mergeCell ref="A1170:F1170"/>
    <mergeCell ref="A1171:F1171"/>
    <mergeCell ref="A1172:F1172"/>
    <mergeCell ref="A1173:D1173"/>
    <mergeCell ref="A1182:F1182"/>
    <mergeCell ref="A1183:F1183"/>
    <mergeCell ref="A1219:F1219"/>
    <mergeCell ref="A1220:F1220"/>
    <mergeCell ref="A1221:F1221"/>
    <mergeCell ref="A1222:F1222"/>
    <mergeCell ref="A1223:F1223"/>
    <mergeCell ref="A1224:F1224"/>
    <mergeCell ref="A1226:F1226"/>
    <mergeCell ref="A1227:F1227"/>
    <mergeCell ref="A1231:F1231"/>
    <mergeCell ref="A1232:F1232"/>
    <mergeCell ref="A1236:E1236"/>
    <mergeCell ref="A1237:F1237"/>
    <mergeCell ref="A1238:F1238"/>
    <mergeCell ref="A1239:F1239"/>
    <mergeCell ref="A1240:F1240"/>
    <mergeCell ref="A1241:F1241"/>
    <mergeCell ref="A1242:F1242"/>
    <mergeCell ref="A1243:D1243"/>
    <mergeCell ref="A1248:F1248"/>
    <mergeCell ref="A1249:F1249"/>
    <mergeCell ref="A1306:E1306"/>
    <mergeCell ref="A1307:F1307"/>
    <mergeCell ref="A1391:F1391"/>
    <mergeCell ref="A1392:F1392"/>
    <mergeCell ref="A1431:E1431"/>
    <mergeCell ref="A1432:F1432"/>
    <mergeCell ref="A1433:F1433"/>
    <mergeCell ref="A1434:F1434"/>
    <mergeCell ref="A1435:F1435"/>
    <mergeCell ref="A1436:F1436"/>
    <mergeCell ref="A1437:F1437"/>
    <mergeCell ref="A1438:D1438"/>
    <mergeCell ref="A1466:F1466"/>
    <mergeCell ref="A1467:F1467"/>
    <mergeCell ref="A1474:F1474"/>
    <mergeCell ref="A1475:F1475"/>
    <mergeCell ref="A1476:F1476"/>
    <mergeCell ref="A1477:F1477"/>
    <mergeCell ref="A1478:F1478"/>
    <mergeCell ref="A1479:F1479"/>
    <mergeCell ref="A1493:F1493"/>
    <mergeCell ref="A1494:F1494"/>
    <mergeCell ref="A1501:E1501"/>
    <mergeCell ref="A1502:F1502"/>
    <mergeCell ref="A1503:F1503"/>
    <mergeCell ref="A1504:F1504"/>
    <mergeCell ref="A1505:F1505"/>
    <mergeCell ref="A1506:F1506"/>
    <mergeCell ref="A1507:F1507"/>
    <mergeCell ref="A1508:D1508"/>
    <mergeCell ref="A1514:F1514"/>
    <mergeCell ref="A1515:F1515"/>
    <mergeCell ref="A1551:F1551"/>
    <mergeCell ref="A1552:F1552"/>
    <mergeCell ref="A1571:E1571"/>
    <mergeCell ref="A1572:F1572"/>
    <mergeCell ref="A1573:F1573"/>
    <mergeCell ref="A1574:F1574"/>
    <mergeCell ref="A1575:F1575"/>
    <mergeCell ref="A1576:F1576"/>
    <mergeCell ref="A1577:F1577"/>
    <mergeCell ref="A1578:D1578"/>
    <mergeCell ref="A1588:F1588"/>
    <mergeCell ref="A1589:F1589"/>
    <mergeCell ref="A1621:F1621"/>
    <mergeCell ref="A1622:F1622"/>
    <mergeCell ref="A1625:F1625"/>
    <mergeCell ref="A1626:F1626"/>
    <mergeCell ref="A1629:F1629"/>
    <mergeCell ref="A1630:F1630"/>
    <mergeCell ref="A1634:F1634"/>
    <mergeCell ref="A1635:F1635"/>
    <mergeCell ref="A1641:E1641"/>
    <mergeCell ref="A1642:F1642"/>
    <mergeCell ref="A1643:F1643"/>
    <mergeCell ref="A1644:F1644"/>
    <mergeCell ref="A1645:F1645"/>
    <mergeCell ref="A1646:F1646"/>
    <mergeCell ref="A2255:F2255"/>
    <mergeCell ref="A2256:F2256"/>
    <mergeCell ref="A2271:E2271"/>
    <mergeCell ref="A2272:F2272"/>
    <mergeCell ref="A2273:F2273"/>
    <mergeCell ref="A2274:F2274"/>
    <mergeCell ref="A2275:F2275"/>
    <mergeCell ref="A2276:F2276"/>
    <mergeCell ref="A2277:F2277"/>
    <mergeCell ref="A2278:D2278"/>
    <mergeCell ref="A2300:F2300"/>
    <mergeCell ref="A2301:F2301"/>
    <mergeCell ref="A2341:E2341"/>
    <mergeCell ref="A2342:F2342"/>
    <mergeCell ref="A2343:F2343"/>
    <mergeCell ref="A2344:F2344"/>
    <mergeCell ref="A2345:F2345"/>
    <mergeCell ref="A2346:F2346"/>
    <mergeCell ref="A2347:F2347"/>
    <mergeCell ref="A2348:D2348"/>
    <mergeCell ref="A2350:F2350"/>
    <mergeCell ref="A2351:F2351"/>
    <mergeCell ref="A2386:F2386"/>
    <mergeCell ref="A2387:F2387"/>
    <mergeCell ref="A2411:E2411"/>
    <mergeCell ref="A2412:F2412"/>
    <mergeCell ref="A2413:F2413"/>
    <mergeCell ref="A2414:F2414"/>
    <mergeCell ref="A2415:F2415"/>
    <mergeCell ref="A2416:F2416"/>
    <mergeCell ref="A2417:F2417"/>
    <mergeCell ref="A2418:D2418"/>
    <mergeCell ref="A2439:F2439"/>
    <mergeCell ref="A2440:F2440"/>
    <mergeCell ref="A2481:E2481"/>
    <mergeCell ref="A2482:F2482"/>
    <mergeCell ref="A2483:F2483"/>
    <mergeCell ref="A2484:F2484"/>
    <mergeCell ref="A2485:F2485"/>
    <mergeCell ref="A2486:F2486"/>
    <mergeCell ref="A2487:F2487"/>
    <mergeCell ref="A2488:D2488"/>
    <mergeCell ref="A2786:F2786"/>
    <mergeCell ref="A2816:E2816"/>
    <mergeCell ref="A2817:F2817"/>
    <mergeCell ref="A2818:F2818"/>
    <mergeCell ref="A2819:F2819"/>
    <mergeCell ref="A2820:F2820"/>
    <mergeCell ref="A2821:F2821"/>
    <mergeCell ref="A2822:F2822"/>
    <mergeCell ref="A2823:D2823"/>
    <mergeCell ref="A2842:F2842"/>
    <mergeCell ref="A2886:E2886"/>
    <mergeCell ref="A2887:F2887"/>
    <mergeCell ref="A2888:F2888"/>
    <mergeCell ref="A2889:F2889"/>
    <mergeCell ref="A2890:F2890"/>
    <mergeCell ref="A2891:F2891"/>
    <mergeCell ref="A2892:F2892"/>
    <mergeCell ref="A2893:D2893"/>
    <mergeCell ref="A2895:F2895"/>
    <mergeCell ref="A2916:F2916"/>
    <mergeCell ref="A2918:F2918"/>
    <mergeCell ref="A2953:F2953"/>
    <mergeCell ref="A2956:E2956"/>
    <mergeCell ref="A2957:F2957"/>
    <mergeCell ref="A2958:F2958"/>
    <mergeCell ref="A2959:F2959"/>
    <mergeCell ref="A2960:F2960"/>
    <mergeCell ref="A2961:F2961"/>
    <mergeCell ref="A2962:F2962"/>
    <mergeCell ref="A2963:D2963"/>
    <mergeCell ref="A2986:F2986"/>
    <mergeCell ref="A2988:F2988"/>
    <mergeCell ref="A3003:F3003"/>
    <mergeCell ref="A3004:F3004"/>
    <mergeCell ref="A3026:E3026"/>
    <mergeCell ref="A3027:F3027"/>
    <mergeCell ref="A3028:F3028"/>
    <mergeCell ref="A3029:F3029"/>
    <mergeCell ref="A3030:F3030"/>
    <mergeCell ref="A3031:F3031"/>
    <mergeCell ref="A3032:F3032"/>
    <mergeCell ref="A3033:D3033"/>
    <mergeCell ref="A3048:F3048"/>
    <mergeCell ref="A3049:F3049"/>
    <mergeCell ref="A3069:F3069"/>
    <mergeCell ref="A3070:F3070"/>
    <mergeCell ref="A3096:E3096"/>
    <mergeCell ref="A3097:F3097"/>
    <mergeCell ref="A3098:F3098"/>
    <mergeCell ref="A3099:F3099"/>
    <mergeCell ref="A3100:F3100"/>
    <mergeCell ref="A3101:F3101"/>
    <mergeCell ref="A3102:F3102"/>
    <mergeCell ref="A3103:D3103"/>
    <mergeCell ref="A3143:F3143"/>
    <mergeCell ref="A3144:F3144"/>
    <mergeCell ref="A3160:F3160"/>
    <mergeCell ref="A3161:F3161"/>
    <mergeCell ref="A3166:E3166"/>
    <mergeCell ref="A3167:F3167"/>
    <mergeCell ref="A3168:F3168"/>
    <mergeCell ref="A3169:F3169"/>
    <mergeCell ref="A3170:F3170"/>
    <mergeCell ref="A3171:F3171"/>
    <mergeCell ref="A3172:F3172"/>
    <mergeCell ref="A3173:D3173"/>
    <mergeCell ref="A3187:F3187"/>
    <mergeCell ref="A3188:F3188"/>
    <mergeCell ref="A3198:F3198"/>
    <mergeCell ref="A3199:F3199"/>
    <mergeCell ref="A3217:F3217"/>
    <mergeCell ref="A3218:F3218"/>
    <mergeCell ref="A3236:E3236"/>
    <mergeCell ref="A3237:F3237"/>
    <mergeCell ref="A3238:F3238"/>
    <mergeCell ref="A3239:F3239"/>
    <mergeCell ref="A3240:F3240"/>
    <mergeCell ref="A3241:F3241"/>
    <mergeCell ref="A3242:F3242"/>
    <mergeCell ref="A3243:D3243"/>
    <mergeCell ref="A3249:F3249"/>
    <mergeCell ref="A3250:F3250"/>
    <mergeCell ref="A3269:F3269"/>
    <mergeCell ref="A3270:F3270"/>
    <mergeCell ref="A3306:E3306"/>
    <mergeCell ref="A3307:F3307"/>
    <mergeCell ref="A3308:F3308"/>
    <mergeCell ref="A3309:F3309"/>
    <mergeCell ref="A3310:F3310"/>
    <mergeCell ref="A3311:F3311"/>
    <mergeCell ref="A3312:F3312"/>
    <mergeCell ref="A3313:D3313"/>
    <mergeCell ref="A3333:F3333"/>
    <mergeCell ref="A3334:F3334"/>
    <mergeCell ref="A3364:F3364"/>
    <mergeCell ref="A3365:F3365"/>
    <mergeCell ref="A3372:F3372"/>
    <mergeCell ref="A3373:F3373"/>
    <mergeCell ref="A3376:E3376"/>
    <mergeCell ref="A3377:F3377"/>
    <mergeCell ref="A3378:F3378"/>
    <mergeCell ref="A3379:F3379"/>
    <mergeCell ref="A3380:F3380"/>
    <mergeCell ref="A3381:F3381"/>
    <mergeCell ref="A3382:F3382"/>
    <mergeCell ref="A3383:D3383"/>
    <mergeCell ref="A3446:E3446"/>
    <mergeCell ref="A3447:F3447"/>
    <mergeCell ref="A3448:F3448"/>
    <mergeCell ref="A3449:F3449"/>
    <mergeCell ref="A3450:F3450"/>
    <mergeCell ref="A3451:F3451"/>
    <mergeCell ref="A3452:F3452"/>
    <mergeCell ref="A3453:D3453"/>
    <mergeCell ref="A3468:F3468"/>
    <mergeCell ref="A3469:F3469"/>
    <mergeCell ref="A3498:F3498"/>
    <mergeCell ref="A3499:F3499"/>
    <mergeCell ref="A3502:F3502"/>
    <mergeCell ref="A3503:F3503"/>
    <mergeCell ref="A3504:F3504"/>
    <mergeCell ref="A3505:F3505"/>
    <mergeCell ref="A3506:F3506"/>
    <mergeCell ref="A3507:F3507"/>
    <mergeCell ref="A3508:F3508"/>
    <mergeCell ref="A3509:F3509"/>
    <mergeCell ref="A3510:F3510"/>
    <mergeCell ref="A3511:F3511"/>
    <mergeCell ref="A3512:F3512"/>
    <mergeCell ref="A3513:F3513"/>
    <mergeCell ref="A3514:F3514"/>
    <mergeCell ref="A3515:F3515"/>
    <mergeCell ref="A3516:E3516"/>
    <mergeCell ref="A3517:F3517"/>
    <mergeCell ref="A3518:F3518"/>
    <mergeCell ref="A3519:F3519"/>
    <mergeCell ref="A3520:F3520"/>
    <mergeCell ref="A3521:F3521"/>
    <mergeCell ref="A3522:F3522"/>
    <mergeCell ref="A3523:D3523"/>
    <mergeCell ref="A3525:F3525"/>
    <mergeCell ref="A3526:F3526"/>
    <mergeCell ref="A3548:F3548"/>
    <mergeCell ref="A3549:F3549"/>
    <mergeCell ref="A3584:F3584"/>
    <mergeCell ref="A3585:F3585"/>
    <mergeCell ref="A3586:E3586"/>
    <mergeCell ref="A3587:F3587"/>
    <mergeCell ref="A3588:F3588"/>
    <mergeCell ref="A3589:F3589"/>
    <mergeCell ref="A3590:F3590"/>
    <mergeCell ref="A3591:F3591"/>
    <mergeCell ref="A3592:F3592"/>
    <mergeCell ref="A3593:D3593"/>
    <mergeCell ref="A1881:F1881"/>
    <mergeCell ref="A1882:F1882"/>
    <mergeCell ref="A1915:F1915"/>
    <mergeCell ref="A1916:F1916"/>
    <mergeCell ref="A1920:F1920"/>
    <mergeCell ref="A1921:E1921"/>
    <mergeCell ref="A1922:F1922"/>
    <mergeCell ref="A1923:F1923"/>
    <mergeCell ref="A1924:F1924"/>
    <mergeCell ref="A1925:F1925"/>
    <mergeCell ref="A1926:F1926"/>
    <mergeCell ref="A1927:F1927"/>
    <mergeCell ref="A1928:D1928"/>
    <mergeCell ref="A1930:F1930"/>
    <mergeCell ref="A1647:F1647"/>
    <mergeCell ref="A1648:D1648"/>
    <mergeCell ref="A1668:F1668"/>
    <mergeCell ref="A1669:F1669"/>
    <mergeCell ref="A1680:F1680"/>
    <mergeCell ref="A1681:F1681"/>
    <mergeCell ref="A1684:F1684"/>
    <mergeCell ref="A1685:F1685"/>
    <mergeCell ref="A1689:F1689"/>
    <mergeCell ref="A1690:F1690"/>
    <mergeCell ref="A1711:E1711"/>
    <mergeCell ref="A1712:F1712"/>
    <mergeCell ref="A1713:F1713"/>
    <mergeCell ref="A1714:F1714"/>
    <mergeCell ref="A1715:F1715"/>
    <mergeCell ref="A1716:F1716"/>
    <mergeCell ref="A1717:F1717"/>
    <mergeCell ref="A1718:D1718"/>
    <mergeCell ref="A1741:F1741"/>
    <mergeCell ref="A1742:F1742"/>
    <mergeCell ref="A1770:F1770"/>
    <mergeCell ref="A1771:F1771"/>
    <mergeCell ref="A1781:E1781"/>
    <mergeCell ref="A1782:F1782"/>
    <mergeCell ref="A1783:F1783"/>
    <mergeCell ref="A1784:F1784"/>
    <mergeCell ref="A1785:F1785"/>
    <mergeCell ref="A1786:F1786"/>
    <mergeCell ref="A1787:F1787"/>
    <mergeCell ref="A1788:D1788"/>
    <mergeCell ref="A1816:F1816"/>
    <mergeCell ref="A1817:F1817"/>
    <mergeCell ref="A1851:E1851"/>
    <mergeCell ref="A1852:F1852"/>
    <mergeCell ref="A1853:F1853"/>
    <mergeCell ref="A1854:F1854"/>
    <mergeCell ref="A1855:F1855"/>
    <mergeCell ref="A1856:F1856"/>
    <mergeCell ref="A1857:F1857"/>
    <mergeCell ref="A1858:D1858"/>
    <mergeCell ref="A1863:F1863"/>
    <mergeCell ref="A1864:F1864"/>
    <mergeCell ref="A1947:F1947"/>
    <mergeCell ref="A1948:F1948"/>
    <mergeCell ref="A1960:F1960"/>
    <mergeCell ref="A1961:F1961"/>
    <mergeCell ref="A1969:F1969"/>
    <mergeCell ref="A1970:F1970"/>
    <mergeCell ref="A1977:F1977"/>
    <mergeCell ref="A1978:F1978"/>
    <mergeCell ref="A1990:F1990"/>
    <mergeCell ref="A1991:E1991"/>
    <mergeCell ref="A1992:F1992"/>
    <mergeCell ref="A1993:F1993"/>
    <mergeCell ref="A1994:F1994"/>
    <mergeCell ref="A1995:F1995"/>
    <mergeCell ref="A1996:F1996"/>
    <mergeCell ref="A1997:F1997"/>
    <mergeCell ref="A1998:D1998"/>
    <mergeCell ref="A2000:F2000"/>
    <mergeCell ref="A2061:E2061"/>
    <mergeCell ref="A2062:F2062"/>
    <mergeCell ref="A2063:F2063"/>
    <mergeCell ref="A2064:F2064"/>
    <mergeCell ref="A2065:F2065"/>
    <mergeCell ref="A2066:F2066"/>
    <mergeCell ref="A2067:F2067"/>
    <mergeCell ref="A2068:D2068"/>
    <mergeCell ref="A2080:F2080"/>
    <mergeCell ref="A2081:F2081"/>
    <mergeCell ref="A2123:F2123"/>
    <mergeCell ref="A2124:F2124"/>
    <mergeCell ref="A2131:E2131"/>
    <mergeCell ref="A2132:F2132"/>
    <mergeCell ref="A2133:F2133"/>
    <mergeCell ref="A2134:F2134"/>
    <mergeCell ref="A2135:F2135"/>
    <mergeCell ref="A2136:F2136"/>
    <mergeCell ref="A2137:F2137"/>
    <mergeCell ref="A2138:D2138"/>
    <mergeCell ref="A2172:F2172"/>
    <mergeCell ref="A2173:F2173"/>
    <mergeCell ref="A2192:F2192"/>
    <mergeCell ref="A2193:F2193"/>
    <mergeCell ref="A2194:F2194"/>
    <mergeCell ref="A2195:F2195"/>
    <mergeCell ref="A2197:F2197"/>
    <mergeCell ref="A2198:F2198"/>
    <mergeCell ref="A2199:F2199"/>
    <mergeCell ref="A2200:F2200"/>
    <mergeCell ref="A2201:E2201"/>
    <mergeCell ref="A2202:F2202"/>
    <mergeCell ref="A2203:F2203"/>
    <mergeCell ref="A2204:F2204"/>
    <mergeCell ref="A2205:F2205"/>
    <mergeCell ref="A2206:F2206"/>
    <mergeCell ref="A2207:F2207"/>
    <mergeCell ref="A2208:D2208"/>
    <mergeCell ref="A2494:F2494"/>
    <mergeCell ref="A2495:F2495"/>
    <mergeCell ref="A2534:F2534"/>
    <mergeCell ref="A2535:F2535"/>
    <mergeCell ref="A2551:E2551"/>
    <mergeCell ref="A2552:F2552"/>
    <mergeCell ref="A2553:F2553"/>
    <mergeCell ref="A2554:F2554"/>
    <mergeCell ref="A2555:F2555"/>
    <mergeCell ref="A2556:F2556"/>
    <mergeCell ref="A2557:F2557"/>
    <mergeCell ref="A2558:D2558"/>
    <mergeCell ref="A2610:F2610"/>
    <mergeCell ref="A2611:F2611"/>
    <mergeCell ref="A2621:E2621"/>
    <mergeCell ref="A2622:F2622"/>
    <mergeCell ref="A2623:F2623"/>
    <mergeCell ref="A2624:F2624"/>
    <mergeCell ref="A2625:F2625"/>
    <mergeCell ref="A2626:F2626"/>
    <mergeCell ref="A2627:F2627"/>
    <mergeCell ref="A2628:D2628"/>
    <mergeCell ref="A2634:F2634"/>
    <mergeCell ref="A2635:F2635"/>
    <mergeCell ref="A2664:F2664"/>
    <mergeCell ref="A2665:F2665"/>
    <mergeCell ref="A2684:F2684"/>
    <mergeCell ref="A2685:F2685"/>
    <mergeCell ref="A2691:E2691"/>
    <mergeCell ref="A2692:F2692"/>
    <mergeCell ref="A2693:F2693"/>
    <mergeCell ref="A2694:F2694"/>
    <mergeCell ref="A2695:F2695"/>
    <mergeCell ref="A2696:F2696"/>
    <mergeCell ref="A2697:F2697"/>
    <mergeCell ref="A2698:D2698"/>
    <mergeCell ref="A2727:F2727"/>
    <mergeCell ref="A2728:F2728"/>
    <mergeCell ref="A2742:F2742"/>
    <mergeCell ref="A2743:F2743"/>
    <mergeCell ref="A2771:F2771"/>
    <mergeCell ref="A2772:F2772"/>
    <mergeCell ref="A3627:F3627"/>
    <mergeCell ref="A3628:F3628"/>
    <mergeCell ref="A3630:F3630"/>
    <mergeCell ref="A3631:F3631"/>
    <mergeCell ref="A3633:F3633"/>
    <mergeCell ref="A3634:F3634"/>
    <mergeCell ref="A3636:F3636"/>
    <mergeCell ref="A3637:F3637"/>
    <mergeCell ref="A3656:E3656"/>
    <mergeCell ref="A3657:F3657"/>
    <mergeCell ref="A3658:F3658"/>
    <mergeCell ref="A3659:F3659"/>
    <mergeCell ref="A3660:F3660"/>
    <mergeCell ref="A3661:F3661"/>
    <mergeCell ref="A3662:F3662"/>
    <mergeCell ref="A3663:D3663"/>
    <mergeCell ref="A3670:F3670"/>
    <mergeCell ref="A3671:F3671"/>
    <mergeCell ref="A3713:F3713"/>
    <mergeCell ref="A3714:F3714"/>
    <mergeCell ref="A3726:E3726"/>
    <mergeCell ref="A3727:F3727"/>
    <mergeCell ref="A3728:F3728"/>
    <mergeCell ref="A3729:F3729"/>
    <mergeCell ref="A3730:F3730"/>
    <mergeCell ref="A3731:F3731"/>
    <mergeCell ref="A3732:F3732"/>
    <mergeCell ref="A3733:D3733"/>
    <mergeCell ref="A3751:F3751"/>
    <mergeCell ref="A3752:F3752"/>
    <mergeCell ref="A3785:F3785"/>
    <mergeCell ref="A3786:F3786"/>
    <mergeCell ref="A3796:E3796"/>
    <mergeCell ref="A3797:F3797"/>
    <mergeCell ref="A3798:F3798"/>
    <mergeCell ref="A3799:F3799"/>
    <mergeCell ref="A3800:F3800"/>
    <mergeCell ref="A3801:F3801"/>
    <mergeCell ref="A3802:F3802"/>
    <mergeCell ref="A3803:D3803"/>
    <mergeCell ref="A3864:F3864"/>
    <mergeCell ref="A3865:F3865"/>
    <mergeCell ref="A3866:E3866"/>
    <mergeCell ref="A3867:F3867"/>
    <mergeCell ref="A3868:F3868"/>
    <mergeCell ref="A3869:F3869"/>
    <mergeCell ref="A3870:F3870"/>
    <mergeCell ref="A3871:F3871"/>
    <mergeCell ref="A3872:F3872"/>
    <mergeCell ref="A5187:F5187"/>
    <mergeCell ref="A5188:D5188"/>
    <mergeCell ref="A5215:F5215"/>
    <mergeCell ref="A5216:F5216"/>
    <mergeCell ref="A5224:F5224"/>
    <mergeCell ref="A5225:F5225"/>
    <mergeCell ref="A5244:F5244"/>
    <mergeCell ref="A5245:F5245"/>
    <mergeCell ref="A5251:E5251"/>
    <mergeCell ref="A5252:F5252"/>
    <mergeCell ref="A5253:F5253"/>
    <mergeCell ref="A5254:F5254"/>
    <mergeCell ref="A5255:F5255"/>
    <mergeCell ref="A5256:F5256"/>
    <mergeCell ref="A5257:F5257"/>
    <mergeCell ref="A5258:D5258"/>
    <mergeCell ref="A5271:F5271"/>
    <mergeCell ref="A5272:F5272"/>
    <mergeCell ref="A5309:F5309"/>
    <mergeCell ref="A5310:F5310"/>
    <mergeCell ref="A5321:E5321"/>
    <mergeCell ref="A5322:F5322"/>
    <mergeCell ref="A5323:F5323"/>
    <mergeCell ref="A5324:F5324"/>
    <mergeCell ref="A5325:F5325"/>
    <mergeCell ref="A5326:F5326"/>
    <mergeCell ref="A5327:F5327"/>
    <mergeCell ref="A5328:D5328"/>
    <mergeCell ref="A5350:F5350"/>
    <mergeCell ref="A5351:F5351"/>
    <mergeCell ref="A5391:E5391"/>
    <mergeCell ref="A5392:F5392"/>
    <mergeCell ref="A5393:F5393"/>
    <mergeCell ref="A5394:F5394"/>
    <mergeCell ref="A5395:F5395"/>
    <mergeCell ref="A5396:F5396"/>
    <mergeCell ref="A5397:F5397"/>
    <mergeCell ref="A5398:D5398"/>
    <mergeCell ref="A5416:F5416"/>
    <mergeCell ref="A5417:F5417"/>
    <mergeCell ref="A5438:F5438"/>
    <mergeCell ref="A5439:F5439"/>
    <mergeCell ref="A5586:E5586"/>
    <mergeCell ref="A5587:F5587"/>
    <mergeCell ref="A5588:F5588"/>
    <mergeCell ref="A5589:F5589"/>
    <mergeCell ref="A5590:F5590"/>
    <mergeCell ref="A5591:F5591"/>
    <mergeCell ref="A5592:F5592"/>
    <mergeCell ref="A5593:D5593"/>
    <mergeCell ref="A5607:F5607"/>
    <mergeCell ref="A5608:F5608"/>
    <mergeCell ref="A5656:E5656"/>
    <mergeCell ref="A5657:F5657"/>
    <mergeCell ref="A5658:F5658"/>
    <mergeCell ref="A5659:F5659"/>
    <mergeCell ref="A5660:F5660"/>
    <mergeCell ref="A5661:F5661"/>
    <mergeCell ref="A5662:F5662"/>
    <mergeCell ref="A5663:D5663"/>
    <mergeCell ref="A5685:F5685"/>
    <mergeCell ref="A5686:F5686"/>
    <mergeCell ref="A5726:E5726"/>
    <mergeCell ref="A5727:F5727"/>
    <mergeCell ref="A5728:F5728"/>
    <mergeCell ref="A5729:F5729"/>
    <mergeCell ref="A5730:F5730"/>
    <mergeCell ref="A5731:F5731"/>
    <mergeCell ref="A5732:F5732"/>
    <mergeCell ref="A5733:D5733"/>
    <mergeCell ref="A5759:F5759"/>
    <mergeCell ref="A5760:F5760"/>
    <mergeCell ref="A5796:E5796"/>
    <mergeCell ref="A5797:F5797"/>
    <mergeCell ref="A5798:F5798"/>
    <mergeCell ref="A5799:F5799"/>
    <mergeCell ref="A5800:F5800"/>
    <mergeCell ref="A5801:F5801"/>
    <mergeCell ref="A5802:F5802"/>
    <mergeCell ref="A5803:D5803"/>
    <mergeCell ref="A5817:F5817"/>
    <mergeCell ref="A5818:F5818"/>
    <mergeCell ref="A5866:E5866"/>
    <mergeCell ref="A5867:F5867"/>
    <mergeCell ref="A5868:F5868"/>
    <mergeCell ref="A5869:F5869"/>
    <mergeCell ref="A5870:F5870"/>
    <mergeCell ref="A5871:F5871"/>
    <mergeCell ref="A5872:F5872"/>
    <mergeCell ref="A5873:D5873"/>
    <mergeCell ref="A5876:F5876"/>
    <mergeCell ref="A5877:F5877"/>
    <mergeCell ref="A5903:F5903"/>
    <mergeCell ref="A5904:F5904"/>
    <mergeCell ref="A5905:F5905"/>
    <mergeCell ref="A5906:F5906"/>
    <mergeCell ref="A5932:F5932"/>
    <mergeCell ref="A5933:F5933"/>
    <mergeCell ref="A6432:F6432"/>
    <mergeCell ref="A6433:D6433"/>
    <mergeCell ref="A6452:F6452"/>
    <mergeCell ref="A6453:F6453"/>
    <mergeCell ref="A6496:E6496"/>
    <mergeCell ref="A6497:F6497"/>
    <mergeCell ref="A6498:F6498"/>
    <mergeCell ref="A6499:F6499"/>
    <mergeCell ref="A6500:F6500"/>
    <mergeCell ref="A6501:F6501"/>
    <mergeCell ref="A6502:F6502"/>
    <mergeCell ref="A6503:D6503"/>
    <mergeCell ref="A6534:F6534"/>
    <mergeCell ref="A6535:F6535"/>
    <mergeCell ref="A6550:F6550"/>
    <mergeCell ref="A6551:F6551"/>
    <mergeCell ref="A6561:F6561"/>
    <mergeCell ref="A6562:F6562"/>
    <mergeCell ref="A6566:E6566"/>
    <mergeCell ref="A6567:F6567"/>
    <mergeCell ref="A6568:F6568"/>
    <mergeCell ref="A6569:F6569"/>
    <mergeCell ref="A6570:F6570"/>
    <mergeCell ref="A6571:F6571"/>
    <mergeCell ref="A6572:F6572"/>
    <mergeCell ref="A6573:D6573"/>
    <mergeCell ref="A6601:F6601"/>
    <mergeCell ref="A6602:F6602"/>
    <mergeCell ref="A6635:F6635"/>
    <mergeCell ref="A6636:E6636"/>
    <mergeCell ref="A6637:F6637"/>
    <mergeCell ref="A6638:F6638"/>
    <mergeCell ref="A6639:F6639"/>
    <mergeCell ref="A6640:F6640"/>
    <mergeCell ref="A6641:F6641"/>
    <mergeCell ref="A6642:F6642"/>
    <mergeCell ref="A6643:D6643"/>
    <mergeCell ref="A6645:F6645"/>
    <mergeCell ref="A6662:F6662"/>
    <mergeCell ref="A6663:F6663"/>
    <mergeCell ref="A6706:E6706"/>
    <mergeCell ref="A6707:F6707"/>
    <mergeCell ref="A6735:F6735"/>
    <mergeCell ref="A6749:F6749"/>
    <mergeCell ref="A6750:F6750"/>
    <mergeCell ref="A6758:F6758"/>
    <mergeCell ref="A6759:F6759"/>
    <mergeCell ref="A6708:F6708"/>
    <mergeCell ref="A6709:F6709"/>
    <mergeCell ref="A6710:F6710"/>
    <mergeCell ref="A6711:F6711"/>
    <mergeCell ref="A6712:F6712"/>
    <mergeCell ref="A6713:D6713"/>
    <mergeCell ref="A6734:F6734"/>
    <mergeCell ref="A6153:D6153"/>
    <mergeCell ref="A6178:F6178"/>
    <mergeCell ref="A6179:F6179"/>
    <mergeCell ref="A6210:F6210"/>
    <mergeCell ref="A6211:F6211"/>
    <mergeCell ref="A6216:E6216"/>
    <mergeCell ref="A6217:F6217"/>
    <mergeCell ref="A6218:F6218"/>
    <mergeCell ref="A6219:F6219"/>
    <mergeCell ref="A6220:F6220"/>
    <mergeCell ref="A6221:F6221"/>
    <mergeCell ref="A6222:F6222"/>
    <mergeCell ref="A6223:D6223"/>
    <mergeCell ref="A6247:F6247"/>
    <mergeCell ref="A6248:F6248"/>
    <mergeCell ref="A6264:F6264"/>
    <mergeCell ref="A6265:F6265"/>
    <mergeCell ref="A6266:F6266"/>
    <mergeCell ref="A6267:F6267"/>
    <mergeCell ref="A6286:E6286"/>
    <mergeCell ref="A6287:F6287"/>
    <mergeCell ref="A6288:F6288"/>
    <mergeCell ref="A6289:F6289"/>
    <mergeCell ref="A6290:F6290"/>
    <mergeCell ref="A6291:F6291"/>
    <mergeCell ref="A6292:F6292"/>
    <mergeCell ref="A6293:D6293"/>
    <mergeCell ref="A6306:F6306"/>
    <mergeCell ref="A6307:F6307"/>
    <mergeCell ref="A6315:F6315"/>
    <mergeCell ref="A6316:F6316"/>
    <mergeCell ref="A6356:E6356"/>
    <mergeCell ref="A6357:F6357"/>
    <mergeCell ref="A6358:F6358"/>
    <mergeCell ref="A6359:F6359"/>
    <mergeCell ref="A6360:F6360"/>
    <mergeCell ref="A6361:F6361"/>
    <mergeCell ref="A6362:F6362"/>
    <mergeCell ref="A6363:D6363"/>
    <mergeCell ref="A6367:F6367"/>
    <mergeCell ref="A6368:F6368"/>
    <mergeCell ref="A6401:F6401"/>
    <mergeCell ref="A6402:F6402"/>
    <mergeCell ref="A6426:E6426"/>
    <mergeCell ref="A6427:F6427"/>
    <mergeCell ref="A6428:F6428"/>
    <mergeCell ref="A6429:F6429"/>
    <mergeCell ref="A6430:F6430"/>
    <mergeCell ref="A6431:F6431"/>
    <mergeCell ref="A3873:D3873"/>
    <mergeCell ref="A3893:F3893"/>
    <mergeCell ref="A3894:F3894"/>
    <mergeCell ref="A3936:E3936"/>
    <mergeCell ref="A3937:F3937"/>
    <mergeCell ref="A3938:F3938"/>
    <mergeCell ref="A3939:F3939"/>
    <mergeCell ref="A3940:F3940"/>
    <mergeCell ref="A3941:F3941"/>
    <mergeCell ref="A3942:F3942"/>
    <mergeCell ref="A3943:D3943"/>
    <mergeCell ref="A3949:F3949"/>
    <mergeCell ref="A3950:F3950"/>
    <mergeCell ref="A3997:F3997"/>
    <mergeCell ref="A3998:F3998"/>
    <mergeCell ref="A4001:F4001"/>
    <mergeCell ref="A4002:F4002"/>
    <mergeCell ref="A4006:E4006"/>
    <mergeCell ref="A4007:F4007"/>
    <mergeCell ref="A4008:F4008"/>
    <mergeCell ref="A4009:F4009"/>
    <mergeCell ref="A4010:F4010"/>
    <mergeCell ref="A4011:F4011"/>
    <mergeCell ref="A4012:F4012"/>
    <mergeCell ref="A4013:D4013"/>
    <mergeCell ref="A4039:F4039"/>
    <mergeCell ref="A4040:F4040"/>
    <mergeCell ref="A4059:F4059"/>
    <mergeCell ref="A4060:F4060"/>
    <mergeCell ref="A4076:E4076"/>
    <mergeCell ref="A4077:F4077"/>
    <mergeCell ref="A4078:F4078"/>
    <mergeCell ref="A4079:F4079"/>
    <mergeCell ref="A4080:F4080"/>
    <mergeCell ref="A4081:F4081"/>
    <mergeCell ref="A4082:F4082"/>
    <mergeCell ref="A4083:D4083"/>
    <mergeCell ref="A4111:F4111"/>
    <mergeCell ref="A4112:F4112"/>
    <mergeCell ref="A4138:F4138"/>
    <mergeCell ref="A4139:F4139"/>
    <mergeCell ref="A4157:F4157"/>
    <mergeCell ref="A4158:F4158"/>
    <mergeCell ref="A4200:F4200"/>
    <mergeCell ref="A4201:E4201"/>
    <mergeCell ref="A4202:F4202"/>
    <mergeCell ref="A4203:F4203"/>
    <mergeCell ref="A4204:F4204"/>
    <mergeCell ref="A4205:F4205"/>
    <mergeCell ref="A4206:F4206"/>
    <mergeCell ref="A4207:F4207"/>
    <mergeCell ref="A4208:D4208"/>
    <mergeCell ref="A4210:F4210"/>
    <mergeCell ref="A4220:F4220"/>
    <mergeCell ref="A4221:F4221"/>
    <mergeCell ref="A4224:F4224"/>
    <mergeCell ref="A4225:F4225"/>
    <mergeCell ref="A4235:F4235"/>
    <mergeCell ref="A4236:F4236"/>
    <mergeCell ref="A4271:E4271"/>
    <mergeCell ref="A4272:F4272"/>
    <mergeCell ref="A4273:F4273"/>
    <mergeCell ref="A4274:F4274"/>
    <mergeCell ref="A4275:F4275"/>
    <mergeCell ref="A4276:F4276"/>
    <mergeCell ref="A4277:F4277"/>
    <mergeCell ref="A4278:D4278"/>
    <mergeCell ref="A4287:F4287"/>
    <mergeCell ref="A4288:F4288"/>
    <mergeCell ref="A4310:F4310"/>
    <mergeCell ref="A4311:F4311"/>
    <mergeCell ref="A4341:E4341"/>
    <mergeCell ref="A4342:F4342"/>
    <mergeCell ref="A4343:F4343"/>
    <mergeCell ref="A4344:F4344"/>
    <mergeCell ref="A4345:F4345"/>
    <mergeCell ref="A4346:F4346"/>
    <mergeCell ref="A4347:F4347"/>
    <mergeCell ref="A4348:D4348"/>
    <mergeCell ref="A4372:F4372"/>
    <mergeCell ref="A4373:F4373"/>
    <mergeCell ref="A4405:F4405"/>
    <mergeCell ref="A4406:F4406"/>
    <mergeCell ref="A4411:E4411"/>
    <mergeCell ref="A4412:F4412"/>
    <mergeCell ref="A4413:F4413"/>
    <mergeCell ref="A4414:F4414"/>
    <mergeCell ref="A4415:F4415"/>
    <mergeCell ref="A4416:F4416"/>
    <mergeCell ref="A4417:F4417"/>
    <mergeCell ref="A4418:D4418"/>
    <mergeCell ref="A4428:F4428"/>
    <mergeCell ref="A4429:F4429"/>
    <mergeCell ref="A4430:F4430"/>
    <mergeCell ref="A4431:F4431"/>
    <mergeCell ref="A4437:F4437"/>
    <mergeCell ref="A4438:F4438"/>
    <mergeCell ref="A4464:F4464"/>
    <mergeCell ref="A4465:F4465"/>
    <mergeCell ref="A4481:E4481"/>
    <mergeCell ref="A4482:F4482"/>
    <mergeCell ref="A4483:F4483"/>
    <mergeCell ref="A4484:F4484"/>
    <mergeCell ref="A4485:F4485"/>
    <mergeCell ref="A4486:F4486"/>
    <mergeCell ref="A4487:F4487"/>
    <mergeCell ref="A4488:D4488"/>
    <mergeCell ref="A4503:F4503"/>
    <mergeCell ref="A4504:F4504"/>
    <mergeCell ref="A4551:E4551"/>
    <mergeCell ref="A4552:F4552"/>
    <mergeCell ref="A4553:F4553"/>
    <mergeCell ref="A4554:F4554"/>
    <mergeCell ref="A4555:F4555"/>
    <mergeCell ref="A4556:F4556"/>
    <mergeCell ref="A4557:F4557"/>
    <mergeCell ref="A4558:D4558"/>
    <mergeCell ref="A4561:F4561"/>
    <mergeCell ref="A4562:F4562"/>
    <mergeCell ref="A4575:F4575"/>
    <mergeCell ref="A4576:F4576"/>
    <mergeCell ref="A4577:F4577"/>
    <mergeCell ref="A4578:F4578"/>
    <mergeCell ref="A4580:F4580"/>
    <mergeCell ref="A4581:F4581"/>
    <mergeCell ref="A4610:F4610"/>
    <mergeCell ref="A4611:F4611"/>
    <mergeCell ref="A4621:E4621"/>
    <mergeCell ref="A4622:F4622"/>
    <mergeCell ref="A4623:F4623"/>
    <mergeCell ref="A4624:F4624"/>
    <mergeCell ref="A4625:F4625"/>
    <mergeCell ref="A4626:F4626"/>
    <mergeCell ref="A4627:F4627"/>
    <mergeCell ref="A4628:D4628"/>
    <mergeCell ref="A4659:F4659"/>
    <mergeCell ref="A4660:F4660"/>
    <mergeCell ref="A4661:F4661"/>
    <mergeCell ref="A4662:F4662"/>
    <mergeCell ref="A4691:E4691"/>
    <mergeCell ref="A4692:F4692"/>
    <mergeCell ref="A4693:F4693"/>
    <mergeCell ref="A4694:F4694"/>
    <mergeCell ref="A4695:F4695"/>
    <mergeCell ref="A4696:F4696"/>
    <mergeCell ref="A4697:F4697"/>
    <mergeCell ref="A4698:D4698"/>
    <mergeCell ref="A4706:F4706"/>
    <mergeCell ref="A4707:F4707"/>
    <mergeCell ref="A4713:F4713"/>
    <mergeCell ref="A4714:F4714"/>
    <mergeCell ref="A4761:E4761"/>
    <mergeCell ref="A4762:F4762"/>
    <mergeCell ref="A4763:F4763"/>
    <mergeCell ref="A4764:F4764"/>
    <mergeCell ref="A4765:F4765"/>
    <mergeCell ref="A4766:F4766"/>
    <mergeCell ref="A4767:F4767"/>
    <mergeCell ref="A4768:D4768"/>
    <mergeCell ref="A4772:F4772"/>
    <mergeCell ref="A4773:F4773"/>
    <mergeCell ref="A4800:F4800"/>
    <mergeCell ref="A4801:F4801"/>
    <mergeCell ref="A4802:F4802"/>
    <mergeCell ref="A4803:F4803"/>
    <mergeCell ref="A4830:F4830"/>
    <mergeCell ref="A4831:E4831"/>
    <mergeCell ref="A4832:F4832"/>
    <mergeCell ref="A4833:F4833"/>
    <mergeCell ref="A4834:F4834"/>
    <mergeCell ref="A4835:F4835"/>
    <mergeCell ref="A4836:F4836"/>
    <mergeCell ref="A4837:F4837"/>
    <mergeCell ref="A4838:D4838"/>
    <mergeCell ref="A4840:F4840"/>
    <mergeCell ref="A4841:F4841"/>
    <mergeCell ref="A4842:F4842"/>
    <mergeCell ref="A4843:F4843"/>
    <mergeCell ref="A4844:F4844"/>
    <mergeCell ref="A4845:F4845"/>
    <mergeCell ref="A4846:F4846"/>
    <mergeCell ref="A4847:F4847"/>
    <mergeCell ref="A4848:F4848"/>
    <mergeCell ref="A4875:F4875"/>
    <mergeCell ref="A4876:F4876"/>
    <mergeCell ref="A4898:F4898"/>
    <mergeCell ref="A4899:F4899"/>
    <mergeCell ref="A4900:F4900"/>
    <mergeCell ref="A4901:E4901"/>
    <mergeCell ref="A4902:F4902"/>
    <mergeCell ref="A4903:F4903"/>
    <mergeCell ref="A4904:F4904"/>
    <mergeCell ref="A4905:F4905"/>
    <mergeCell ref="A4906:F4906"/>
    <mergeCell ref="A4907:F4907"/>
    <mergeCell ref="A4908:D4908"/>
    <mergeCell ref="A4910:F4910"/>
    <mergeCell ref="A4912:F4912"/>
    <mergeCell ref="A4913:F4913"/>
    <mergeCell ref="A4945:F4945"/>
    <mergeCell ref="A4946:F4946"/>
    <mergeCell ref="A4969:F4969"/>
    <mergeCell ref="A4970:F4970"/>
    <mergeCell ref="A4971:E4971"/>
    <mergeCell ref="A4972:F4972"/>
    <mergeCell ref="A4973:F4973"/>
    <mergeCell ref="A4974:F4974"/>
    <mergeCell ref="A4975:F4975"/>
    <mergeCell ref="A4976:F4976"/>
    <mergeCell ref="A4977:F4977"/>
    <mergeCell ref="A4978:D4978"/>
    <mergeCell ref="A5003:F5003"/>
    <mergeCell ref="A5004:F5004"/>
    <mergeCell ref="A5030:F5030"/>
    <mergeCell ref="A5031:F5031"/>
    <mergeCell ref="A5032:F5032"/>
    <mergeCell ref="A5033:F5033"/>
    <mergeCell ref="A5041:E5041"/>
    <mergeCell ref="A5042:F5042"/>
    <mergeCell ref="A5043:F5043"/>
    <mergeCell ref="A5044:F5044"/>
    <mergeCell ref="A5045:F5045"/>
    <mergeCell ref="A5046:F5046"/>
    <mergeCell ref="A5047:F5047"/>
    <mergeCell ref="A5048:D5048"/>
    <mergeCell ref="A5081:F5081"/>
    <mergeCell ref="A5082:F5082"/>
    <mergeCell ref="A5111:E5111"/>
    <mergeCell ref="A5112:F5112"/>
    <mergeCell ref="A5113:F5113"/>
    <mergeCell ref="A5114:F5114"/>
    <mergeCell ref="A5115:F5115"/>
    <mergeCell ref="A5116:F5116"/>
    <mergeCell ref="A5117:F5117"/>
    <mergeCell ref="A5118:D5118"/>
    <mergeCell ref="A5133:F5133"/>
    <mergeCell ref="A5134:F5134"/>
    <mergeCell ref="A5173:F5173"/>
    <mergeCell ref="A5174:F5174"/>
    <mergeCell ref="A5181:E5181"/>
    <mergeCell ref="A5182:F5182"/>
    <mergeCell ref="A5183:F5183"/>
    <mergeCell ref="A5184:F5184"/>
    <mergeCell ref="A5185:F5185"/>
    <mergeCell ref="A5186:F5186"/>
    <mergeCell ref="A5458:F5458"/>
    <mergeCell ref="A5459:F5459"/>
    <mergeCell ref="A5461:E5461"/>
    <mergeCell ref="A5462:F5462"/>
    <mergeCell ref="A5463:F5463"/>
    <mergeCell ref="A5464:F5464"/>
    <mergeCell ref="A5465:F5465"/>
    <mergeCell ref="A5466:F5466"/>
    <mergeCell ref="A5467:F5467"/>
    <mergeCell ref="A5468:D5468"/>
    <mergeCell ref="A5493:F5493"/>
    <mergeCell ref="A5494:F5494"/>
    <mergeCell ref="A5535:F5535"/>
    <mergeCell ref="A5536:F5536"/>
    <mergeCell ref="A5936:E5936"/>
    <mergeCell ref="A5937:F5937"/>
    <mergeCell ref="A5938:F5938"/>
    <mergeCell ref="A5939:F5939"/>
    <mergeCell ref="A5940:F5940"/>
    <mergeCell ref="A5941:F5941"/>
    <mergeCell ref="A5942:F5942"/>
    <mergeCell ref="A5943:D5943"/>
    <mergeCell ref="A5979:F5979"/>
    <mergeCell ref="A5980:F5980"/>
    <mergeCell ref="A6004:F6004"/>
    <mergeCell ref="A6005:F6005"/>
    <mergeCell ref="A6006:E6006"/>
    <mergeCell ref="A6007:F6007"/>
    <mergeCell ref="A6008:F6008"/>
    <mergeCell ref="A6009:F6009"/>
    <mergeCell ref="A6010:F6010"/>
    <mergeCell ref="A6011:F6011"/>
    <mergeCell ref="A6012:F6012"/>
    <mergeCell ref="A6013:D6013"/>
    <mergeCell ref="A6017:F6017"/>
    <mergeCell ref="A6018:F6018"/>
    <mergeCell ref="A6020:F6020"/>
    <mergeCell ref="A6021:F6021"/>
    <mergeCell ref="A6039:F6039"/>
    <mergeCell ref="A6040:F6040"/>
    <mergeCell ref="A6041:F6041"/>
    <mergeCell ref="A6042:F6042"/>
    <mergeCell ref="A6069:F6069"/>
    <mergeCell ref="A6070:F6070"/>
    <mergeCell ref="A6076:E6076"/>
    <mergeCell ref="A6077:F6077"/>
    <mergeCell ref="A6078:F6078"/>
    <mergeCell ref="A6079:F6079"/>
    <mergeCell ref="A6080:F6080"/>
    <mergeCell ref="A6081:F6081"/>
    <mergeCell ref="A6082:F6082"/>
    <mergeCell ref="A6083:D6083"/>
    <mergeCell ref="A6114:F6114"/>
    <mergeCell ref="A6115:F6115"/>
    <mergeCell ref="A6138:F6138"/>
    <mergeCell ref="A6139:F6139"/>
    <mergeCell ref="A6146:E6146"/>
    <mergeCell ref="A6147:F6147"/>
    <mergeCell ref="A6148:F6148"/>
    <mergeCell ref="A6149:F6149"/>
    <mergeCell ref="A6150:F6150"/>
    <mergeCell ref="A6151:F6151"/>
    <mergeCell ref="A6152:F615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25"/>
    <col customWidth="1" min="2" max="2" width="39.75"/>
    <col customWidth="1" min="3" max="3" width="49.38"/>
  </cols>
  <sheetData>
    <row r="1">
      <c r="A1" s="25" t="s">
        <v>11248</v>
      </c>
      <c r="B1" s="25" t="s">
        <v>1</v>
      </c>
      <c r="H1" s="26" t="str">
        <f>IFERROR(__xludf.DUMMYFUNCTION("IMPORTRANGE(""https://docs.google.com/spreadsheets/d/13fmL9rbANJuexGHEpy4hkZt2UNEZTVzm-819RIp1fCQ"",""Cities!a4:a"")"),"3 CUBE HEALTHCARE")</f>
        <v>3 CUBE HEALTHCARE</v>
      </c>
    </row>
    <row r="2">
      <c r="A2" s="25">
        <v>270.0</v>
      </c>
      <c r="B2" s="25" t="s">
        <v>5819</v>
      </c>
      <c r="C2" s="27" t="s">
        <v>20</v>
      </c>
      <c r="H2" s="25" t="str">
        <f>IFERROR(__xludf.DUMMYFUNCTION("""COMPUTED_VALUE"""),"3M INDIA LTD")</f>
        <v>3M INDIA LTD</v>
      </c>
    </row>
    <row r="3">
      <c r="A3" s="25">
        <v>174.0</v>
      </c>
      <c r="B3" s="25" t="s">
        <v>8064</v>
      </c>
      <c r="C3" s="27" t="s">
        <v>2252</v>
      </c>
      <c r="H3" s="25" t="str">
        <f>IFERROR(__xludf.DUMMYFUNCTION("""COMPUTED_VALUE"""),"6IPAIN HEALTHCARE")</f>
        <v>6IPAIN HEALTHCARE</v>
      </c>
    </row>
    <row r="4">
      <c r="A4" s="25">
        <v>141.0</v>
      </c>
      <c r="B4" s="25" t="s">
        <v>5638</v>
      </c>
      <c r="C4" s="27" t="s">
        <v>91</v>
      </c>
      <c r="H4" s="25" t="str">
        <f>IFERROR(__xludf.DUMMYFUNCTION("""COMPUTED_VALUE"""),"A3A PHARMACEUTICAL")</f>
        <v>A3A PHARMACEUTICAL</v>
      </c>
    </row>
    <row r="5">
      <c r="A5" s="25">
        <v>81.0</v>
      </c>
      <c r="B5" s="25" t="s">
        <v>6180</v>
      </c>
      <c r="C5" s="27" t="s">
        <v>535</v>
      </c>
      <c r="H5" s="25" t="str">
        <f>IFERROR(__xludf.DUMMYFUNCTION("""COMPUTED_VALUE"""),"AAA PHARMATRADE PVT LTD")</f>
        <v>AAA PHARMATRADE PVT LTD</v>
      </c>
    </row>
    <row r="6">
      <c r="A6" s="25">
        <v>76.0</v>
      </c>
      <c r="B6" s="25" t="s">
        <v>8584</v>
      </c>
      <c r="C6" s="27" t="s">
        <v>2740</v>
      </c>
      <c r="H6" s="25" t="str">
        <f>IFERROR(__xludf.DUMMYFUNCTION("""COMPUTED_VALUE"""),"AACER HEALTHCARE")</f>
        <v>AACER HEALTHCARE</v>
      </c>
    </row>
    <row r="7">
      <c r="A7" s="25">
        <v>73.0</v>
      </c>
      <c r="B7" s="25" t="s">
        <v>6728</v>
      </c>
      <c r="C7" s="27" t="s">
        <v>996</v>
      </c>
      <c r="H7" s="25" t="str">
        <f>IFERROR(__xludf.DUMMYFUNCTION("""COMPUTED_VALUE"""),"AAGATHA BIONLAB")</f>
        <v>AAGATHA BIONLAB</v>
      </c>
    </row>
    <row r="8">
      <c r="A8" s="25">
        <v>71.0</v>
      </c>
      <c r="B8" s="25" t="s">
        <v>11006</v>
      </c>
      <c r="C8" s="27" t="s">
        <v>5266</v>
      </c>
      <c r="H8" s="25" t="str">
        <f>IFERROR(__xludf.DUMMYFUNCTION("""COMPUTED_VALUE"""),"AALTRAMED HEALTH CARE LIMITED")</f>
        <v>AALTRAMED HEALTH CARE LIMITED</v>
      </c>
    </row>
    <row r="9">
      <c r="A9" s="25">
        <v>70.0</v>
      </c>
      <c r="B9" s="25" t="s">
        <v>7368</v>
      </c>
      <c r="C9" s="27" t="s">
        <v>1592</v>
      </c>
      <c r="H9" s="25" t="str">
        <f>IFERROR(__xludf.DUMMYFUNCTION("""COMPUTED_VALUE"""),"AARAV PHARMACEUTICALS")</f>
        <v>AARAV PHARMACEUTICALS</v>
      </c>
    </row>
    <row r="10">
      <c r="A10" s="25">
        <v>68.0</v>
      </c>
      <c r="B10" s="25" t="s">
        <v>8900</v>
      </c>
      <c r="C10" s="27" t="s">
        <v>3068</v>
      </c>
      <c r="H10" s="25" t="str">
        <f>IFERROR(__xludf.DUMMYFUNCTION("""COMPUTED_VALUE"""),"AARIN LIFE SCIENCE")</f>
        <v>AARIN LIFE SCIENCE</v>
      </c>
    </row>
    <row r="11">
      <c r="A11" s="25">
        <v>67.0</v>
      </c>
      <c r="B11" s="25" t="s">
        <v>10348</v>
      </c>
      <c r="C11" s="27" t="s">
        <v>4565</v>
      </c>
      <c r="H11" s="25" t="str">
        <f>IFERROR(__xludf.DUMMYFUNCTION("""COMPUTED_VALUE"""),"AARTI LIFESCIENCES")</f>
        <v>AARTI LIFESCIENCES</v>
      </c>
    </row>
    <row r="12">
      <c r="A12" s="25">
        <v>65.0</v>
      </c>
      <c r="B12" s="25" t="s">
        <v>7835</v>
      </c>
      <c r="C12" s="27" t="s">
        <v>2035</v>
      </c>
      <c r="H12" s="25" t="str">
        <f>IFERROR(__xludf.DUMMYFUNCTION("""COMPUTED_VALUE"""),"AASHI REMEDIES")</f>
        <v>AASHI REMEDIES</v>
      </c>
    </row>
    <row r="13">
      <c r="A13" s="25">
        <v>63.0</v>
      </c>
      <c r="B13" s="25" t="s">
        <v>6862</v>
      </c>
      <c r="C13" s="27" t="s">
        <v>1123</v>
      </c>
      <c r="H13" s="25" t="str">
        <f>IFERROR(__xludf.DUMMYFUNCTION("""COMPUTED_VALUE"""),"ABARIS HEALTHCARE")</f>
        <v>ABARIS HEALTHCARE</v>
      </c>
    </row>
    <row r="14" ht="15.0" customHeight="1">
      <c r="A14" s="25">
        <v>63.0</v>
      </c>
      <c r="B14" s="25" t="s">
        <v>8328</v>
      </c>
      <c r="C14" s="27" t="s">
        <v>2483</v>
      </c>
      <c r="H14" s="25" t="str">
        <f>IFERROR(__xludf.DUMMYFUNCTION("""COMPUTED_VALUE"""),"ABARIS HEALTHCARE
")</f>
        <v>ABARIS HEALTHCARE
</v>
      </c>
    </row>
    <row r="15">
      <c r="A15" s="25">
        <v>63.0</v>
      </c>
      <c r="B15" s="25" t="s">
        <v>10400</v>
      </c>
      <c r="C15" s="27" t="s">
        <v>4629</v>
      </c>
      <c r="H15" s="25" t="str">
        <f>IFERROR(__xludf.DUMMYFUNCTION("""COMPUTED_VALUE"""),"ABBEY DRUGS P LTD")</f>
        <v>ABBEY DRUGS P LTD</v>
      </c>
    </row>
    <row r="16">
      <c r="A16" s="25">
        <v>61.0</v>
      </c>
      <c r="B16" s="25" t="s">
        <v>11174</v>
      </c>
      <c r="C16" s="27" t="s">
        <v>5439</v>
      </c>
      <c r="H16" s="25" t="str">
        <f>IFERROR(__xludf.DUMMYFUNCTION("""COMPUTED_VALUE"""),"ABBOTT (CONSUMER)")</f>
        <v>ABBOTT (CONSUMER)</v>
      </c>
    </row>
    <row r="17">
      <c r="A17" s="25">
        <v>61.0</v>
      </c>
      <c r="B17" s="25" t="s">
        <v>10294</v>
      </c>
      <c r="C17" s="27" t="s">
        <v>4503</v>
      </c>
      <c r="H17" s="25" t="str">
        <f>IFERROR(__xludf.DUMMYFUNCTION("""COMPUTED_VALUE"""),"ABBOTT (COVID)")</f>
        <v>ABBOTT (COVID)</v>
      </c>
    </row>
    <row r="18">
      <c r="A18" s="25">
        <v>55.0</v>
      </c>
      <c r="B18" s="25" t="s">
        <v>10143</v>
      </c>
      <c r="C18" s="27" t="s">
        <v>4346</v>
      </c>
      <c r="H18" s="25" t="str">
        <f>IFERROR(__xludf.DUMMYFUNCTION("""COMPUTED_VALUE"""),"ABBOTT (FREE STYLE)")</f>
        <v>ABBOTT (FREE STYLE)</v>
      </c>
    </row>
    <row r="19">
      <c r="A19" s="25">
        <v>53.0</v>
      </c>
      <c r="B19" s="25" t="s">
        <v>8506</v>
      </c>
      <c r="C19" s="27" t="s">
        <v>2649</v>
      </c>
      <c r="H19" s="25" t="str">
        <f>IFERROR(__xludf.DUMMYFUNCTION("""COMPUTED_VALUE"""),"ABBOTT (GASTRO)")</f>
        <v>ABBOTT (GASTRO)</v>
      </c>
    </row>
    <row r="20">
      <c r="A20" s="25">
        <v>51.0</v>
      </c>
      <c r="B20" s="25" t="s">
        <v>9299</v>
      </c>
      <c r="C20" s="27" t="s">
        <v>3503</v>
      </c>
      <c r="H20" s="25" t="str">
        <f>IFERROR(__xludf.DUMMYFUNCTION("""COMPUTED_VALUE"""),"ABBOTT (GENERIC)")</f>
        <v>ABBOTT (GENERIC)</v>
      </c>
    </row>
    <row r="21">
      <c r="A21" s="25">
        <v>48.0</v>
      </c>
      <c r="B21" s="25" t="s">
        <v>6368</v>
      </c>
      <c r="C21" s="27" t="s">
        <v>695</v>
      </c>
      <c r="H21" s="25" t="str">
        <f>IFERROR(__xludf.DUMMYFUNCTION("""COMPUTED_VALUE"""),"ABBOTT (GI ADVANCE)")</f>
        <v>ABBOTT (GI ADVANCE)</v>
      </c>
    </row>
    <row r="22">
      <c r="A22" s="25">
        <v>48.0</v>
      </c>
      <c r="B22" s="25" t="s">
        <v>9621</v>
      </c>
      <c r="C22" s="27" t="s">
        <v>3827</v>
      </c>
      <c r="H22" s="25" t="str">
        <f>IFERROR(__xludf.DUMMYFUNCTION("""COMPUTED_VALUE"""),"ABBOTT (MEDICAL OPTICS)")</f>
        <v>ABBOTT (MEDICAL OPTICS)</v>
      </c>
    </row>
    <row r="23">
      <c r="A23" s="25">
        <v>48.0</v>
      </c>
      <c r="B23" s="25" t="s">
        <v>10500</v>
      </c>
      <c r="C23" s="27" t="s">
        <v>4740</v>
      </c>
      <c r="H23" s="25" t="str">
        <f>IFERROR(__xludf.DUMMYFUNCTION("""COMPUTED_VALUE"""),"ABBOTT (METABOLIC)")</f>
        <v>ABBOTT (METABOLIC)</v>
      </c>
    </row>
    <row r="24">
      <c r="A24" s="25">
        <v>47.0</v>
      </c>
      <c r="B24" s="25" t="s">
        <v>9456</v>
      </c>
      <c r="C24" s="27" t="s">
        <v>3659</v>
      </c>
      <c r="H24" s="25" t="str">
        <f>IFERROR(__xludf.DUMMYFUNCTION("""COMPUTED_VALUE"""),"ABBOTT (NEUROLIFE)")</f>
        <v>ABBOTT (NEUROLIFE)</v>
      </c>
    </row>
    <row r="25">
      <c r="A25" s="25">
        <v>47.0</v>
      </c>
      <c r="B25" s="25" t="s">
        <v>10451</v>
      </c>
      <c r="C25" s="27" t="s">
        <v>4693</v>
      </c>
      <c r="H25" s="25" t="str">
        <f>IFERROR(__xludf.DUMMYFUNCTION("""COMPUTED_VALUE"""),"ABBOTT (ONCOLOGY)")</f>
        <v>ABBOTT (ONCOLOGY)</v>
      </c>
    </row>
    <row r="26">
      <c r="A26" s="25">
        <v>46.0</v>
      </c>
      <c r="B26" s="25" t="s">
        <v>9021</v>
      </c>
      <c r="C26" s="27" t="s">
        <v>3199</v>
      </c>
      <c r="H26" s="25" t="str">
        <f>IFERROR(__xludf.DUMMYFUNCTION("""COMPUTED_VALUE"""),"ABBOTT (PRIMARY CARE)")</f>
        <v>ABBOTT (PRIMARY CARE)</v>
      </c>
    </row>
    <row r="27">
      <c r="A27" s="25">
        <v>45.0</v>
      </c>
      <c r="B27" s="25" t="s">
        <v>7521</v>
      </c>
      <c r="C27" s="27" t="s">
        <v>1753</v>
      </c>
      <c r="H27" s="25" t="str">
        <f>IFERROR(__xludf.DUMMYFUNCTION("""COMPUTED_VALUE"""),"ABBOTT (WOMEN HEALTH)")</f>
        <v>ABBOTT (WOMEN HEALTH)</v>
      </c>
    </row>
    <row r="28">
      <c r="A28" s="25">
        <v>45.0</v>
      </c>
      <c r="B28" s="25" t="s">
        <v>8977</v>
      </c>
      <c r="C28" s="27" t="s">
        <v>3153</v>
      </c>
      <c r="H28" s="25" t="str">
        <f>IFERROR(__xludf.DUMMYFUNCTION("""COMPUTED_VALUE"""),"ABBOTT (WOMEN HEALTHCARE FOSTERA)")</f>
        <v>ABBOTT (WOMEN HEALTHCARE FOSTERA)</v>
      </c>
    </row>
    <row r="29">
      <c r="A29" s="25">
        <v>44.0</v>
      </c>
      <c r="B29" s="25" t="s">
        <v>7742</v>
      </c>
      <c r="C29" s="27" t="s">
        <v>1952</v>
      </c>
      <c r="H29" s="25" t="str">
        <f>IFERROR(__xludf.DUMMYFUNCTION("""COMPUTED_VALUE"""),"Abbott India Ltd")</f>
        <v>Abbott India Ltd</v>
      </c>
    </row>
    <row r="30">
      <c r="A30" s="25">
        <v>42.0</v>
      </c>
      <c r="B30" s="25" t="s">
        <v>7697</v>
      </c>
      <c r="C30" s="27" t="s">
        <v>1909</v>
      </c>
      <c r="H30" s="25" t="str">
        <f>IFERROR(__xludf.DUMMYFUNCTION("""COMPUTED_VALUE"""),"ABBOTT INDIA LTD (OTC)")</f>
        <v>ABBOTT INDIA LTD (OTC)</v>
      </c>
    </row>
    <row r="31">
      <c r="A31" s="25">
        <v>41.0</v>
      </c>
      <c r="B31" s="25" t="s">
        <v>7114</v>
      </c>
      <c r="C31" s="27" t="s">
        <v>1353</v>
      </c>
      <c r="H31" s="25" t="str">
        <f>IFERROR(__xludf.DUMMYFUNCTION("""COMPUTED_VALUE"""),"ABBOTT INDIA LTD (SOLVAY)")</f>
        <v>ABBOTT INDIA LTD (SOLVAY)</v>
      </c>
    </row>
    <row r="32">
      <c r="A32" s="25">
        <v>41.0</v>
      </c>
      <c r="B32" s="25" t="s">
        <v>7425</v>
      </c>
      <c r="C32" s="27" t="s">
        <v>1659</v>
      </c>
      <c r="H32" s="25" t="str">
        <f>IFERROR(__xludf.DUMMYFUNCTION("""COMPUTED_VALUE"""),"Abbott India Ltd (SPECIALITY)")</f>
        <v>Abbott India Ltd (SPECIALITY)</v>
      </c>
    </row>
    <row r="33">
      <c r="A33" s="25">
        <v>41.0</v>
      </c>
      <c r="B33" s="25" t="s">
        <v>8809</v>
      </c>
      <c r="C33" s="27" t="s">
        <v>2968</v>
      </c>
      <c r="H33" s="25" t="str">
        <f>IFERROR(__xludf.DUMMYFUNCTION("""COMPUTED_VALUE"""),"ABBOTT TRUECARE PHARMA")</f>
        <v>ABBOTT TRUECARE PHARMA</v>
      </c>
    </row>
    <row r="34">
      <c r="A34" s="25">
        <v>41.0</v>
      </c>
      <c r="B34" s="25" t="s">
        <v>9104</v>
      </c>
      <c r="C34" s="27" t="s">
        <v>3289</v>
      </c>
      <c r="H34" s="25" t="str">
        <f>IFERROR(__xludf.DUMMYFUNCTION("""COMPUTED_VALUE"""),"ABHIJEET INDUSTRIES")</f>
        <v>ABHIJEET INDUSTRIES</v>
      </c>
    </row>
    <row r="35">
      <c r="A35" s="25">
        <v>41.0</v>
      </c>
      <c r="B35" s="25" t="s">
        <v>9186</v>
      </c>
      <c r="C35" s="27" t="s">
        <v>3375</v>
      </c>
      <c r="H35" s="25" t="str">
        <f>IFERROR(__xludf.DUMMYFUNCTION("""COMPUTED_VALUE"""),"ABHILASHA AYURVEDIC PHARMACY")</f>
        <v>ABHILASHA AYURVEDIC PHARMACY</v>
      </c>
    </row>
    <row r="36">
      <c r="A36" s="25">
        <v>41.0</v>
      </c>
      <c r="B36" s="25" t="s">
        <v>9238</v>
      </c>
      <c r="C36" s="27" t="s">
        <v>3439</v>
      </c>
      <c r="H36" s="25" t="str">
        <f>IFERROR(__xludf.DUMMYFUNCTION("""COMPUTED_VALUE"""),"ABIL HEALTH CARE PVT LTD")</f>
        <v>ABIL HEALTH CARE PVT LTD</v>
      </c>
    </row>
    <row r="37">
      <c r="A37" s="25">
        <v>41.0</v>
      </c>
      <c r="B37" s="25" t="s">
        <v>9926</v>
      </c>
      <c r="C37" s="27" t="s">
        <v>4125</v>
      </c>
      <c r="H37" s="25" t="str">
        <f>IFERROR(__xludf.DUMMYFUNCTION("""COMPUTED_VALUE"""),"ABRIK REMEDIES")</f>
        <v>ABRIK REMEDIES</v>
      </c>
    </row>
    <row r="38">
      <c r="A38" s="25">
        <v>41.0</v>
      </c>
      <c r="B38" s="25" t="s">
        <v>5150</v>
      </c>
      <c r="C38" s="27" t="s">
        <v>5150</v>
      </c>
      <c r="H38" s="25" t="str">
        <f>IFERROR(__xludf.DUMMYFUNCTION("""COMPUTED_VALUE"""),"ABROGATE HEALTHCARE P LTD")</f>
        <v>ABROGATE HEALTHCARE P LTD</v>
      </c>
    </row>
    <row r="39">
      <c r="A39" s="25">
        <v>40.0</v>
      </c>
      <c r="B39" s="25" t="s">
        <v>10259</v>
      </c>
      <c r="C39" s="27" t="s">
        <v>4466</v>
      </c>
      <c r="H39" s="25" t="str">
        <f>IFERROR(__xludf.DUMMYFUNCTION("""COMPUTED_VALUE"""),"ACCORD PHARMACEUTICALS")</f>
        <v>ACCORD PHARMACEUTICALS</v>
      </c>
    </row>
    <row r="40">
      <c r="A40" s="25">
        <v>40.0</v>
      </c>
      <c r="B40" s="25" t="s">
        <v>5225</v>
      </c>
      <c r="C40" s="27" t="s">
        <v>5225</v>
      </c>
      <c r="H40" s="25" t="str">
        <f>IFERROR(__xludf.DUMMYFUNCTION("""COMPUTED_VALUE"""),"ACCURIS HEALTHCARE")</f>
        <v>ACCURIS HEALTHCARE</v>
      </c>
    </row>
    <row r="41">
      <c r="A41" s="25">
        <v>39.0</v>
      </c>
      <c r="B41" s="25" t="s">
        <v>7615</v>
      </c>
      <c r="C41" s="27" t="s">
        <v>1834</v>
      </c>
      <c r="H41" s="25" t="str">
        <f>IFERROR(__xludf.DUMMYFUNCTION("""COMPUTED_VALUE"""),"ACE BIOTECH")</f>
        <v>ACE BIOTECH</v>
      </c>
    </row>
    <row r="42">
      <c r="A42" s="25">
        <v>38.0</v>
      </c>
      <c r="B42" s="25" t="s">
        <v>7457</v>
      </c>
      <c r="C42" s="27" t="s">
        <v>1694</v>
      </c>
      <c r="H42" s="25" t="str">
        <f>IFERROR(__xludf.DUMMYFUNCTION("""COMPUTED_VALUE"""),"ACELA HEALTHCARE PVT LTD")</f>
        <v>ACELA HEALTHCARE PVT LTD</v>
      </c>
    </row>
    <row r="43">
      <c r="A43" s="25">
        <v>38.0</v>
      </c>
      <c r="B43" s="25" t="s">
        <v>7792</v>
      </c>
      <c r="C43" s="27" t="s">
        <v>1996</v>
      </c>
      <c r="H43" s="25" t="str">
        <f>IFERROR(__xludf.DUMMYFUNCTION("""COMPUTED_VALUE"""),"ACICHEM LABORATORIES")</f>
        <v>ACICHEM LABORATORIES</v>
      </c>
    </row>
    <row r="44">
      <c r="A44" s="25">
        <v>38.0</v>
      </c>
      <c r="B44" s="25" t="s">
        <v>9545</v>
      </c>
      <c r="C44" s="27" t="s">
        <v>3751</v>
      </c>
      <c r="H44" s="25" t="str">
        <f>IFERROR(__xludf.DUMMYFUNCTION("""COMPUTED_VALUE"""),"ACINOM HEALTHCARE")</f>
        <v>ACINOM HEALTHCARE</v>
      </c>
    </row>
    <row r="45">
      <c r="A45" s="25">
        <v>38.0</v>
      </c>
      <c r="B45" s="25" t="s">
        <v>9892</v>
      </c>
      <c r="C45" s="27" t="s">
        <v>4086</v>
      </c>
      <c r="H45" s="25" t="str">
        <f>IFERROR(__xludf.DUMMYFUNCTION("""COMPUTED_VALUE"""),"ACME PHARMACEUTICALS")</f>
        <v>ACME PHARMACEUTICALS</v>
      </c>
    </row>
    <row r="46">
      <c r="A46" s="25">
        <v>38.0</v>
      </c>
      <c r="B46" s="25" t="s">
        <v>9961</v>
      </c>
      <c r="C46" s="27" t="s">
        <v>4165</v>
      </c>
      <c r="H46" s="25" t="str">
        <f>IFERROR(__xludf.DUMMYFUNCTION("""COMPUTED_VALUE"""),"ACROMAT PHARMA LAB")</f>
        <v>ACROMAT PHARMA LAB</v>
      </c>
    </row>
    <row r="47">
      <c r="A47" s="25">
        <v>36.0</v>
      </c>
      <c r="B47" s="25" t="s">
        <v>7210</v>
      </c>
      <c r="C47" s="27" t="s">
        <v>1353</v>
      </c>
      <c r="H47" s="25" t="str">
        <f>IFERROR(__xludf.DUMMYFUNCTION("""COMPUTED_VALUE"""),"ACUELIFE HEALTHCARE")</f>
        <v>ACUELIFE HEALTHCARE</v>
      </c>
    </row>
    <row r="48">
      <c r="A48" s="25">
        <v>36.0</v>
      </c>
      <c r="B48" s="25" t="s">
        <v>10065</v>
      </c>
      <c r="C48" s="27" t="s">
        <v>4279</v>
      </c>
      <c r="H48" s="25" t="str">
        <f>IFERROR(__xludf.DUMMYFUNCTION("""COMPUTED_VALUE"""),"ACULIFE HEALTHCARE PVT LTD")</f>
        <v>ACULIFE HEALTHCARE PVT LTD</v>
      </c>
    </row>
    <row r="49">
      <c r="A49" s="25">
        <v>36.0</v>
      </c>
      <c r="B49" s="25" t="s">
        <v>10602</v>
      </c>
      <c r="C49" s="27" t="s">
        <v>4841</v>
      </c>
      <c r="H49" s="25" t="str">
        <f>IFERROR(__xludf.DUMMYFUNCTION("""COMPUTED_VALUE"""),"ACURAGLOBE LLP")</f>
        <v>ACURAGLOBE LLP</v>
      </c>
    </row>
    <row r="50">
      <c r="A50" s="25">
        <v>35.0</v>
      </c>
      <c r="B50" s="25" t="s">
        <v>6434</v>
      </c>
      <c r="C50" s="27" t="s">
        <v>743</v>
      </c>
      <c r="H50" s="25" t="str">
        <f>IFERROR(__xludf.DUMMYFUNCTION("""COMPUTED_VALUE"""),"AD-VIK LABORATORIES")</f>
        <v>AD-VIK LABORATORIES</v>
      </c>
    </row>
    <row r="51">
      <c r="A51" s="25">
        <v>35.0</v>
      </c>
      <c r="B51" s="25" t="s">
        <v>6642</v>
      </c>
      <c r="C51" s="27" t="s">
        <v>913</v>
      </c>
      <c r="H51" s="25" t="str">
        <f>IFERROR(__xludf.DUMMYFUNCTION("""COMPUTED_VALUE"""),"ADALBERT HEALTHCARE")</f>
        <v>ADALBERT HEALTHCARE</v>
      </c>
    </row>
    <row r="52">
      <c r="A52" s="25">
        <v>35.0</v>
      </c>
      <c r="B52" s="25" t="s">
        <v>6679</v>
      </c>
      <c r="C52" s="27" t="s">
        <v>913</v>
      </c>
      <c r="H52" s="25" t="str">
        <f>IFERROR(__xludf.DUMMYFUNCTION("""COMPUTED_VALUE"""),"ADARSH PHARMACEUTICAL WORKS")</f>
        <v>ADARSH PHARMACEUTICAL WORKS</v>
      </c>
    </row>
    <row r="53">
      <c r="A53" s="25">
        <v>35.0</v>
      </c>
      <c r="B53" s="25" t="s">
        <v>6970</v>
      </c>
      <c r="C53" s="27" t="s">
        <v>1190</v>
      </c>
      <c r="H53" s="25" t="str">
        <f>IFERROR(__xludf.DUMMYFUNCTION("""COMPUTED_VALUE"""),"Adcock Ingram (CFL)")</f>
        <v>Adcock Ingram (CFL)</v>
      </c>
    </row>
    <row r="54">
      <c r="A54" s="25">
        <v>35.0</v>
      </c>
      <c r="B54" s="25" t="s">
        <v>7178</v>
      </c>
      <c r="C54" s="27" t="s">
        <v>1353</v>
      </c>
      <c r="H54" s="25" t="str">
        <f>IFERROR(__xludf.DUMMYFUNCTION("""COMPUTED_VALUE"""),"Adcock Ingram (COSMO)")</f>
        <v>Adcock Ingram (COSMO)</v>
      </c>
    </row>
    <row r="55">
      <c r="A55" s="25">
        <v>34.0</v>
      </c>
      <c r="B55" s="25" t="s">
        <v>5593</v>
      </c>
      <c r="C55" s="27" t="s">
        <v>58</v>
      </c>
      <c r="H55" s="25" t="str">
        <f>IFERROR(__xludf.DUMMYFUNCTION("""COMPUTED_VALUE"""),"Adcock Ingram (DERMA SKINCARE)")</f>
        <v>Adcock Ingram (DERMA SKINCARE)</v>
      </c>
    </row>
    <row r="56">
      <c r="A56" s="25">
        <v>34.0</v>
      </c>
      <c r="B56" s="25" t="s">
        <v>7570</v>
      </c>
      <c r="C56" s="27" t="s">
        <v>1799</v>
      </c>
      <c r="H56" s="25" t="str">
        <f>IFERROR(__xludf.DUMMYFUNCTION("""COMPUTED_VALUE"""),"Adcock Ingram Healthcare Pvt Ltd")</f>
        <v>Adcock Ingram Healthcare Pvt Ltd</v>
      </c>
    </row>
    <row r="57">
      <c r="A57" s="25">
        <v>34.0</v>
      </c>
      <c r="B57" s="25" t="s">
        <v>7668</v>
      </c>
      <c r="C57" s="27" t="s">
        <v>1874</v>
      </c>
      <c r="H57" s="25" t="str">
        <f>IFERROR(__xludf.DUMMYFUNCTION("""COMPUTED_VALUE"""),"ADCON LABS")</f>
        <v>ADCON LABS</v>
      </c>
    </row>
    <row r="58">
      <c r="A58" s="25">
        <v>34.0</v>
      </c>
      <c r="B58" s="25" t="s">
        <v>8270</v>
      </c>
      <c r="C58" s="27" t="s">
        <v>2428</v>
      </c>
      <c r="H58" s="25" t="str">
        <f>IFERROR(__xludf.DUMMYFUNCTION("""COMPUTED_VALUE"""),"ADDII BIOTECH (ADRIVE)")</f>
        <v>ADDII BIOTECH (ADRIVE)</v>
      </c>
    </row>
    <row r="59">
      <c r="A59" s="25">
        <v>34.0</v>
      </c>
      <c r="B59" s="25" t="s">
        <v>8712</v>
      </c>
      <c r="C59" s="27" t="s">
        <v>2871</v>
      </c>
      <c r="H59" s="25" t="str">
        <f>IFERROR(__xludf.DUMMYFUNCTION("""COMPUTED_VALUE"""),"ADDIS PHARMA")</f>
        <v>ADDIS PHARMA</v>
      </c>
    </row>
    <row r="60">
      <c r="A60" s="25">
        <v>34.0</v>
      </c>
      <c r="B60" s="25" t="s">
        <v>9581</v>
      </c>
      <c r="C60" s="27" t="s">
        <v>3790</v>
      </c>
      <c r="H60" s="25" t="str">
        <f>IFERROR(__xludf.DUMMYFUNCTION("""COMPUTED_VALUE"""),"ADEL - MADDUS")</f>
        <v>ADEL - MADDUS</v>
      </c>
    </row>
    <row r="61">
      <c r="A61" s="25">
        <v>34.0</v>
      </c>
      <c r="B61" s="25" t="s">
        <v>4950</v>
      </c>
      <c r="C61" s="27" t="s">
        <v>4950</v>
      </c>
      <c r="H61" s="25" t="str">
        <f>IFERROR(__xludf.DUMMYFUNCTION("""COMPUTED_VALUE"""),"ADELEY")</f>
        <v>ADELEY</v>
      </c>
    </row>
    <row r="62" ht="15.0" customHeight="1">
      <c r="A62" s="25">
        <v>32.0</v>
      </c>
      <c r="B62" s="25" t="s">
        <v>7265</v>
      </c>
      <c r="C62" s="27" t="s">
        <v>1500</v>
      </c>
      <c r="H62" s="25" t="str">
        <f>IFERROR(__xludf.DUMMYFUNCTION("""COMPUTED_VALUE"""),"ADIPS LABORATORIES LTD
")</f>
        <v>ADIPS LABORATORIES LTD
</v>
      </c>
    </row>
    <row r="63">
      <c r="A63" s="25">
        <v>32.0</v>
      </c>
      <c r="B63" s="25" t="s">
        <v>7967</v>
      </c>
      <c r="C63" s="27" t="s">
        <v>2163</v>
      </c>
      <c r="H63" s="25" t="str">
        <f>IFERROR(__xludf.DUMMYFUNCTION("""COMPUTED_VALUE"""),"ADISTA HEALTHCARE INDIA P LTD")</f>
        <v>ADISTA HEALTHCARE INDIA P LTD</v>
      </c>
    </row>
    <row r="64">
      <c r="A64" s="25">
        <v>32.0</v>
      </c>
      <c r="B64" s="25" t="s">
        <v>8748</v>
      </c>
      <c r="C64" s="27" t="s">
        <v>2906</v>
      </c>
      <c r="H64" s="25" t="str">
        <f>IFERROR(__xludf.DUMMYFUNCTION("""COMPUTED_VALUE"""),"ADITSA HEALTH CARE")</f>
        <v>ADITSA HEALTH CARE</v>
      </c>
    </row>
    <row r="65">
      <c r="A65" s="25">
        <v>32.0</v>
      </c>
      <c r="B65" s="25" t="s">
        <v>8872</v>
      </c>
      <c r="C65" s="27" t="s">
        <v>3037</v>
      </c>
      <c r="H65" s="25" t="str">
        <f>IFERROR(__xludf.DUMMYFUNCTION("""COMPUTED_VALUE"""),"ADIVA PHARMA")</f>
        <v>ADIVA PHARMA</v>
      </c>
    </row>
    <row r="66">
      <c r="A66" s="25">
        <v>32.0</v>
      </c>
      <c r="B66" s="25" t="s">
        <v>11127</v>
      </c>
      <c r="C66" s="27" t="s">
        <v>5391</v>
      </c>
      <c r="H66" s="25" t="str">
        <f>IFERROR(__xludf.DUMMYFUNCTION("""COMPUTED_VALUE"""),"ADLEY LAB")</f>
        <v>ADLEY LAB</v>
      </c>
    </row>
    <row r="67">
      <c r="A67" s="25">
        <v>32.0</v>
      </c>
      <c r="B67" s="25" t="s">
        <v>5192</v>
      </c>
      <c r="C67" s="25" t="s">
        <v>5192</v>
      </c>
      <c r="H67" s="25" t="str">
        <f>IFERROR(__xludf.DUMMYFUNCTION("""COMPUTED_VALUE"""),"ADLEY LAB (SUPPORTIVE CARE)")</f>
        <v>ADLEY LAB (SUPPORTIVE CARE)</v>
      </c>
    </row>
    <row r="68">
      <c r="A68" s="25">
        <v>31.0</v>
      </c>
      <c r="B68" s="25" t="s">
        <v>6331</v>
      </c>
      <c r="C68" s="27" t="s">
        <v>664</v>
      </c>
      <c r="H68" s="25" t="str">
        <f>IFERROR(__xludf.DUMMYFUNCTION("""COMPUTED_VALUE"""),"ADMAC FORMULATIONS")</f>
        <v>ADMAC FORMULATIONS</v>
      </c>
    </row>
    <row r="69">
      <c r="A69" s="25">
        <v>31.0</v>
      </c>
      <c r="B69" s="25" t="s">
        <v>7026</v>
      </c>
      <c r="C69" s="27" t="s">
        <v>1276</v>
      </c>
      <c r="H69" s="25" t="str">
        <f>IFERROR(__xludf.DUMMYFUNCTION("""COMPUTED_VALUE"""),"Admac Pharma Ltd")</f>
        <v>Admac Pharma Ltd</v>
      </c>
    </row>
    <row r="70">
      <c r="A70" s="25">
        <v>31.0</v>
      </c>
      <c r="B70" s="25" t="s">
        <v>9784</v>
      </c>
      <c r="C70" s="27" t="s">
        <v>3981</v>
      </c>
      <c r="H70" s="25" t="str">
        <f>IFERROR(__xludf.DUMMYFUNCTION("""COMPUTED_VALUE"""),"ADMAN FORMULATION PVT LTD")</f>
        <v>ADMAN FORMULATION PVT LTD</v>
      </c>
    </row>
    <row r="71">
      <c r="A71" s="25">
        <v>31.0</v>
      </c>
      <c r="B71" s="25" t="s">
        <v>9995</v>
      </c>
      <c r="C71" s="27" t="s">
        <v>4202</v>
      </c>
      <c r="H71" s="25" t="str">
        <f>IFERROR(__xludf.DUMMYFUNCTION("""COMPUTED_VALUE"""),"Adonis Laboratories Pvt Ltd")</f>
        <v>Adonis Laboratories Pvt Ltd</v>
      </c>
    </row>
    <row r="72">
      <c r="A72" s="25">
        <v>30.0</v>
      </c>
      <c r="B72" s="25" t="s">
        <v>6271</v>
      </c>
      <c r="C72" s="27" t="s">
        <v>617</v>
      </c>
      <c r="H72" s="25" t="str">
        <f>IFERROR(__xludf.DUMMYFUNCTION("""COMPUTED_VALUE"""),"Adroit Biomed Ltd")</f>
        <v>Adroit Biomed Ltd</v>
      </c>
    </row>
    <row r="73">
      <c r="A73" s="25">
        <v>30.0</v>
      </c>
      <c r="B73" s="25" t="s">
        <v>9351</v>
      </c>
      <c r="C73" s="27" t="s">
        <v>3555</v>
      </c>
      <c r="H73" s="25" t="str">
        <f>IFERROR(__xludf.DUMMYFUNCTION("""COMPUTED_VALUE"""),"ADVEN")</f>
        <v>ADVEN</v>
      </c>
    </row>
    <row r="74">
      <c r="A74" s="25">
        <v>30.0</v>
      </c>
      <c r="B74" s="25" t="s">
        <v>10107</v>
      </c>
      <c r="C74" s="27" t="s">
        <v>4315</v>
      </c>
      <c r="H74" s="25" t="str">
        <f>IFERROR(__xludf.DUMMYFUNCTION("""COMPUTED_VALUE"""),"AEGIS HEALTH SOLUTION")</f>
        <v>AEGIS HEALTH SOLUTION</v>
      </c>
    </row>
    <row r="75">
      <c r="A75" s="25">
        <v>30.0</v>
      </c>
      <c r="B75" s="25" t="s">
        <v>5038</v>
      </c>
      <c r="C75" s="27" t="s">
        <v>5038</v>
      </c>
      <c r="H75" s="25" t="str">
        <f>IFERROR(__xludf.DUMMYFUNCTION("""COMPUTED_VALUE"""),"AEGIS LIFESCIENCES PVT LTD")</f>
        <v>AEGIS LIFESCIENCES PVT LTD</v>
      </c>
    </row>
    <row r="76">
      <c r="A76" s="25">
        <v>29.0</v>
      </c>
      <c r="B76" s="25" t="s">
        <v>6560</v>
      </c>
      <c r="C76" s="27" t="s">
        <v>849</v>
      </c>
      <c r="H76" s="25" t="str">
        <f>IFERROR(__xludf.DUMMYFUNCTION("""COMPUTED_VALUE"""),"AEQUITAS HEALTHCARE PVT LTD")</f>
        <v>AEQUITAS HEALTHCARE PVT LTD</v>
      </c>
    </row>
    <row r="77">
      <c r="A77" s="25">
        <v>29.0</v>
      </c>
      <c r="B77" s="25" t="s">
        <v>2703</v>
      </c>
      <c r="C77" s="27" t="s">
        <v>2703</v>
      </c>
      <c r="H77" s="25" t="str">
        <f>IFERROR(__xludf.DUMMYFUNCTION("""COMPUTED_VALUE"""),"AERAN LAB INDIA PVT LTD")</f>
        <v>AERAN LAB INDIA PVT LTD</v>
      </c>
    </row>
    <row r="78">
      <c r="A78" s="25">
        <v>29.0</v>
      </c>
      <c r="B78" s="25" t="s">
        <v>11102</v>
      </c>
      <c r="C78" s="27" t="s">
        <v>5361</v>
      </c>
      <c r="H78" s="25" t="str">
        <f>IFERROR(__xludf.DUMMYFUNCTION("""COMPUTED_VALUE"""),"AEROLIFE INDIA HEALTHCARE")</f>
        <v>AEROLIFE INDIA HEALTHCARE</v>
      </c>
    </row>
    <row r="79">
      <c r="A79" s="25">
        <v>29.0</v>
      </c>
      <c r="B79" s="25" t="s">
        <v>10749</v>
      </c>
      <c r="C79" s="27" t="s">
        <v>5008</v>
      </c>
      <c r="H79" s="25" t="str">
        <f>IFERROR(__xludf.DUMMYFUNCTION("""COMPUTED_VALUE"""),"AESMIRA")</f>
        <v>AESMIRA</v>
      </c>
    </row>
    <row r="80">
      <c r="A80" s="25">
        <v>29.0</v>
      </c>
      <c r="B80" s="25" t="s">
        <v>10846</v>
      </c>
      <c r="C80" s="27" t="s">
        <v>5112</v>
      </c>
      <c r="H80" s="25" t="str">
        <f>IFERROR(__xludf.DUMMYFUNCTION("""COMPUTED_VALUE"""),"AESPIRE FORMULATIONS PVT LTD")</f>
        <v>AESPIRE FORMULATIONS PVT LTD</v>
      </c>
    </row>
    <row r="81">
      <c r="A81" s="25">
        <v>28.0</v>
      </c>
      <c r="B81" s="25" t="s">
        <v>7914</v>
      </c>
      <c r="C81" s="27" t="s">
        <v>2115</v>
      </c>
      <c r="H81" s="25" t="str">
        <f>IFERROR(__xludf.DUMMYFUNCTION("""COMPUTED_VALUE"""),"AFEX PHARMACEUTICALS")</f>
        <v>AFEX PHARMACEUTICALS</v>
      </c>
    </row>
    <row r="82">
      <c r="A82" s="25">
        <v>28.0</v>
      </c>
      <c r="B82" s="25" t="s">
        <v>8653</v>
      </c>
      <c r="C82" s="27" t="s">
        <v>2818</v>
      </c>
      <c r="H82" s="25" t="str">
        <f>IFERROR(__xludf.DUMMYFUNCTION("""COMPUTED_VALUE"""),"AFFINE FORMULATION P LTD SOLAN")</f>
        <v>AFFINE FORMULATION P LTD SOLAN</v>
      </c>
    </row>
    <row r="83">
      <c r="A83" s="25">
        <v>28.0</v>
      </c>
      <c r="B83" s="25" t="s">
        <v>9429</v>
      </c>
      <c r="C83" s="27" t="s">
        <v>3630</v>
      </c>
      <c r="H83" s="25" t="str">
        <f>IFERROR(__xludf.DUMMYFUNCTION("""COMPUTED_VALUE"""),"AFFY PARENTERALS BADDI")</f>
        <v>AFFY PARENTERALS BADDI</v>
      </c>
    </row>
    <row r="84">
      <c r="A84" s="25">
        <v>28.0</v>
      </c>
      <c r="B84" s="25" t="s">
        <v>9519</v>
      </c>
      <c r="C84" s="27" t="s">
        <v>3722</v>
      </c>
      <c r="H84" s="25" t="str">
        <f>IFERROR(__xludf.DUMMYFUNCTION("""COMPUTED_VALUE"""),"AFFY PHARMA PVT LTD")</f>
        <v>AFFY PHARMA PVT LTD</v>
      </c>
    </row>
    <row r="85">
      <c r="A85" s="25">
        <v>27.0</v>
      </c>
      <c r="B85" s="25" t="s">
        <v>5538</v>
      </c>
      <c r="C85" s="27" t="s">
        <v>20</v>
      </c>
      <c r="H85" s="25" t="str">
        <f>IFERROR(__xludf.DUMMYFUNCTION("""COMPUTED_VALUE"""),"AFIVE PHARMACEUTICALS")</f>
        <v>AFIVE PHARMACEUTICALS</v>
      </c>
    </row>
    <row r="86">
      <c r="A86" s="25">
        <v>27.0</v>
      </c>
      <c r="B86" s="25" t="s">
        <v>7151</v>
      </c>
      <c r="C86" s="27" t="s">
        <v>1396</v>
      </c>
      <c r="H86" s="25" t="str">
        <f>IFERROR(__xludf.DUMMYFUNCTION("""COMPUTED_VALUE"""),"AG BIOTECH")</f>
        <v>AG BIOTECH</v>
      </c>
    </row>
    <row r="87">
      <c r="A87" s="25">
        <v>27.0</v>
      </c>
      <c r="B87" s="25" t="s">
        <v>8017</v>
      </c>
      <c r="C87" s="27" t="s">
        <v>2210</v>
      </c>
      <c r="H87" s="25" t="str">
        <f>IFERROR(__xludf.DUMMYFUNCTION("""COMPUTED_VALUE"""),"AGIO Pharmaceuticals Ltd")</f>
        <v>AGIO Pharmaceuticals Ltd</v>
      </c>
    </row>
    <row r="88">
      <c r="A88" s="25">
        <v>27.0</v>
      </c>
      <c r="B88" s="25" t="s">
        <v>8846</v>
      </c>
      <c r="C88" s="27" t="s">
        <v>3009</v>
      </c>
      <c r="H88" s="25" t="str">
        <f>IFERROR(__xludf.DUMMYFUNCTION("""COMPUTED_VALUE"""),"Aglowmed Drugs Pvt   Ltd")</f>
        <v>Aglowmed Drugs Pvt   Ltd</v>
      </c>
    </row>
    <row r="89">
      <c r="A89" s="25">
        <v>27.0</v>
      </c>
      <c r="B89" s="25" t="s">
        <v>9062</v>
      </c>
      <c r="C89" s="27" t="s">
        <v>3243</v>
      </c>
      <c r="H89" s="25" t="str">
        <f>IFERROR(__xludf.DUMMYFUNCTION("""COMPUTED_VALUE"""),"Aglowmed Drugs Pvt. Ltd.")</f>
        <v>Aglowmed Drugs Pvt. Ltd.</v>
      </c>
    </row>
    <row r="90">
      <c r="A90" s="25">
        <v>26.0</v>
      </c>
      <c r="B90" s="25" t="s">
        <v>7005</v>
      </c>
      <c r="C90" s="27" t="s">
        <v>1250</v>
      </c>
      <c r="H90" s="25" t="str">
        <f>IFERROR(__xludf.DUMMYFUNCTION("""COMPUTED_VALUE"""),"AGM BIOTECH")</f>
        <v>AGM BIOTECH</v>
      </c>
    </row>
    <row r="91">
      <c r="A91" s="25">
        <v>26.0</v>
      </c>
      <c r="B91" s="25" t="s">
        <v>9673</v>
      </c>
      <c r="C91" s="27" t="s">
        <v>3876</v>
      </c>
      <c r="H91" s="25" t="str">
        <f>IFERROR(__xludf.DUMMYFUNCTION("""COMPUTED_VALUE"""),"Agron India Ltd")</f>
        <v>Agron India Ltd</v>
      </c>
    </row>
    <row r="92">
      <c r="A92" s="25">
        <v>26.0</v>
      </c>
      <c r="B92" s="25" t="s">
        <v>9700</v>
      </c>
      <c r="C92" s="27" t="s">
        <v>3903</v>
      </c>
      <c r="H92" s="25" t="str">
        <f>IFERROR(__xludf.DUMMYFUNCTION("""COMPUTED_VALUE"""),"Agron Remedies Pvt. Ltd")</f>
        <v>Agron Remedies Pvt. Ltd</v>
      </c>
    </row>
    <row r="93">
      <c r="A93" s="25">
        <v>26.0</v>
      </c>
      <c r="B93" s="25" t="s">
        <v>9732</v>
      </c>
      <c r="C93" s="27" t="s">
        <v>3930</v>
      </c>
      <c r="H93" s="25" t="str">
        <f>IFERROR(__xludf.DUMMYFUNCTION("""COMPUTED_VALUE"""),"AGROSAFE PHARMACEUTICALS")</f>
        <v>AGROSAFE PHARMACEUTICALS</v>
      </c>
    </row>
    <row r="94">
      <c r="A94" s="25">
        <v>26.0</v>
      </c>
      <c r="B94" s="25" t="s">
        <v>4925</v>
      </c>
      <c r="C94" s="27" t="s">
        <v>4925</v>
      </c>
      <c r="H94" s="25" t="str">
        <f>IFERROR(__xludf.DUMMYFUNCTION("""COMPUTED_VALUE"""),"AGROW PHARMA")</f>
        <v>AGROW PHARMA</v>
      </c>
    </row>
    <row r="95">
      <c r="A95" s="25">
        <v>26.0</v>
      </c>
      <c r="B95" s="25" t="s">
        <v>5069</v>
      </c>
      <c r="C95" s="27" t="s">
        <v>5069</v>
      </c>
      <c r="H95" s="25" t="str">
        <f>IFERROR(__xludf.DUMMYFUNCTION("""COMPUTED_VALUE"""),"AGUS WORLD")</f>
        <v>AGUS WORLD</v>
      </c>
    </row>
    <row r="96">
      <c r="A96" s="25">
        <v>25.0</v>
      </c>
      <c r="B96" s="25" t="s">
        <v>6806</v>
      </c>
      <c r="C96" s="27" t="s">
        <v>1070</v>
      </c>
      <c r="H96" s="25" t="str">
        <f>IFERROR(__xludf.DUMMYFUNCTION("""COMPUTED_VALUE"""),"AIMIL PHARMACEUTICALS")</f>
        <v>AIMIL PHARMACEUTICALS</v>
      </c>
    </row>
    <row r="97">
      <c r="A97" s="25">
        <v>25.0</v>
      </c>
      <c r="B97" s="25" t="s">
        <v>9142</v>
      </c>
      <c r="C97" s="27" t="s">
        <v>3331</v>
      </c>
      <c r="H97" s="25" t="str">
        <f>IFERROR(__xludf.DUMMYFUNCTION("""COMPUTED_VALUE"""),"AISHWARYA HEALTHCARE")</f>
        <v>AISHWARYA HEALTHCARE</v>
      </c>
    </row>
    <row r="98">
      <c r="A98" s="25">
        <v>25.0</v>
      </c>
      <c r="B98" s="25" t="s">
        <v>9406</v>
      </c>
      <c r="C98" s="27" t="s">
        <v>3604</v>
      </c>
      <c r="H98" s="25" t="str">
        <f>IFERROR(__xludf.DUMMYFUNCTION("""COMPUTED_VALUE"""),"AISLIN FORMULATION PVT LTD")</f>
        <v>AISLIN FORMULATION PVT LTD</v>
      </c>
    </row>
    <row r="99">
      <c r="A99" s="25">
        <v>25.0</v>
      </c>
      <c r="B99" s="25" t="s">
        <v>9865</v>
      </c>
      <c r="C99" s="27" t="s">
        <v>4060</v>
      </c>
      <c r="H99" s="25" t="str">
        <f>IFERROR(__xludf.DUMMYFUNCTION("""COMPUTED_VALUE"""),"AJANTA PHARMA (ALMIRON)")</f>
        <v>AJANTA PHARMA (ALMIRON)</v>
      </c>
    </row>
    <row r="100">
      <c r="A100" s="25">
        <v>25.0</v>
      </c>
      <c r="B100" s="25" t="s">
        <v>10545</v>
      </c>
      <c r="C100" s="27" t="s">
        <v>4789</v>
      </c>
      <c r="H100" s="25" t="str">
        <f>IFERROR(__xludf.DUMMYFUNCTION("""COMPUTED_VALUE"""),"AJANTA PHARMA (ANVAXX)")</f>
        <v>AJANTA PHARMA (ANVAXX)</v>
      </c>
    </row>
    <row r="101">
      <c r="A101" s="25">
        <v>25.0</v>
      </c>
      <c r="B101" s="25" t="s">
        <v>4815</v>
      </c>
      <c r="C101" s="27" t="s">
        <v>4815</v>
      </c>
      <c r="H101" s="25" t="str">
        <f>IFERROR(__xludf.DUMMYFUNCTION("""COMPUTED_VALUE"""),"AJANTA PHARMA (AUREUS)")</f>
        <v>AJANTA PHARMA (AUREUS)</v>
      </c>
    </row>
    <row r="102">
      <c r="A102" s="25">
        <v>24.0</v>
      </c>
      <c r="B102" s="25" t="s">
        <v>10232</v>
      </c>
      <c r="C102" s="27" t="s">
        <v>4442</v>
      </c>
      <c r="H102" s="25" t="str">
        <f>IFERROR(__xludf.DUMMYFUNCTION("""COMPUTED_VALUE"""),"AJANTA PHARMA (AVECIA)")</f>
        <v>AJANTA PHARMA (AVECIA)</v>
      </c>
    </row>
    <row r="103">
      <c r="A103" s="25">
        <v>23.0</v>
      </c>
      <c r="B103" s="25" t="s">
        <v>7069</v>
      </c>
      <c r="C103" s="27" t="s">
        <v>1316</v>
      </c>
      <c r="H103" s="25" t="str">
        <f>IFERROR(__xludf.DUMMYFUNCTION("""COMPUTED_VALUE"""),"AJANTA PHARMA (AXYS)")</f>
        <v>AJANTA PHARMA (AXYS)</v>
      </c>
    </row>
    <row r="104">
      <c r="A104" s="25">
        <v>23.0</v>
      </c>
      <c r="B104" s="25" t="s">
        <v>8787</v>
      </c>
      <c r="C104" s="27" t="s">
        <v>2944</v>
      </c>
      <c r="H104" s="25" t="str">
        <f>IFERROR(__xludf.DUMMYFUNCTION("""COMPUTED_VALUE"""),"AJANTA PHARMA (CDC)")</f>
        <v>AJANTA PHARMA (CDC)</v>
      </c>
    </row>
    <row r="105">
      <c r="A105" s="25">
        <v>23.0</v>
      </c>
      <c r="B105" s="25" t="s">
        <v>9833</v>
      </c>
      <c r="C105" s="27" t="s">
        <v>4036</v>
      </c>
      <c r="H105" s="25" t="str">
        <f>IFERROR(__xludf.DUMMYFUNCTION("""COMPUTED_VALUE"""),"AJANTA PHARMA (ILLUMA)")</f>
        <v>AJANTA PHARMA (ILLUMA)</v>
      </c>
    </row>
    <row r="106">
      <c r="A106" s="25">
        <v>23.0</v>
      </c>
      <c r="B106" s="25" t="s">
        <v>10640</v>
      </c>
      <c r="C106" s="27" t="s">
        <v>4878</v>
      </c>
      <c r="H106" s="25" t="str">
        <f>IFERROR(__xludf.DUMMYFUNCTION("""COMPUTED_VALUE"""),"AJANTA PHARMA (INYX)")</f>
        <v>AJANTA PHARMA (INYX)</v>
      </c>
    </row>
    <row r="107">
      <c r="A107" s="25">
        <v>22.0</v>
      </c>
      <c r="B107" s="25" t="s">
        <v>9813</v>
      </c>
      <c r="C107" s="27" t="s">
        <v>4013</v>
      </c>
      <c r="H107" s="25" t="str">
        <f>IFERROR(__xludf.DUMMYFUNCTION("""COMPUTED_VALUE"""),"AJANTA PHARMA (MEXLON)")</f>
        <v>AJANTA PHARMA (MEXLON)</v>
      </c>
    </row>
    <row r="108">
      <c r="A108" s="25">
        <v>22.0</v>
      </c>
      <c r="B108" s="25" t="s">
        <v>4985</v>
      </c>
      <c r="C108" s="27" t="s">
        <v>4985</v>
      </c>
      <c r="H108" s="25" t="str">
        <f>IFERROR(__xludf.DUMMYFUNCTION("""COMPUTED_VALUE"""),"AJANTA PHARMA (NUVENTA)")</f>
        <v>AJANTA PHARMA (NUVENTA)</v>
      </c>
    </row>
    <row r="109">
      <c r="A109" s="25">
        <v>21.0</v>
      </c>
      <c r="B109" s="25" t="s">
        <v>6495</v>
      </c>
      <c r="C109" s="27" t="s">
        <v>794</v>
      </c>
      <c r="H109" s="25" t="str">
        <f>IFERROR(__xludf.DUMMYFUNCTION("""COMPUTED_VALUE"""),"AJANTA PHARMA (PRISMA)")</f>
        <v>AJANTA PHARMA (PRISMA)</v>
      </c>
    </row>
    <row r="110">
      <c r="A110" s="25">
        <v>21.0</v>
      </c>
      <c r="B110" s="25" t="s">
        <v>6520</v>
      </c>
      <c r="C110" s="27" t="s">
        <v>816</v>
      </c>
      <c r="H110" s="25" t="str">
        <f>IFERROR(__xludf.DUMMYFUNCTION("""COMPUTED_VALUE"""),"AJANTA PHARMA (SOLESTA)")</f>
        <v>AJANTA PHARMA (SOLESTA)</v>
      </c>
    </row>
    <row r="111">
      <c r="A111" s="25">
        <v>21.0</v>
      </c>
      <c r="B111" s="25" t="s">
        <v>2608</v>
      </c>
      <c r="C111" s="27" t="s">
        <v>2608</v>
      </c>
      <c r="H111" s="25" t="str">
        <f>IFERROR(__xludf.DUMMYFUNCTION("""COMPUTED_VALUE"""),"AJANTA PHARMA (ZILLION SPE)")</f>
        <v>AJANTA PHARMA (ZILLION SPE)</v>
      </c>
    </row>
    <row r="112">
      <c r="A112" s="25">
        <v>21.0</v>
      </c>
      <c r="B112" s="25" t="s">
        <v>8693</v>
      </c>
      <c r="C112" s="27" t="s">
        <v>2849</v>
      </c>
      <c r="H112" s="25" t="str">
        <f>IFERROR(__xludf.DUMMYFUNCTION("""COMPUTED_VALUE"""),"AJANTA PHARMA (ZILLION)")</f>
        <v>AJANTA PHARMA (ZILLION)</v>
      </c>
    </row>
    <row r="113">
      <c r="A113" s="25">
        <v>21.0</v>
      </c>
      <c r="B113" s="25" t="s">
        <v>9276</v>
      </c>
      <c r="C113" s="27" t="s">
        <v>3480</v>
      </c>
      <c r="H113" s="25" t="str">
        <f>IFERROR(__xludf.DUMMYFUNCTION("""COMPUTED_VALUE"""),"Ajanta Pharma Ltd")</f>
        <v>Ajanta Pharma Ltd</v>
      </c>
    </row>
    <row r="114">
      <c r="A114" s="25">
        <v>21.0</v>
      </c>
      <c r="B114" s="25" t="s">
        <v>9759</v>
      </c>
      <c r="C114" s="27" t="s">
        <v>3957</v>
      </c>
      <c r="H114" s="25" t="str">
        <f>IFERROR(__xludf.DUMMYFUNCTION("""COMPUTED_VALUE"""),"AJES PHARMA")</f>
        <v>AJES PHARMA</v>
      </c>
    </row>
    <row r="115">
      <c r="A115" s="25">
        <v>20.0</v>
      </c>
      <c r="B115" s="25" t="s">
        <v>6833</v>
      </c>
      <c r="C115" s="27" t="s">
        <v>1095</v>
      </c>
      <c r="H115" s="25" t="str">
        <f>IFERROR(__xludf.DUMMYFUNCTION("""COMPUTED_VALUE"""),"AJIT AYURVEDA")</f>
        <v>AJIT AYURVEDA</v>
      </c>
    </row>
    <row r="116">
      <c r="A116" s="25">
        <v>20.0</v>
      </c>
      <c r="B116" s="25" t="s">
        <v>10193</v>
      </c>
      <c r="C116" s="27" t="s">
        <v>4402</v>
      </c>
      <c r="H116" s="25" t="str">
        <f>IFERROR(__xludf.DUMMYFUNCTION("""COMPUTED_VALUE"""),"AKOGNOS LIFE SCIENCES")</f>
        <v>AKOGNOS LIFE SCIENCES</v>
      </c>
    </row>
    <row r="117">
      <c r="A117" s="25">
        <v>19.0</v>
      </c>
      <c r="B117" s="25" t="s">
        <v>8306</v>
      </c>
      <c r="C117" s="27" t="s">
        <v>2463</v>
      </c>
      <c r="H117" s="25" t="str">
        <f>IFERROR(__xludf.DUMMYFUNCTION("""COMPUTED_VALUE"""),"AKPASH PHARMA INDORE")</f>
        <v>AKPASH PHARMA INDORE</v>
      </c>
    </row>
    <row r="118">
      <c r="A118" s="25">
        <v>18.0</v>
      </c>
      <c r="B118" s="25" t="s">
        <v>7496</v>
      </c>
      <c r="C118" s="27" t="s">
        <v>1580</v>
      </c>
      <c r="H118" s="25" t="str">
        <f>IFERROR(__xludf.DUMMYFUNCTION("""COMPUTED_VALUE"""),"AKSH PHARMA")</f>
        <v>AKSH PHARMA</v>
      </c>
    </row>
    <row r="119">
      <c r="A119" s="25">
        <v>18.0</v>
      </c>
      <c r="B119" s="25" t="s">
        <v>7943</v>
      </c>
      <c r="C119" s="27" t="s">
        <v>2144</v>
      </c>
      <c r="H119" s="25" t="str">
        <f>IFERROR(__xludf.DUMMYFUNCTION("""COMPUTED_VALUE"""),"AKSHAY PHARMA")</f>
        <v>AKSHAY PHARMA</v>
      </c>
    </row>
    <row r="120">
      <c r="A120" s="25">
        <v>18.0</v>
      </c>
      <c r="B120" s="25" t="s">
        <v>8486</v>
      </c>
      <c r="C120" s="27" t="s">
        <v>2630</v>
      </c>
      <c r="H120" s="25" t="str">
        <f>IFERROR(__xludf.DUMMYFUNCTION("""COMPUTED_VALUE"""),"Aksigen Hospital Care")</f>
        <v>Aksigen Hospital Care</v>
      </c>
    </row>
    <row r="121">
      <c r="A121" s="25">
        <v>18.0</v>
      </c>
      <c r="B121" s="25" t="s">
        <v>8956</v>
      </c>
      <c r="C121" s="27" t="s">
        <v>3134</v>
      </c>
      <c r="H121" s="25" t="str">
        <f>IFERROR(__xludf.DUMMYFUNCTION("""COMPUTED_VALUE"""),"Akumentis Healthcare Ltd")</f>
        <v>Akumentis Healthcare Ltd</v>
      </c>
    </row>
    <row r="122">
      <c r="A122" s="25">
        <v>18.0</v>
      </c>
      <c r="B122" s="25" t="s">
        <v>9088</v>
      </c>
      <c r="C122" s="27" t="s">
        <v>3243</v>
      </c>
      <c r="H122" s="25" t="str">
        <f>IFERROR(__xludf.DUMMYFUNCTION("""COMPUTED_VALUE"""),"AKUMENTIS HEALTHCARE LTD (CRETIS)")</f>
        <v>AKUMENTIS HEALTHCARE LTD (CRETIS)</v>
      </c>
    </row>
    <row r="123">
      <c r="A123" s="25">
        <v>18.0</v>
      </c>
      <c r="B123" s="25" t="s">
        <v>10029</v>
      </c>
      <c r="C123" s="27" t="s">
        <v>4243</v>
      </c>
      <c r="H123" s="25" t="str">
        <f>IFERROR(__xludf.DUMMYFUNCTION("""COMPUTED_VALUE"""),"AKUMENTIS HEALTHCARE LTD (HARMONICA)")</f>
        <v>AKUMENTIS HEALTHCARE LTD (HARMONICA)</v>
      </c>
    </row>
    <row r="124">
      <c r="A124" s="25">
        <v>18.0</v>
      </c>
      <c r="B124" s="25" t="s">
        <v>10215</v>
      </c>
      <c r="C124" s="27" t="s">
        <v>4423</v>
      </c>
      <c r="H124" s="25" t="str">
        <f>IFERROR(__xludf.DUMMYFUNCTION("""COMPUTED_VALUE"""),"AKUMENTIS HEALTHCARE LTD (OSTEON)")</f>
        <v>AKUMENTIS HEALTHCARE LTD (OSTEON)</v>
      </c>
    </row>
    <row r="125">
      <c r="A125" s="25">
        <v>17.0</v>
      </c>
      <c r="B125" s="25" t="s">
        <v>6592</v>
      </c>
      <c r="C125" s="27" t="s">
        <v>880</v>
      </c>
      <c r="H125" s="25" t="str">
        <f>IFERROR(__xludf.DUMMYFUNCTION("""COMPUTED_VALUE"""),"Akums Drugs &amp; Pharmaceuticals Ltd")</f>
        <v>Akums Drugs &amp; Pharmaceuticals Ltd</v>
      </c>
    </row>
    <row r="126">
      <c r="A126" s="25">
        <v>17.0</v>
      </c>
      <c r="B126" s="25" t="s">
        <v>8445</v>
      </c>
      <c r="C126" s="27" t="s">
        <v>2590</v>
      </c>
      <c r="H126" s="25" t="str">
        <f>IFERROR(__xludf.DUMMYFUNCTION("""COMPUTED_VALUE"""),"ALAKNANDA HERBAL")</f>
        <v>ALAKNANDA HERBAL</v>
      </c>
    </row>
    <row r="127">
      <c r="A127" s="25">
        <v>17.0</v>
      </c>
      <c r="B127" s="25" t="s">
        <v>9170</v>
      </c>
      <c r="C127" s="27" t="s">
        <v>3357</v>
      </c>
      <c r="H127" s="25" t="str">
        <f>IFERROR(__xludf.DUMMYFUNCTION("""COMPUTED_VALUE"""),"Alarsin Pharmaceuticals")</f>
        <v>Alarsin Pharmaceuticals</v>
      </c>
    </row>
    <row r="128">
      <c r="A128" s="25">
        <v>17.0</v>
      </c>
      <c r="B128" s="25" t="s">
        <v>4907</v>
      </c>
      <c r="C128" s="27" t="s">
        <v>4907</v>
      </c>
      <c r="H128" s="25" t="str">
        <f>IFERROR(__xludf.DUMMYFUNCTION("""COMPUTED_VALUE"""),"ALASTER HEALTH CARE")</f>
        <v>ALASTER HEALTH CARE</v>
      </c>
    </row>
    <row r="129">
      <c r="A129" s="25">
        <v>16.0</v>
      </c>
      <c r="B129" s="25" t="s">
        <v>7249</v>
      </c>
      <c r="C129" s="27" t="s">
        <v>1353</v>
      </c>
      <c r="H129" s="25" t="str">
        <f>IFERROR(__xludf.DUMMYFUNCTION("""COMPUTED_VALUE"""),"ALBATROSS HEALTHCARE")</f>
        <v>ALBATROSS HEALTHCARE</v>
      </c>
    </row>
    <row r="130">
      <c r="A130" s="25">
        <v>16.0</v>
      </c>
      <c r="B130" s="25" t="s">
        <v>1536</v>
      </c>
      <c r="C130" s="27" t="s">
        <v>1536</v>
      </c>
      <c r="H130" s="25" t="str">
        <f>IFERROR(__xludf.DUMMYFUNCTION("""COMPUTED_VALUE"""),"Albert David Ltd")</f>
        <v>Albert David Ltd</v>
      </c>
    </row>
    <row r="131">
      <c r="A131" s="25">
        <v>16.0</v>
      </c>
      <c r="B131" s="25" t="s">
        <v>2563</v>
      </c>
      <c r="C131" s="27" t="s">
        <v>2563</v>
      </c>
      <c r="H131" s="25" t="str">
        <f>IFERROR(__xludf.DUMMYFUNCTION("""COMPUTED_VALUE"""),"ALBERTA MEDICARE P LTD")</f>
        <v>ALBERTA MEDICARE P LTD</v>
      </c>
    </row>
    <row r="132">
      <c r="A132" s="25">
        <v>16.0</v>
      </c>
      <c r="B132" s="25" t="s">
        <v>10046</v>
      </c>
      <c r="C132" s="27" t="s">
        <v>4262</v>
      </c>
      <c r="H132" s="25" t="str">
        <f>IFERROR(__xludf.DUMMYFUNCTION("""COMPUTED_VALUE"""),"ALBINO PHARMACEUTICALS PVT LTD")</f>
        <v>ALBINO PHARMACEUTICALS PVT LTD</v>
      </c>
    </row>
    <row r="133">
      <c r="A133" s="25">
        <v>16.0</v>
      </c>
      <c r="B133" s="25" t="s">
        <v>11156</v>
      </c>
      <c r="C133" s="27" t="s">
        <v>5422</v>
      </c>
      <c r="H133" s="25" t="str">
        <f>IFERROR(__xludf.DUMMYFUNCTION("""COMPUTED_VALUE"""),"ALBRIS HEALTHCARE &amp; BIOTECH PVT. LTD.")</f>
        <v>ALBRIS HEALTHCARE &amp; BIOTECH PVT. LTD.</v>
      </c>
    </row>
    <row r="134">
      <c r="A134" s="25">
        <v>15.0</v>
      </c>
      <c r="B134" s="25" t="s">
        <v>6622</v>
      </c>
      <c r="C134" s="27" t="s">
        <v>880</v>
      </c>
      <c r="H134" s="25" t="str">
        <f>IFERROR(__xludf.DUMMYFUNCTION("""COMPUTED_VALUE"""),"ALBRUS")</f>
        <v>ALBRUS</v>
      </c>
    </row>
    <row r="135">
      <c r="A135" s="25">
        <v>15.0</v>
      </c>
      <c r="B135" s="25" t="s">
        <v>2547</v>
      </c>
      <c r="C135" s="27" t="s">
        <v>2547</v>
      </c>
      <c r="H135" s="25" t="str">
        <f>IFERROR(__xludf.DUMMYFUNCTION("""COMPUTED_VALUE"""),"ALCHEM PHYTOCEUTICAL")</f>
        <v>ALCHEM PHYTOCEUTICAL</v>
      </c>
    </row>
    <row r="136">
      <c r="A136" s="25">
        <v>15.0</v>
      </c>
      <c r="B136" s="25" t="s">
        <v>10834</v>
      </c>
      <c r="C136" s="27" t="s">
        <v>5096</v>
      </c>
      <c r="H136" s="25" t="str">
        <f>IFERROR(__xludf.DUMMYFUNCTION("""COMPUTED_VALUE"""),"Alchemist Life Science")</f>
        <v>Alchemist Life Science</v>
      </c>
    </row>
    <row r="137">
      <c r="A137" s="25">
        <v>14.0</v>
      </c>
      <c r="B137" s="25" t="s">
        <v>11076</v>
      </c>
      <c r="C137" s="27" t="s">
        <v>5336</v>
      </c>
      <c r="H137" s="25" t="str">
        <f>IFERROR(__xludf.DUMMYFUNCTION("""COMPUTED_VALUE"""),"ALCO LABS")</f>
        <v>ALCO LABS</v>
      </c>
    </row>
    <row r="138">
      <c r="A138" s="25">
        <v>13.0</v>
      </c>
      <c r="B138" s="25" t="s">
        <v>6160</v>
      </c>
      <c r="C138" s="27" t="s">
        <v>513</v>
      </c>
      <c r="H138" s="25" t="str">
        <f>IFERROR(__xludf.DUMMYFUNCTION("""COMPUTED_VALUE"""),"Alcon Laboratories")</f>
        <v>Alcon Laboratories</v>
      </c>
    </row>
    <row r="139">
      <c r="A139" s="25">
        <v>13.0</v>
      </c>
      <c r="B139" s="25" t="s">
        <v>6479</v>
      </c>
      <c r="C139" s="27" t="s">
        <v>781</v>
      </c>
      <c r="H139" s="25" t="str">
        <f>IFERROR(__xludf.DUMMYFUNCTION("""COMPUTED_VALUE"""),"ALDE VISION")</f>
        <v>ALDE VISION</v>
      </c>
    </row>
    <row r="140">
      <c r="A140" s="25">
        <v>13.0</v>
      </c>
      <c r="B140" s="25" t="s">
        <v>6936</v>
      </c>
      <c r="C140" s="27" t="s">
        <v>1190</v>
      </c>
      <c r="H140" s="25" t="str">
        <f>IFERROR(__xludf.DUMMYFUNCTION("""COMPUTED_VALUE"""),"ALDER PHARMACEUTICAL")</f>
        <v>ALDER PHARMACEUTICAL</v>
      </c>
    </row>
    <row r="141">
      <c r="A141" s="25">
        <v>13.0</v>
      </c>
      <c r="B141" s="25" t="s">
        <v>7900</v>
      </c>
      <c r="C141" s="27" t="s">
        <v>2101</v>
      </c>
      <c r="H141" s="25" t="str">
        <f>IFERROR(__xludf.DUMMYFUNCTION("""COMPUTED_VALUE"""),"ALEMBIC (CORAZON)")</f>
        <v>ALEMBIC (CORAZON)</v>
      </c>
    </row>
    <row r="142">
      <c r="A142" s="25">
        <v>13.0</v>
      </c>
      <c r="B142" s="25" t="s">
        <v>8003</v>
      </c>
      <c r="C142" s="27" t="s">
        <v>2196</v>
      </c>
      <c r="H142" s="25" t="str">
        <f>IFERROR(__xludf.DUMMYFUNCTION("""COMPUTED_VALUE"""),"ALEMBIC (DERMA)")</f>
        <v>ALEMBIC (DERMA)</v>
      </c>
    </row>
    <row r="143">
      <c r="A143" s="25">
        <v>13.0</v>
      </c>
      <c r="B143" s="25" t="s">
        <v>8045</v>
      </c>
      <c r="C143" s="27" t="s">
        <v>2238</v>
      </c>
      <c r="H143" s="25" t="str">
        <f>IFERROR(__xludf.DUMMYFUNCTION("""COMPUTED_VALUE"""),"ALEMBIC (ENTERON)")</f>
        <v>ALEMBIC (ENTERON)</v>
      </c>
    </row>
    <row r="144">
      <c r="A144" s="25">
        <v>13.0</v>
      </c>
      <c r="B144" s="25" t="s">
        <v>11230</v>
      </c>
      <c r="C144" s="27" t="s">
        <v>5501</v>
      </c>
      <c r="H144" s="25" t="str">
        <f>IFERROR(__xludf.DUMMYFUNCTION("""COMPUTED_VALUE"""),"ALEMBIC (GENERIC)")</f>
        <v>ALEMBIC (GENERIC)</v>
      </c>
    </row>
    <row r="145">
      <c r="A145" s="25">
        <v>12.0</v>
      </c>
      <c r="B145" s="25" t="s">
        <v>9380</v>
      </c>
      <c r="C145" s="27" t="s">
        <v>3585</v>
      </c>
      <c r="H145" s="25" t="str">
        <f>IFERROR(__xludf.DUMMYFUNCTION("""COMPUTED_VALUE"""),"ALEMBIC (MAIN)")</f>
        <v>ALEMBIC (MAIN)</v>
      </c>
    </row>
    <row r="146">
      <c r="A146" s="25">
        <v>12.0</v>
      </c>
      <c r="B146" s="25" t="s">
        <v>9504</v>
      </c>
      <c r="C146" s="27" t="s">
        <v>3707</v>
      </c>
      <c r="H146" s="25" t="str">
        <f>IFERROR(__xludf.DUMMYFUNCTION("""COMPUTED_VALUE"""),"ALEMBIC (MAXIS)")</f>
        <v>ALEMBIC (MAXIS)</v>
      </c>
    </row>
    <row r="147">
      <c r="A147" s="25">
        <v>11.0</v>
      </c>
      <c r="B147" s="25" t="s">
        <v>7322</v>
      </c>
      <c r="C147" s="27" t="s">
        <v>1553</v>
      </c>
      <c r="H147" s="25" t="str">
        <f>IFERROR(__xludf.DUMMYFUNCTION("""COMPUTED_VALUE"""),"ALEMBIC (MEGACARE)")</f>
        <v>ALEMBIC (MEGACARE)</v>
      </c>
    </row>
    <row r="148">
      <c r="A148" s="25">
        <v>11.0</v>
      </c>
      <c r="B148" s="25" t="s">
        <v>7354</v>
      </c>
      <c r="C148" s="27" t="s">
        <v>1580</v>
      </c>
      <c r="H148" s="25" t="str">
        <f>IFERROR(__xludf.DUMMYFUNCTION("""COMPUTED_VALUE"""),"ALEMBIC (MITON)")</f>
        <v>ALEMBIC (MITON)</v>
      </c>
    </row>
    <row r="149">
      <c r="A149" s="25">
        <v>10.0</v>
      </c>
      <c r="B149" s="25" t="s">
        <v>6321</v>
      </c>
      <c r="C149" s="27" t="s">
        <v>653</v>
      </c>
      <c r="H149" s="25" t="str">
        <f>IFERROR(__xludf.DUMMYFUNCTION("""COMPUTED_VALUE"""),"ALEMBIC (OSTOFIT)")</f>
        <v>ALEMBIC (OSTOFIT)</v>
      </c>
    </row>
    <row r="150">
      <c r="A150" s="25">
        <v>10.0</v>
      </c>
      <c r="B150" s="25" t="s">
        <v>6953</v>
      </c>
      <c r="C150" s="27" t="s">
        <v>1190</v>
      </c>
      <c r="H150" s="25" t="str">
        <f>IFERROR(__xludf.DUMMYFUNCTION("""COMPUTED_VALUE"""),"ALEMBIC (OURON)")</f>
        <v>ALEMBIC (OURON)</v>
      </c>
    </row>
    <row r="151">
      <c r="A151" s="25">
        <v>10.0</v>
      </c>
      <c r="B151" s="25" t="s">
        <v>7095</v>
      </c>
      <c r="C151" s="27" t="s">
        <v>1312</v>
      </c>
      <c r="H151" s="25" t="str">
        <f>IFERROR(__xludf.DUMMYFUNCTION("""COMPUTED_VALUE"""),"ALEMBIC (SPECIA)")</f>
        <v>ALEMBIC (SPECIA)</v>
      </c>
    </row>
    <row r="152">
      <c r="A152" s="25">
        <v>9.0</v>
      </c>
      <c r="B152" s="25" t="s">
        <v>6538</v>
      </c>
      <c r="C152" s="27" t="s">
        <v>835</v>
      </c>
      <c r="H152" s="25" t="str">
        <f>IFERROR(__xludf.DUMMYFUNCTION("""COMPUTED_VALUE"""),"ALEMBIC (SUMMIT)")</f>
        <v>ALEMBIC (SUMMIT)</v>
      </c>
    </row>
    <row r="153">
      <c r="A153" s="25">
        <v>9.0</v>
      </c>
      <c r="B153" s="25" t="s">
        <v>11090</v>
      </c>
      <c r="C153" s="27" t="s">
        <v>5351</v>
      </c>
      <c r="H153" s="25" t="str">
        <f>IFERROR(__xludf.DUMMYFUNCTION("""COMPUTED_VALUE"""),"ALEMBIC (SUPRACARE)")</f>
        <v>ALEMBIC (SUPRACARE)</v>
      </c>
    </row>
    <row r="154">
      <c r="A154" s="25">
        <v>9.0</v>
      </c>
      <c r="B154" s="25" t="s">
        <v>2580</v>
      </c>
      <c r="C154" s="27" t="s">
        <v>2580</v>
      </c>
      <c r="H154" s="25" t="str">
        <f>IFERROR(__xludf.DUMMYFUNCTION("""COMPUTED_VALUE"""),"ALEMBIC (ZENOVI)")</f>
        <v>ALEMBIC (ZENOVI)</v>
      </c>
    </row>
    <row r="155">
      <c r="A155" s="25">
        <v>9.0</v>
      </c>
      <c r="B155" s="25" t="s">
        <v>9219</v>
      </c>
      <c r="C155" s="27" t="s">
        <v>3375</v>
      </c>
      <c r="H155" s="25" t="str">
        <f>IFERROR(__xludf.DUMMYFUNCTION("""COMPUTED_VALUE"""),"Alembic Pharmaceuticals Ltd")</f>
        <v>Alembic Pharmaceuticals Ltd</v>
      </c>
    </row>
    <row r="156">
      <c r="A156" s="25">
        <v>9.0</v>
      </c>
      <c r="B156" s="25" t="s">
        <v>9231</v>
      </c>
      <c r="C156" s="27" t="s">
        <v>3429</v>
      </c>
      <c r="H156" s="25" t="str">
        <f>IFERROR(__xludf.DUMMYFUNCTION("""COMPUTED_VALUE"""),"Alencure Biotech P Ltd")</f>
        <v>Alencure Biotech P Ltd</v>
      </c>
    </row>
    <row r="157">
      <c r="A157" s="25">
        <v>8.0</v>
      </c>
      <c r="B157" s="25" t="s">
        <v>6173</v>
      </c>
      <c r="C157" s="27" t="s">
        <v>526</v>
      </c>
      <c r="H157" s="25" t="str">
        <f>IFERROR(__xludf.DUMMYFUNCTION("""COMPUTED_VALUE"""),"ALEXIA HEALTHCARE")</f>
        <v>ALEXIA HEALTHCARE</v>
      </c>
    </row>
    <row r="158">
      <c r="A158" s="25">
        <v>7.0</v>
      </c>
      <c r="B158" s="25" t="s">
        <v>5528</v>
      </c>
      <c r="C158" s="27" t="s">
        <v>10</v>
      </c>
      <c r="H158" s="25" t="str">
        <f>IFERROR(__xludf.DUMMYFUNCTION("""COMPUTED_VALUE"""),"ALIGENT COSMETOLOGY")</f>
        <v>ALIGENT COSMETOLOGY</v>
      </c>
    </row>
    <row r="159">
      <c r="A159" s="25">
        <v>7.0</v>
      </c>
      <c r="B159" s="25" t="s">
        <v>7337</v>
      </c>
      <c r="C159" s="27" t="s">
        <v>1565</v>
      </c>
      <c r="H159" s="25" t="str">
        <f>IFERROR(__xludf.DUMMYFUNCTION("""COMPUTED_VALUE"""),"ALIO LIFESCIENCES")</f>
        <v>ALIO LIFESCIENCES</v>
      </c>
    </row>
    <row r="160">
      <c r="A160" s="25">
        <v>7.0</v>
      </c>
      <c r="B160" s="25" t="s">
        <v>10024</v>
      </c>
      <c r="C160" s="27" t="s">
        <v>4235</v>
      </c>
      <c r="H160" s="25" t="str">
        <f>IFERROR(__xludf.DUMMYFUNCTION("""COMPUTED_VALUE"""),"ALISIER DRUGS")</f>
        <v>ALISIER DRUGS</v>
      </c>
    </row>
    <row r="161">
      <c r="A161" s="25">
        <v>7.0</v>
      </c>
      <c r="B161" s="25" t="s">
        <v>5515</v>
      </c>
      <c r="C161" s="27" t="s">
        <v>5515</v>
      </c>
      <c r="H161" s="25" t="str">
        <f>IFERROR(__xludf.DUMMYFUNCTION("""COMPUTED_VALUE"""),"ALISTE HEALTHCARE PVT. LTD.")</f>
        <v>ALISTE HEALTHCARE PVT. LTD.</v>
      </c>
    </row>
    <row r="162">
      <c r="A162" s="25">
        <v>7.0</v>
      </c>
      <c r="B162" s="25" t="s">
        <v>10879</v>
      </c>
      <c r="C162" s="27" t="s">
        <v>5142</v>
      </c>
      <c r="H162" s="25" t="str">
        <f>IFERROR(__xludf.DUMMYFUNCTION("""COMPUTED_VALUE"""),"ALIV HELTH CARE SOLAN")</f>
        <v>ALIV HELTH CARE SOLAN</v>
      </c>
    </row>
    <row r="163">
      <c r="A163" s="25">
        <v>6.0</v>
      </c>
      <c r="B163" s="25" t="s">
        <v>5578</v>
      </c>
      <c r="C163" s="27" t="s">
        <v>51</v>
      </c>
      <c r="H163" s="25" t="str">
        <f>IFERROR(__xludf.DUMMYFUNCTION("""COMPUTED_VALUE"""),"ALIXAR HEALTHCARE")</f>
        <v>ALIXAR HEALTHCARE</v>
      </c>
    </row>
    <row r="164">
      <c r="A164" s="25">
        <v>6.0</v>
      </c>
      <c r="B164" s="25" t="s">
        <v>6110</v>
      </c>
      <c r="C164" s="27" t="s">
        <v>473</v>
      </c>
      <c r="H164" s="25" t="str">
        <f>IFERROR(__xludf.DUMMYFUNCTION("""COMPUTED_VALUE"""),"ALKA CHEMICAL INDUSTRIES")</f>
        <v>ALKA CHEMICAL INDUSTRIES</v>
      </c>
    </row>
    <row r="165">
      <c r="A165" s="25">
        <v>6.0</v>
      </c>
      <c r="B165" s="25" t="s">
        <v>6142</v>
      </c>
      <c r="C165" s="27" t="s">
        <v>497</v>
      </c>
      <c r="H165" s="25" t="str">
        <f>IFERROR(__xludf.DUMMYFUNCTION("""COMPUTED_VALUE"""),"ALKA PHARMACEUTICALS")</f>
        <v>ALKA PHARMACEUTICALS</v>
      </c>
    </row>
    <row r="166">
      <c r="A166" s="25">
        <v>6.0</v>
      </c>
      <c r="B166" s="25" t="s">
        <v>6717</v>
      </c>
      <c r="C166" s="27" t="s">
        <v>695</v>
      </c>
      <c r="H166" s="25" t="str">
        <f>IFERROR(__xludf.DUMMYFUNCTION("""COMPUTED_VALUE"""),"ALKEM (ACE)")</f>
        <v>ALKEM (ACE)</v>
      </c>
    </row>
    <row r="167">
      <c r="A167" s="25">
        <v>6.0</v>
      </c>
      <c r="B167" s="25" t="s">
        <v>6852</v>
      </c>
      <c r="C167" s="27" t="s">
        <v>1116</v>
      </c>
      <c r="H167" s="25" t="str">
        <f>IFERROR(__xludf.DUMMYFUNCTION("""COMPUTED_VALUE"""),"ALKEM (ALPHA)")</f>
        <v>ALKEM (ALPHA)</v>
      </c>
    </row>
    <row r="168">
      <c r="A168" s="25">
        <v>6.0</v>
      </c>
      <c r="B168" s="25" t="s">
        <v>6927</v>
      </c>
      <c r="C168" s="27" t="s">
        <v>1183</v>
      </c>
      <c r="H168" s="25" t="str">
        <f>IFERROR(__xludf.DUMMYFUNCTION("""COMPUTED_VALUE"""),"ALKEM (ALPHAMAX)")</f>
        <v>ALKEM (ALPHAMAX)</v>
      </c>
    </row>
    <row r="169">
      <c r="A169" s="25">
        <v>6.0</v>
      </c>
      <c r="B169" s="25" t="s">
        <v>7346</v>
      </c>
      <c r="C169" s="27" t="s">
        <v>1573</v>
      </c>
      <c r="H169" s="25" t="str">
        <f>IFERROR(__xludf.DUMMYFUNCTION("""COMPUTED_VALUE"""),"ALKEM (ALTIS)")</f>
        <v>ALKEM (ALTIS)</v>
      </c>
    </row>
    <row r="170">
      <c r="A170" s="25">
        <v>6.0</v>
      </c>
      <c r="B170" s="25" t="s">
        <v>8576</v>
      </c>
      <c r="C170" s="27" t="s">
        <v>2733</v>
      </c>
      <c r="H170" s="25" t="str">
        <f>IFERROR(__xludf.DUMMYFUNCTION("""COMPUTED_VALUE"""),"ALKEM (BERGEN)")</f>
        <v>ALKEM (BERGEN)</v>
      </c>
    </row>
    <row r="171">
      <c r="A171" s="25">
        <v>5.0</v>
      </c>
      <c r="B171" s="25" t="s">
        <v>6119</v>
      </c>
      <c r="C171" s="27" t="s">
        <v>480</v>
      </c>
      <c r="H171" s="25" t="str">
        <f>IFERROR(__xludf.DUMMYFUNCTION("""COMPUTED_VALUE"""),"ALKEM (CARDIOLOGY)")</f>
        <v>ALKEM (CARDIOLOGY)</v>
      </c>
    </row>
    <row r="172">
      <c r="A172" s="25">
        <v>5.0</v>
      </c>
      <c r="B172" s="25" t="s">
        <v>6126</v>
      </c>
      <c r="C172" s="27" t="s">
        <v>485</v>
      </c>
      <c r="H172" s="25" t="str">
        <f>IFERROR(__xludf.DUMMYFUNCTION("""COMPUTED_VALUE"""),"ALKEM (DERMACARE)")</f>
        <v>ALKEM (DERMACARE)</v>
      </c>
    </row>
    <row r="173">
      <c r="A173" s="25">
        <v>5.0</v>
      </c>
      <c r="B173" s="25" t="s">
        <v>6131</v>
      </c>
      <c r="C173" s="27" t="s">
        <v>490</v>
      </c>
      <c r="H173" s="25" t="str">
        <f>IFERROR(__xludf.DUMMYFUNCTION("""COMPUTED_VALUE"""),"ALKEM (DERMAKEM)")</f>
        <v>ALKEM (DERMAKEM)</v>
      </c>
    </row>
    <row r="174">
      <c r="A174" s="25">
        <v>5.0</v>
      </c>
      <c r="B174" s="25" t="s">
        <v>9399</v>
      </c>
      <c r="C174" s="27" t="s">
        <v>3598</v>
      </c>
      <c r="H174" s="25" t="str">
        <f>IFERROR(__xludf.DUMMYFUNCTION("""COMPUTED_VALUE"""),"ALKEM (DIABETOLOGY)")</f>
        <v>ALKEM (DIABETOLOGY)</v>
      </c>
    </row>
    <row r="175">
      <c r="A175" s="25">
        <v>5.0</v>
      </c>
      <c r="B175" s="25" t="s">
        <v>9614</v>
      </c>
      <c r="C175" s="27" t="s">
        <v>3821</v>
      </c>
      <c r="H175" s="25" t="str">
        <f>IFERROR(__xludf.DUMMYFUNCTION("""COMPUTED_VALUE"""),"ALKEM (FERTICA)")</f>
        <v>ALKEM (FERTICA)</v>
      </c>
    </row>
    <row r="176">
      <c r="A176" s="25">
        <v>4.0</v>
      </c>
      <c r="B176" s="25" t="s">
        <v>6102</v>
      </c>
      <c r="C176" s="27" t="s">
        <v>468</v>
      </c>
      <c r="H176" s="25" t="str">
        <f>IFERROR(__xludf.DUMMYFUNCTION("""COMPUTED_VALUE"""),"ALKEM (GENERIC-FUTURA)")</f>
        <v>ALKEM (GENERIC-FUTURA)</v>
      </c>
    </row>
    <row r="177">
      <c r="A177" s="25">
        <v>4.0</v>
      </c>
      <c r="B177" s="25" t="s">
        <v>6552</v>
      </c>
      <c r="C177" s="27" t="s">
        <v>835</v>
      </c>
      <c r="H177" s="25" t="str">
        <f>IFERROR(__xludf.DUMMYFUNCTION("""COMPUTED_VALUE"""),"ALKEM (GENERIC-MAXXIO)")</f>
        <v>ALKEM (GENERIC-MAXXIO)</v>
      </c>
    </row>
    <row r="178">
      <c r="A178" s="25">
        <v>3.0</v>
      </c>
      <c r="B178" s="25" t="s">
        <v>6156</v>
      </c>
      <c r="C178" s="27" t="s">
        <v>509</v>
      </c>
      <c r="H178" s="25" t="str">
        <f>IFERROR(__xludf.DUMMYFUNCTION("""COMPUTED_VALUE"""),"ALKEM (GENERIC)")</f>
        <v>ALKEM (GENERIC)</v>
      </c>
    </row>
    <row r="179">
      <c r="A179" s="25">
        <v>3.0</v>
      </c>
      <c r="B179" s="25" t="s">
        <v>6314</v>
      </c>
      <c r="C179" s="27" t="s">
        <v>649</v>
      </c>
      <c r="H179" s="25" t="str">
        <f>IFERROR(__xludf.DUMMYFUNCTION("""COMPUTED_VALUE"""),"ALKEM (HEALTH CARE)")</f>
        <v>ALKEM (HEALTH CARE)</v>
      </c>
    </row>
    <row r="180">
      <c r="A180" s="25">
        <v>3.0</v>
      </c>
      <c r="B180" s="25" t="s">
        <v>6713</v>
      </c>
      <c r="C180" s="27" t="s">
        <v>986</v>
      </c>
      <c r="H180" s="25" t="str">
        <f>IFERROR(__xludf.DUMMYFUNCTION("""COMPUTED_VALUE"""),"ALKEM (IMPERIA)")</f>
        <v>ALKEM (IMPERIA)</v>
      </c>
    </row>
    <row r="181">
      <c r="A181" s="25">
        <v>3.0</v>
      </c>
      <c r="B181" s="25" t="s">
        <v>7063</v>
      </c>
      <c r="C181" s="27" t="s">
        <v>1312</v>
      </c>
      <c r="H181" s="25" t="str">
        <f>IFERROR(__xludf.DUMMYFUNCTION("""COMPUTED_VALUE"""),"ALKEM (MAIN)")</f>
        <v>ALKEM (MAIN)</v>
      </c>
    </row>
    <row r="182">
      <c r="A182" s="25">
        <v>3.0</v>
      </c>
      <c r="B182" s="25" t="s">
        <v>7110</v>
      </c>
      <c r="C182" s="27" t="s">
        <v>1353</v>
      </c>
      <c r="H182" s="25" t="str">
        <f>IFERROR(__xludf.DUMMYFUNCTION("""COMPUTED_VALUE"""),"ALKEM (METABOLICS)")</f>
        <v>ALKEM (METABOLICS)</v>
      </c>
    </row>
    <row r="183">
      <c r="A183" s="25">
        <v>3.0</v>
      </c>
      <c r="B183" s="25" t="s">
        <v>7301</v>
      </c>
      <c r="C183" s="27" t="s">
        <v>743</v>
      </c>
      <c r="H183" s="25" t="str">
        <f>IFERROR(__xludf.DUMMYFUNCTION("""COMPUTED_VALUE"""),"ALKEM (ONCOLOGY)")</f>
        <v>ALKEM (ONCOLOGY)</v>
      </c>
    </row>
    <row r="184">
      <c r="A184" s="25">
        <v>2.0</v>
      </c>
      <c r="B184" s="25" t="s">
        <v>6153</v>
      </c>
      <c r="C184" s="27" t="s">
        <v>506</v>
      </c>
      <c r="H184" s="25" t="str">
        <f>IFERROR(__xludf.DUMMYFUNCTION("""COMPUTED_VALUE"""),"ALKEM (OTC)")</f>
        <v>ALKEM (OTC)</v>
      </c>
    </row>
    <row r="185">
      <c r="A185" s="25">
        <v>2.0</v>
      </c>
      <c r="B185" s="25" t="s">
        <v>7055</v>
      </c>
      <c r="C185" s="27" t="s">
        <v>1307</v>
      </c>
      <c r="H185" s="25" t="str">
        <f>IFERROR(__xludf.DUMMYFUNCTION("""COMPUTED_VALUE"""),"ALKEM (ULTICARE)")</f>
        <v>ALKEM (ULTICARE)</v>
      </c>
    </row>
    <row r="186">
      <c r="A186" s="25">
        <v>2.0</v>
      </c>
      <c r="B186" s="25" t="s">
        <v>7060</v>
      </c>
      <c r="C186" s="27" t="s">
        <v>1190</v>
      </c>
      <c r="H186" s="25" t="str">
        <f>IFERROR(__xludf.DUMMYFUNCTION("""COMPUTED_VALUE"""),"ALKEM (UROLOGY)")</f>
        <v>ALKEM (UROLOGY)</v>
      </c>
    </row>
    <row r="187">
      <c r="A187" s="25">
        <v>2.0</v>
      </c>
      <c r="B187" s="25" t="s">
        <v>7106</v>
      </c>
      <c r="C187" s="27" t="s">
        <v>1350</v>
      </c>
      <c r="H187" s="25" t="str">
        <f>IFERROR(__xludf.DUMMYFUNCTION("""COMPUTED_VALUE"""),"ALKEM (ZURIEVE)")</f>
        <v>ALKEM (ZURIEVE)</v>
      </c>
    </row>
    <row r="188">
      <c r="A188" s="25">
        <v>2.0</v>
      </c>
      <c r="B188" s="25" t="s">
        <v>8682</v>
      </c>
      <c r="C188" s="27" t="s">
        <v>1353</v>
      </c>
      <c r="H188" s="25" t="str">
        <f>IFERROR(__xludf.DUMMYFUNCTION("""COMPUTED_VALUE"""),"Alkem Laboratories Ltd")</f>
        <v>Alkem Laboratories Ltd</v>
      </c>
    </row>
    <row r="189">
      <c r="A189" s="25">
        <v>2.0</v>
      </c>
      <c r="B189" s="25" t="s">
        <v>9058</v>
      </c>
      <c r="C189" s="27" t="s">
        <v>3240</v>
      </c>
      <c r="H189" s="25" t="str">
        <f>IFERROR(__xludf.DUMMYFUNCTION("""COMPUTED_VALUE"""),"Alkem Laboratories Ltd (SPECIALITY)")</f>
        <v>Alkem Laboratories Ltd (SPECIALITY)</v>
      </c>
    </row>
    <row r="190">
      <c r="A190" s="25">
        <v>2.0</v>
      </c>
      <c r="B190" s="25" t="s">
        <v>9227</v>
      </c>
      <c r="C190" s="27" t="s">
        <v>3426</v>
      </c>
      <c r="H190" s="25" t="str">
        <f>IFERROR(__xludf.DUMMYFUNCTION("""COMPUTED_VALUE"""),"ALLEN - INDORE")</f>
        <v>ALLEN - INDORE</v>
      </c>
    </row>
    <row r="191">
      <c r="A191" s="25">
        <v>2.0</v>
      </c>
      <c r="B191" s="25" t="s">
        <v>10660</v>
      </c>
      <c r="C191" s="27" t="s">
        <v>4902</v>
      </c>
      <c r="H191" s="25" t="str">
        <f>IFERROR(__xludf.DUMMYFUNCTION("""COMPUTED_VALUE"""),"ALLEN - KOLKATA")</f>
        <v>ALLEN - KOLKATA</v>
      </c>
    </row>
    <row r="192">
      <c r="A192" s="25">
        <v>1.0</v>
      </c>
      <c r="B192" s="25" t="s">
        <v>6130</v>
      </c>
      <c r="C192" s="27" t="s">
        <v>488</v>
      </c>
      <c r="H192" s="25" t="str">
        <f>IFERROR(__xludf.DUMMYFUNCTION("""COMPUTED_VALUE"""),"Allen Dale Biosciences")</f>
        <v>Allen Dale Biosciences</v>
      </c>
    </row>
    <row r="193">
      <c r="A193" s="25">
        <v>1.0</v>
      </c>
      <c r="B193" s="25" t="s">
        <v>6149</v>
      </c>
      <c r="C193" s="27" t="s">
        <v>504</v>
      </c>
      <c r="H193" s="25" t="str">
        <f>IFERROR(__xludf.DUMMYFUNCTION("""COMPUTED_VALUE"""),"ALLEN LABORATORIES LTD")</f>
        <v>ALLEN LABORATORIES LTD</v>
      </c>
    </row>
    <row r="194">
      <c r="A194" s="25">
        <v>1.0</v>
      </c>
      <c r="B194" s="25" t="s">
        <v>779</v>
      </c>
      <c r="C194" s="27" t="s">
        <v>779</v>
      </c>
      <c r="H194" s="25" t="str">
        <f>IFERROR(__xludf.DUMMYFUNCTION("""COMPUTED_VALUE"""),"ALLENTIS PHARMACEUTICALS PVT LTD")</f>
        <v>ALLENTIS PHARMACEUTICALS PVT LTD</v>
      </c>
    </row>
    <row r="195">
      <c r="A195" s="25">
        <v>1.0</v>
      </c>
      <c r="B195" s="25" t="s">
        <v>6710</v>
      </c>
      <c r="C195" s="27" t="s">
        <v>984</v>
      </c>
      <c r="H195" s="25" t="str">
        <f>IFERROR(__xludf.DUMMYFUNCTION("""COMPUTED_VALUE"""),"ALLERGAN INDIA (ALPHA)")</f>
        <v>ALLERGAN INDIA (ALPHA)</v>
      </c>
    </row>
    <row r="196">
      <c r="A196" s="25">
        <v>1.0</v>
      </c>
      <c r="B196" s="25" t="s">
        <v>7517</v>
      </c>
      <c r="C196" s="27" t="s">
        <v>1751</v>
      </c>
      <c r="H196" s="25" t="str">
        <f>IFERROR(__xludf.DUMMYFUNCTION("""COMPUTED_VALUE"""),"ALLERGAN INDIA (BRAVO)")</f>
        <v>ALLERGAN INDIA (BRAVO)</v>
      </c>
    </row>
    <row r="197">
      <c r="A197" s="25">
        <v>1.0</v>
      </c>
      <c r="B197" s="25" t="s">
        <v>8782</v>
      </c>
      <c r="C197" s="27" t="s">
        <v>2906</v>
      </c>
      <c r="H197" s="25" t="str">
        <f>IFERROR(__xludf.DUMMYFUNCTION("""COMPUTED_VALUE"""),"ALLERGAN INDIA (CHARLIF)")</f>
        <v>ALLERGAN INDIA (CHARLIF)</v>
      </c>
    </row>
    <row r="198">
      <c r="A198" s="25">
        <v>1.0</v>
      </c>
      <c r="B198" s="25" t="s">
        <v>2940</v>
      </c>
      <c r="C198" s="25" t="s">
        <v>2940</v>
      </c>
      <c r="H198" s="25" t="str">
        <f>IFERROR(__xludf.DUMMYFUNCTION("""COMPUTED_VALUE"""),"ALLERGAN INDIA (DELTA)")</f>
        <v>ALLERGAN INDIA (DELTA)</v>
      </c>
    </row>
    <row r="199">
      <c r="A199" s="25">
        <v>1.0</v>
      </c>
      <c r="B199" s="25" t="s">
        <v>8785</v>
      </c>
      <c r="C199" s="27" t="s">
        <v>2942</v>
      </c>
      <c r="H199" s="25" t="str">
        <f>IFERROR(__xludf.DUMMYFUNCTION("""COMPUTED_VALUE"""),"Allergan India Pvt Ltd")</f>
        <v>Allergan India Pvt Ltd</v>
      </c>
    </row>
    <row r="200">
      <c r="A200" s="25">
        <v>1.0</v>
      </c>
      <c r="B200" s="25" t="s">
        <v>9518</v>
      </c>
      <c r="C200" s="27" t="s">
        <v>3720</v>
      </c>
      <c r="H200" s="25" t="str">
        <f>IFERROR(__xludf.DUMMYFUNCTION("""COMPUTED_VALUE"""),"ALLEX MEDICAL SYSTEM")</f>
        <v>ALLEX MEDICAL SYSTEM</v>
      </c>
    </row>
    <row r="201">
      <c r="A201" s="25">
        <v>1.0</v>
      </c>
      <c r="B201" s="25" t="s">
        <v>9781</v>
      </c>
      <c r="C201" s="27" t="s">
        <v>3979</v>
      </c>
      <c r="H201" s="25" t="str">
        <f>IFERROR(__xludf.DUMMYFUNCTION("""COMPUTED_VALUE"""),"ALLIAANCE BIOTECH SOLAN")</f>
        <v>ALLIAANCE BIOTECH SOLAN</v>
      </c>
    </row>
    <row r="202">
      <c r="A202" s="25">
        <v>1.0</v>
      </c>
      <c r="B202" s="25" t="s">
        <v>4905</v>
      </c>
      <c r="C202" s="27" t="s">
        <v>4905</v>
      </c>
      <c r="H202" s="25" t="str">
        <f>IFERROR(__xludf.DUMMYFUNCTION("""COMPUTED_VALUE"""),"ALLOTROPE LIFE SCIENCES P LTD")</f>
        <v>ALLOTROPE LIFE SCIENCES P LTD</v>
      </c>
    </row>
    <row r="203">
      <c r="C203" s="25"/>
      <c r="H203" s="25" t="str">
        <f>IFERROR(__xludf.DUMMYFUNCTION("""COMPUTED_VALUE"""),"ALLURE REMEDIES PVT LTD")</f>
        <v>ALLURE REMEDIES PVT LTD</v>
      </c>
    </row>
    <row r="204">
      <c r="H204" s="25" t="str">
        <f>IFERROR(__xludf.DUMMYFUNCTION("""COMPUTED_VALUE"""),"ALLYSIA LIFESCIENCES P LTD")</f>
        <v>ALLYSIA LIFESCIENCES P LTD</v>
      </c>
    </row>
    <row r="205">
      <c r="H205" s="25" t="str">
        <f>IFERROR(__xludf.DUMMYFUNCTION("""COMPUTED_VALUE"""),"Almet Corporation Ltd")</f>
        <v>Almet Corporation Ltd</v>
      </c>
    </row>
    <row r="206">
      <c r="H206" s="25" t="str">
        <f>IFERROR(__xludf.DUMMYFUNCTION("""COMPUTED_VALUE"""),"ALNICHE LIFE SCIENCES PVT LTD")</f>
        <v>ALNICHE LIFE SCIENCES PVT LTD</v>
      </c>
    </row>
    <row r="207">
      <c r="H207" s="25" t="str">
        <f>IFERROR(__xludf.DUMMYFUNCTION("""COMPUTED_VALUE"""),"ALNICHE LIFESCIENCES (CRITICAL CARE)")</f>
        <v>ALNICHE LIFESCIENCES (CRITICAL CARE)</v>
      </c>
    </row>
    <row r="208">
      <c r="H208" s="25" t="str">
        <f>IFERROR(__xludf.DUMMYFUNCTION("""COMPUTED_VALUE"""),"ALNICHE LIFESCIENCES (GASTRO)")</f>
        <v>ALNICHE LIFESCIENCES (GASTRO)</v>
      </c>
    </row>
    <row r="209">
      <c r="H209" s="25" t="str">
        <f>IFERROR(__xludf.DUMMYFUNCTION("""COMPUTED_VALUE"""),"ALNICHE LIFESCIENCES (NEPHRO)")</f>
        <v>ALNICHE LIFESCIENCES (NEPHRO)</v>
      </c>
    </row>
    <row r="210">
      <c r="H210" s="25" t="str">
        <f>IFERROR(__xludf.DUMMYFUNCTION("""COMPUTED_VALUE"""),"ALNICHE LIFESCIENCES (ORAL SOLIDS)")</f>
        <v>ALNICHE LIFESCIENCES (ORAL SOLIDS)</v>
      </c>
    </row>
    <row r="211">
      <c r="H211" s="25" t="str">
        <f>IFERROR(__xludf.DUMMYFUNCTION("""COMPUTED_VALUE"""),"ALNICHE LIFESCIENCES (ORICO)")</f>
        <v>ALNICHE LIFESCIENCES (ORICO)</v>
      </c>
    </row>
    <row r="212">
      <c r="H212" s="25" t="str">
        <f>IFERROR(__xludf.DUMMYFUNCTION("""COMPUTED_VALUE"""),"ALPA LABORATORIES")</f>
        <v>ALPA LABORATORIES</v>
      </c>
    </row>
    <row r="213">
      <c r="H213" s="25" t="str">
        <f>IFERROR(__xludf.DUMMYFUNCTION("""COMPUTED_VALUE"""),"ALSUN PHARMA")</f>
        <v>ALSUN PHARMA</v>
      </c>
    </row>
    <row r="214">
      <c r="H214" s="25" t="str">
        <f>IFERROR(__xludf.DUMMYFUNCTION("""COMPUTED_VALUE"""),"ALTEUS BIOGENICS")</f>
        <v>ALTEUS BIOGENICS</v>
      </c>
    </row>
    <row r="215">
      <c r="H215" s="25" t="str">
        <f>IFERROR(__xludf.DUMMYFUNCTION("""COMPUTED_VALUE"""),"ALTEZA EXIM")</f>
        <v>ALTEZA EXIM</v>
      </c>
    </row>
    <row r="216">
      <c r="H216" s="25" t="str">
        <f>IFERROR(__xludf.DUMMYFUNCTION("""COMPUTED_VALUE"""),"ALTIS PHARMA")</f>
        <v>ALTIS PHARMA</v>
      </c>
    </row>
    <row r="217">
      <c r="H217" s="25" t="str">
        <f>IFERROR(__xludf.DUMMYFUNCTION("""COMPUTED_VALUE"""),"ALTON BIOSCIENCES PVT LTD")</f>
        <v>ALTON BIOSCIENCES PVT LTD</v>
      </c>
    </row>
    <row r="218">
      <c r="H218" s="25" t="str">
        <f>IFERROR(__xludf.DUMMYFUNCTION("""COMPUTED_VALUE"""),"ALVIN WILLCURE")</f>
        <v>ALVIN WILLCURE</v>
      </c>
    </row>
    <row r="219">
      <c r="H219" s="25" t="str">
        <f>IFERROR(__xludf.DUMMYFUNCTION("""COMPUTED_VALUE"""),"ALVIO PHARMACEUTICALS")</f>
        <v>ALVIO PHARMACEUTICALS</v>
      </c>
    </row>
    <row r="220">
      <c r="H220" s="25" t="str">
        <f>IFERROR(__xludf.DUMMYFUNCTION("""COMPUTED_VALUE"""),"ALVIS MEDI  SYNTHESIS PVT LTD")</f>
        <v>ALVIS MEDI  SYNTHESIS PVT LTD</v>
      </c>
    </row>
    <row r="221">
      <c r="H221" s="25" t="str">
        <f>IFERROR(__xludf.DUMMYFUNCTION("""COMPUTED_VALUE"""),"ALVISTA BIOSCIENCES PVT LTD")</f>
        <v>ALVISTA BIOSCIENCES PVT LTD</v>
      </c>
    </row>
    <row r="222">
      <c r="H222" s="25" t="str">
        <f>IFERROR(__xludf.DUMMYFUNCTION("""COMPUTED_VALUE"""),"AMARANTHA AYURVEDA")</f>
        <v>AMARANTHA AYURVEDA</v>
      </c>
    </row>
    <row r="223">
      <c r="H223" s="25" t="str">
        <f>IFERROR(__xludf.DUMMYFUNCTION("""COMPUTED_VALUE"""),"AMAZEN PHARMACEUTICALS")</f>
        <v>AMAZEN PHARMACEUTICALS</v>
      </c>
    </row>
    <row r="224">
      <c r="H224" s="25" t="str">
        <f>IFERROR(__xludf.DUMMYFUNCTION("""COMPUTED_VALUE"""),"AMAZING RESEARCH LABORATORIES LTD")</f>
        <v>AMAZING RESEARCH LABORATORIES LTD</v>
      </c>
    </row>
    <row r="225">
      <c r="H225" s="25" t="str">
        <f>IFERROR(__xludf.DUMMYFUNCTION("""COMPUTED_VALUE"""),"AMBIC AAYURCHEM, ROORKE")</f>
        <v>AMBIC AAYURCHEM, ROORKE</v>
      </c>
    </row>
    <row r="226">
      <c r="H226" s="25" t="str">
        <f>IFERROR(__xludf.DUMMYFUNCTION("""COMPUTED_VALUE"""),"AMBIC AYURVED INDIA P LTD")</f>
        <v>AMBIC AYURVED INDIA P LTD</v>
      </c>
    </row>
    <row r="227">
      <c r="H227" s="25" t="str">
        <f>IFERROR(__xludf.DUMMYFUNCTION("""COMPUTED_VALUE"""),"AMBIT BIOMEDIX")</f>
        <v>AMBIT BIOMEDIX</v>
      </c>
    </row>
    <row r="228">
      <c r="H228" s="25" t="str">
        <f>IFERROR(__xludf.DUMMYFUNCTION("""COMPUTED_VALUE"""),"AMBROSIA DRUGS")</f>
        <v>AMBROSIA DRUGS</v>
      </c>
    </row>
    <row r="229">
      <c r="H229" s="25" t="str">
        <f>IFERROR(__xludf.DUMMYFUNCTION("""COMPUTED_VALUE"""),"AMCO HERBALS P LTD")</f>
        <v>AMCO HERBALS P LTD</v>
      </c>
    </row>
    <row r="230">
      <c r="H230" s="25" t="str">
        <f>IFERROR(__xludf.DUMMYFUNCTION("""COMPUTED_VALUE"""),"AMEND")</f>
        <v>AMEND</v>
      </c>
    </row>
    <row r="231">
      <c r="H231" s="25" t="str">
        <f>IFERROR(__xludf.DUMMYFUNCTION("""COMPUTED_VALUE"""),"AMENTUS HEALTHCARE")</f>
        <v>AMENTUS HEALTHCARE</v>
      </c>
    </row>
    <row r="232">
      <c r="H232" s="25" t="str">
        <f>IFERROR(__xludf.DUMMYFUNCTION("""COMPUTED_VALUE"""),"AMERICAN REMEDIES")</f>
        <v>AMERICAN REMEDIES</v>
      </c>
    </row>
    <row r="233">
      <c r="H233" s="25" t="str">
        <f>IFERROR(__xludf.DUMMYFUNCTION("""COMPUTED_VALUE"""),"AMI CARE PHARMACEUTICALS")</f>
        <v>AMI CARE PHARMACEUTICALS</v>
      </c>
    </row>
    <row r="234">
      <c r="H234" s="25" t="str">
        <f>IFERROR(__xludf.DUMMYFUNCTION("""COMPUTED_VALUE"""),"AMICURES RESEARCH PVT LTD")</f>
        <v>AMICURES RESEARCH PVT LTD</v>
      </c>
    </row>
    <row r="235">
      <c r="H235" s="25" t="str">
        <f>IFERROR(__xludf.DUMMYFUNCTION("""COMPUTED_VALUE"""),"AMORGOS HEALTHCARE PVT LTD")</f>
        <v>AMORGOS HEALTHCARE PVT LTD</v>
      </c>
    </row>
    <row r="236">
      <c r="H236" s="25" t="str">
        <f>IFERROR(__xludf.DUMMYFUNCTION("""COMPUTED_VALUE"""),"AMP ALLKEM MEDICAL PHARMACEUTICALS PVT LTD")</f>
        <v>AMP ALLKEM MEDICAL PHARMACEUTICALS PVT LTD</v>
      </c>
    </row>
    <row r="237">
      <c r="H237" s="25" t="str">
        <f>IFERROR(__xludf.DUMMYFUNCTION("""COMPUTED_VALUE"""),"AMPS BIOTECH")</f>
        <v>AMPS BIOTECH</v>
      </c>
    </row>
    <row r="238">
      <c r="H238" s="25" t="str">
        <f>IFERROR(__xludf.DUMMYFUNCTION("""COMPUTED_VALUE"""),"AMRA REMEDIES")</f>
        <v>AMRA REMEDIES</v>
      </c>
    </row>
    <row r="239">
      <c r="H239" s="25" t="str">
        <f>IFERROR(__xludf.DUMMYFUNCTION("""COMPUTED_VALUE"""),"AMRICON BIOTECH")</f>
        <v>AMRICON BIOTECH</v>
      </c>
    </row>
    <row r="240">
      <c r="H240" s="25" t="str">
        <f>IFERROR(__xludf.DUMMYFUNCTION("""COMPUTED_VALUE"""),"AMRITDHARA PHARMACY")</f>
        <v>AMRITDHARA PHARMACY</v>
      </c>
    </row>
    <row r="241">
      <c r="H241" s="25" t="str">
        <f>IFERROR(__xludf.DUMMYFUNCTION("""COMPUTED_VALUE"""),"AMRUT DRUG RESEARCH LAB")</f>
        <v>AMRUT DRUG RESEARCH LAB</v>
      </c>
    </row>
    <row r="242">
      <c r="H242" s="25" t="str">
        <f>IFERROR(__xludf.DUMMYFUNCTION("""COMPUTED_VALUE"""),"AMRUTANJAN HEALTH CARE LIMITED")</f>
        <v>AMRUTANJAN HEALTH CARE LIMITED</v>
      </c>
    </row>
    <row r="243">
      <c r="H243" s="25" t="str">
        <f>IFERROR(__xludf.DUMMYFUNCTION("""COMPUTED_VALUE"""),"ANANJAY PHARMACEUTICALS PVT LTD")</f>
        <v>ANANJAY PHARMACEUTICALS PVT LTD</v>
      </c>
    </row>
    <row r="244">
      <c r="H244" s="25" t="str">
        <f>IFERROR(__xludf.DUMMYFUNCTION("""COMPUTED_VALUE"""),"ANCHOR PHARMA PVT LTD")</f>
        <v>ANCHOR PHARMA PVT LTD</v>
      </c>
    </row>
    <row r="245">
      <c r="H245" s="25" t="str">
        <f>IFERROR(__xludf.DUMMYFUNCTION("""COMPUTED_VALUE"""),"ANDRE LABORATORIES")</f>
        <v>ANDRE LABORATORIES</v>
      </c>
    </row>
    <row r="246">
      <c r="H246" s="25" t="str">
        <f>IFERROR(__xludf.DUMMYFUNCTION("""COMPUTED_VALUE"""),"ANDROMEDA PHARMACEUTICALS")</f>
        <v>ANDROMEDA PHARMACEUTICALS</v>
      </c>
    </row>
    <row r="247">
      <c r="H247" s="25" t="str">
        <f>IFERROR(__xludf.DUMMYFUNCTION("""COMPUTED_VALUE"""),"ANDROMEDA PHARMACEUTICALS PVT LTD")</f>
        <v>ANDROMEDA PHARMACEUTICALS PVT LTD</v>
      </c>
    </row>
    <row r="248">
      <c r="H248" s="25" t="str">
        <f>IFERROR(__xludf.DUMMYFUNCTION("""COMPUTED_VALUE"""),"ANDY PHARMA")</f>
        <v>ANDY PHARMA</v>
      </c>
    </row>
    <row r="249">
      <c r="H249" s="25" t="str">
        <f>IFERROR(__xludf.DUMMYFUNCTION("""COMPUTED_VALUE"""),"ANG LIFESCIENCES INDIA LTD")</f>
        <v>ANG LIFESCIENCES INDIA LTD</v>
      </c>
    </row>
    <row r="250">
      <c r="H250" s="25" t="str">
        <f>IFERROR(__xludf.DUMMYFUNCTION("""COMPUTED_VALUE"""),"ANGIOLIFE HEALTHCARE PVT LTD")</f>
        <v>ANGIOLIFE HEALTHCARE PVT LTD</v>
      </c>
    </row>
    <row r="251">
      <c r="H251" s="25" t="str">
        <f>IFERROR(__xludf.DUMMYFUNCTION("""COMPUTED_VALUE"""),"Anglo French Drugs (BONA FIDA)")</f>
        <v>Anglo French Drugs (BONA FIDA)</v>
      </c>
    </row>
    <row r="252">
      <c r="H252" s="25" t="str">
        <f>IFERROR(__xludf.DUMMYFUNCTION("""COMPUTED_VALUE"""),"ANGLO FRENCH DRUGS (NUTRALOGICX)")</f>
        <v>ANGLO FRENCH DRUGS (NUTRALOGICX)</v>
      </c>
    </row>
    <row r="253">
      <c r="H253" s="25" t="str">
        <f>IFERROR(__xludf.DUMMYFUNCTION("""COMPUTED_VALUE"""),"ANGLO SWIFT")</f>
        <v>ANGLO SWIFT</v>
      </c>
    </row>
    <row r="254">
      <c r="H254" s="25" t="str">
        <f>IFERROR(__xludf.DUMMYFUNCTION("""COMPUTED_VALUE"""),"Anglo-French Drugs &amp; Industries Ltd")</f>
        <v>Anglo-French Drugs &amp; Industries Ltd</v>
      </c>
    </row>
    <row r="255">
      <c r="H255" s="25" t="str">
        <f>IFERROR(__xludf.DUMMYFUNCTION("""COMPUTED_VALUE"""),"ANGLO-INDIAN PHARMACEUTICALS")</f>
        <v>ANGLO-INDIAN PHARMACEUTICALS</v>
      </c>
    </row>
    <row r="256">
      <c r="H256" s="25" t="str">
        <f>IFERROR(__xludf.DUMMYFUNCTION("""COMPUTED_VALUE"""),"ANIL AYURVED BHAWAN")</f>
        <v>ANIL AYURVED BHAWAN</v>
      </c>
    </row>
    <row r="257">
      <c r="H257" s="25" t="str">
        <f>IFERROR(__xludf.DUMMYFUNCTION("""COMPUTED_VALUE"""),"ANJANI PHARMACEUTICALS")</f>
        <v>ANJANI PHARMACEUTICALS</v>
      </c>
    </row>
    <row r="258">
      <c r="H258" s="25" t="str">
        <f>IFERROR(__xludf.DUMMYFUNCTION("""COMPUTED_VALUE"""),"ANJU PHARMA")</f>
        <v>ANJU PHARMA</v>
      </c>
    </row>
    <row r="259">
      <c r="H259" s="25" t="str">
        <f>IFERROR(__xludf.DUMMYFUNCTION("""COMPUTED_VALUE"""),"ANKUR")</f>
        <v>ANKUR</v>
      </c>
    </row>
    <row r="260">
      <c r="H260" s="25" t="str">
        <f>IFERROR(__xludf.DUMMYFUNCTION("""COMPUTED_VALUE"""),"ANSELL LTD")</f>
        <v>ANSELL LTD</v>
      </c>
    </row>
    <row r="261">
      <c r="H261" s="25" t="str">
        <f>IFERROR(__xludf.DUMMYFUNCTION("""COMPUTED_VALUE"""),"ANSH HEALTHCARE")</f>
        <v>ANSH HEALTHCARE</v>
      </c>
    </row>
    <row r="262">
      <c r="H262" s="25" t="str">
        <f>IFERROR(__xludf.DUMMYFUNCTION("""COMPUTED_VALUE"""),"ANSIL PHARMA")</f>
        <v>ANSIL PHARMA</v>
      </c>
    </row>
    <row r="263">
      <c r="H263" s="25" t="str">
        <f>IFERROR(__xludf.DUMMYFUNCTION("""COMPUTED_VALUE"""),"ANTHEM BIOPHARMA")</f>
        <v>ANTHEM BIOPHARMA</v>
      </c>
    </row>
    <row r="264">
      <c r="H264" s="25" t="str">
        <f>IFERROR(__xludf.DUMMYFUNCTION("""COMPUTED_VALUE"""),"ANTILA")</f>
        <v>ANTILA</v>
      </c>
    </row>
    <row r="265">
      <c r="H265" s="25" t="str">
        <f>IFERROR(__xludf.DUMMYFUNCTION("""COMPUTED_VALUE"""),"ANVICURE DRUGS")</f>
        <v>ANVICURE DRUGS</v>
      </c>
    </row>
    <row r="266">
      <c r="H266" s="25" t="str">
        <f>IFERROR(__xludf.DUMMYFUNCTION("""COMPUTED_VALUE"""),"APEX FORMULATIONS PVT LTD")</f>
        <v>APEX FORMULATIONS PVT LTD</v>
      </c>
    </row>
    <row r="267">
      <c r="H267" s="25" t="str">
        <f>IFERROR(__xludf.DUMMYFUNCTION("""COMPUTED_VALUE"""),"APEX LABORATORIES (CIDIS)")</f>
        <v>APEX LABORATORIES (CIDIS)</v>
      </c>
    </row>
    <row r="268">
      <c r="H268" s="25" t="str">
        <f>IFERROR(__xludf.DUMMYFUNCTION("""COMPUTED_VALUE"""),"APEX LABORATORIES (MAIN)")</f>
        <v>APEX LABORATORIES (MAIN)</v>
      </c>
    </row>
    <row r="269">
      <c r="H269" s="25" t="str">
        <f>IFERROR(__xludf.DUMMYFUNCTION("""COMPUTED_VALUE"""),"APEX LABORATORIES (SKINNOVA)")</f>
        <v>APEX LABORATORIES (SKINNOVA)</v>
      </c>
    </row>
    <row r="270">
      <c r="H270" s="25" t="str">
        <f>IFERROR(__xludf.DUMMYFUNCTION("""COMPUTED_VALUE"""),"Apex Laboratories Pvt Ltd")</f>
        <v>Apex Laboratories Pvt Ltd</v>
      </c>
    </row>
    <row r="271">
      <c r="H271" s="25" t="str">
        <f>IFERROR(__xludf.DUMMYFUNCTION("""COMPUTED_VALUE"""),"APHALI PHARMACEUTICALS LTD")</f>
        <v>APHALI PHARMACEUTICALS LTD</v>
      </c>
    </row>
    <row r="272">
      <c r="H272" s="25" t="str">
        <f>IFERROR(__xludf.DUMMYFUNCTION("""COMPUTED_VALUE"""),"APICAL HELTH CARE PVT LTD")</f>
        <v>APICAL HELTH CARE PVT LTD</v>
      </c>
    </row>
    <row r="273">
      <c r="H273" s="25" t="str">
        <f>IFERROR(__xludf.DUMMYFUNCTION("""COMPUTED_VALUE"""),"Apostle Remedies")</f>
        <v>Apostle Remedies</v>
      </c>
    </row>
    <row r="274">
      <c r="H274" s="25" t="str">
        <f>IFERROR(__xludf.DUMMYFUNCTION("""COMPUTED_VALUE"""),"APPASAMY OCULAR DEVICE PVT LTD")</f>
        <v>APPASAMY OCULAR DEVICE PVT LTD</v>
      </c>
    </row>
    <row r="275">
      <c r="H275" s="25" t="str">
        <f>IFERROR(__xludf.DUMMYFUNCTION("""COMPUTED_VALUE"""),"APPENA P LTD")</f>
        <v>APPENA P LTD</v>
      </c>
    </row>
    <row r="276">
      <c r="H276" s="25" t="str">
        <f>IFERROR(__xludf.DUMMYFUNCTION("""COMPUTED_VALUE"""),"APPLE BIOTECH")</f>
        <v>APPLE BIOTECH</v>
      </c>
    </row>
    <row r="277">
      <c r="H277" s="25" t="str">
        <f>IFERROR(__xludf.DUMMYFUNCTION("""COMPUTED_VALUE"""),"APPLE MEDICORP")</f>
        <v>APPLE MEDICORP</v>
      </c>
    </row>
    <row r="278">
      <c r="H278" s="25" t="str">
        <f>IFERROR(__xludf.DUMMYFUNCTION("""COMPUTED_VALUE"""),"APPLE THERAPEUTICS")</f>
        <v>APPLE THERAPEUTICS</v>
      </c>
    </row>
    <row r="279">
      <c r="H279" s="25" t="str">
        <f>IFERROR(__xludf.DUMMYFUNCTION("""COMPUTED_VALUE"""),"APPLIED PHARMA RESEARCH")</f>
        <v>APPLIED PHARMA RESEARCH</v>
      </c>
    </row>
    <row r="280">
      <c r="H280" s="25" t="str">
        <f>IFERROR(__xludf.DUMMYFUNCTION("""COMPUTED_VALUE"""),"APRICA (PULSE)")</f>
        <v>APRICA (PULSE)</v>
      </c>
    </row>
    <row r="281">
      <c r="H281" s="25" t="str">
        <f>IFERROR(__xludf.DUMMYFUNCTION("""COMPUTED_VALUE"""),"Aprica Pharmaceuticals Pvt Ltd")</f>
        <v>Aprica Pharmaceuticals Pvt Ltd</v>
      </c>
    </row>
    <row r="282">
      <c r="H282" s="25" t="str">
        <f>IFERROR(__xludf.DUMMYFUNCTION("""COMPUTED_VALUE"""),"AQUILA LABS")</f>
        <v>AQUILA LABS</v>
      </c>
    </row>
    <row r="283">
      <c r="H283" s="25" t="str">
        <f>IFERROR(__xludf.DUMMYFUNCTION("""COMPUTED_VALUE"""),"AQUINNOVA PHARMACEUTICAL PVT LTD")</f>
        <v>AQUINNOVA PHARMACEUTICAL PVT LTD</v>
      </c>
    </row>
    <row r="284">
      <c r="H284" s="25" t="str">
        <f>IFERROR(__xludf.DUMMYFUNCTION("""COMPUTED_VALUE"""),"Ar-Ex Laboratories Pvt Ltd")</f>
        <v>Ar-Ex Laboratories Pvt Ltd</v>
      </c>
    </row>
    <row r="285">
      <c r="H285" s="25" t="str">
        <f>IFERROR(__xludf.DUMMYFUNCTION("""COMPUTED_VALUE"""),"ARBRO PHARMA")</f>
        <v>ARBRO PHARMA</v>
      </c>
    </row>
    <row r="286">
      <c r="H286" s="25" t="str">
        <f>IFERROR(__xludf.DUMMYFUNCTION("""COMPUTED_VALUE"""),"ARC PHARMACEUTICALS")</f>
        <v>ARC PHARMACEUTICALS</v>
      </c>
    </row>
    <row r="287">
      <c r="H287" s="25" t="str">
        <f>IFERROR(__xludf.DUMMYFUNCTION("""COMPUTED_VALUE"""),"ARCH LABORATORIES")</f>
        <v>ARCH LABORATORIES</v>
      </c>
    </row>
    <row r="288">
      <c r="H288" s="25" t="str">
        <f>IFERROR(__xludf.DUMMYFUNCTION("""COMPUTED_VALUE"""),"ARCHI CARE")</f>
        <v>ARCHI CARE</v>
      </c>
    </row>
    <row r="289">
      <c r="H289" s="25" t="str">
        <f>IFERROR(__xludf.DUMMYFUNCTION("""COMPUTED_VALUE"""),"ARCO PHARMA")</f>
        <v>ARCO PHARMA</v>
      </c>
    </row>
    <row r="290">
      <c r="H290" s="25" t="str">
        <f>IFERROR(__xludf.DUMMYFUNCTION("""COMPUTED_VALUE"""),"ARDENT LIFE SCIENCES")</f>
        <v>ARDENT LIFE SCIENCES</v>
      </c>
    </row>
    <row r="291">
      <c r="H291" s="25" t="str">
        <f>IFERROR(__xludf.DUMMYFUNCTION("""COMPUTED_VALUE"""),"ARINNA (ALANZA)")</f>
        <v>ARINNA (ALANZA)</v>
      </c>
    </row>
    <row r="292">
      <c r="H292" s="25" t="str">
        <f>IFERROR(__xludf.DUMMYFUNCTION("""COMPUTED_VALUE"""),"ARINNA (ALEXA)")</f>
        <v>ARINNA (ALEXA)</v>
      </c>
    </row>
    <row r="293">
      <c r="H293" s="25" t="str">
        <f>IFERROR(__xludf.DUMMYFUNCTION("""COMPUTED_VALUE"""),"ARINNA (ARISSA)")</f>
        <v>ARINNA (ARISSA)</v>
      </c>
    </row>
    <row r="294">
      <c r="H294" s="25" t="str">
        <f>IFERROR(__xludf.DUMMYFUNCTION("""COMPUTED_VALUE"""),"Arinna Lifescience Pvt Ltd")</f>
        <v>Arinna Lifescience Pvt Ltd</v>
      </c>
    </row>
    <row r="295">
      <c r="H295" s="25" t="str">
        <f>IFERROR(__xludf.DUMMYFUNCTION("""COMPUTED_VALUE"""),"ARION HEALTHCARE")</f>
        <v>ARION HEALTHCARE</v>
      </c>
    </row>
    <row r="296">
      <c r="H296" s="25" t="str">
        <f>IFERROR(__xludf.DUMMYFUNCTION("""COMPUTED_VALUE"""),"ARISTO (MF1)")</f>
        <v>ARISTO (MF1)</v>
      </c>
    </row>
    <row r="297">
      <c r="H297" s="25" t="str">
        <f>IFERROR(__xludf.DUMMYFUNCTION("""COMPUTED_VALUE"""),"ARISTO (MF2)")</f>
        <v>ARISTO (MF2)</v>
      </c>
    </row>
    <row r="298">
      <c r="H298" s="25" t="str">
        <f>IFERROR(__xludf.DUMMYFUNCTION("""COMPUTED_VALUE"""),"ARISTO (MF3)")</f>
        <v>ARISTO (MF3)</v>
      </c>
    </row>
    <row r="299">
      <c r="H299" s="25" t="str">
        <f>IFERROR(__xludf.DUMMYFUNCTION("""COMPUTED_VALUE"""),"ARISTO (OTSIRA)")</f>
        <v>ARISTO (OTSIRA)</v>
      </c>
    </row>
    <row r="300">
      <c r="H300" s="25" t="str">
        <f>IFERROR(__xludf.DUMMYFUNCTION("""COMPUTED_VALUE"""),"ARISTO (TF)")</f>
        <v>ARISTO (TF)</v>
      </c>
    </row>
    <row r="301">
      <c r="H301" s="25" t="str">
        <f>IFERROR(__xludf.DUMMYFUNCTION("""COMPUTED_VALUE"""),"Aristo Pharmaceuticals Pvt Ltd")</f>
        <v>Aristo Pharmaceuticals Pvt Ltd</v>
      </c>
    </row>
    <row r="302">
      <c r="H302" s="25" t="str">
        <f>IFERROR(__xludf.DUMMYFUNCTION("""COMPUTED_VALUE"""),"ARIUS HEALTHCARE")</f>
        <v>ARIUS HEALTHCARE</v>
      </c>
    </row>
    <row r="303">
      <c r="H303" s="25" t="str">
        <f>IFERROR(__xludf.DUMMYFUNCTION("""COMPUTED_VALUE"""),"ARMOUR FORMULATION")</f>
        <v>ARMOUR FORMULATION</v>
      </c>
    </row>
    <row r="304">
      <c r="H304" s="25" t="str">
        <f>IFERROR(__xludf.DUMMYFUNCTION("""COMPUTED_VALUE"""),"ARONEX  LIFESCIENCES")</f>
        <v>ARONEX  LIFESCIENCES</v>
      </c>
    </row>
    <row r="305">
      <c r="H305" s="25" t="str">
        <f>IFERROR(__xludf.DUMMYFUNCTION("""COMPUTED_VALUE"""),"Aronex Life Sciences Pvt. Ltd.")</f>
        <v>Aronex Life Sciences Pvt. Ltd.</v>
      </c>
    </row>
    <row r="306">
      <c r="H306" s="25" t="str">
        <f>IFERROR(__xludf.DUMMYFUNCTION("""COMPUTED_VALUE"""),"ARRIENT (ORENDA)")</f>
        <v>ARRIENT (ORENDA)</v>
      </c>
    </row>
    <row r="307">
      <c r="H307" s="25" t="str">
        <f>IFERROR(__xludf.DUMMYFUNCTION("""COMPUTED_VALUE"""),"ARRIENT HEALTHCARE")</f>
        <v>ARRIENT HEALTHCARE</v>
      </c>
    </row>
    <row r="308">
      <c r="H308" s="25" t="str">
        <f>IFERROR(__xludf.DUMMYFUNCTION("""COMPUTED_VALUE"""),"ARROPHAR HEALTHCARE")</f>
        <v>ARROPHAR HEALTHCARE</v>
      </c>
    </row>
    <row r="309">
      <c r="H309" s="25" t="str">
        <f>IFERROR(__xludf.DUMMYFUNCTION("""COMPUTED_VALUE"""),"ARROW PHARMA")</f>
        <v>ARROW PHARMA</v>
      </c>
    </row>
    <row r="310">
      <c r="H310" s="25" t="str">
        <f>IFERROR(__xludf.DUMMYFUNCTION("""COMPUTED_VALUE"""),"ARROWIN PHARMACEUTICALS")</f>
        <v>ARROWIN PHARMACEUTICALS</v>
      </c>
    </row>
    <row r="311">
      <c r="H311" s="25" t="str">
        <f>IFERROR(__xludf.DUMMYFUNCTION("""COMPUTED_VALUE"""),"ARTHUS WELLNESS INDIA P LTD")</f>
        <v>ARTHUS WELLNESS INDIA P LTD</v>
      </c>
    </row>
    <row r="312">
      <c r="H312" s="25" t="str">
        <f>IFERROR(__xludf.DUMMYFUNCTION("""COMPUTED_VALUE"""),"ARTI PHARMACEUTICALS &amp; CHEMICALS")</f>
        <v>ARTI PHARMACEUTICALS &amp; CHEMICALS</v>
      </c>
    </row>
    <row r="313">
      <c r="H313" s="25" t="str">
        <f>IFERROR(__xludf.DUMMYFUNCTION("""COMPUTED_VALUE"""),"ARUL PHARMETA")</f>
        <v>ARUL PHARMETA</v>
      </c>
    </row>
    <row r="314">
      <c r="H314" s="25" t="str">
        <f>IFERROR(__xludf.DUMMYFUNCTION("""COMPUTED_VALUE"""),"ARVIND PHARMACEUTICALS")</f>
        <v>ARVIND PHARMACEUTICALS</v>
      </c>
    </row>
    <row r="315">
      <c r="H315" s="25" t="str">
        <f>IFERROR(__xludf.DUMMYFUNCTION("""COMPUTED_VALUE"""),"ARVIND REMEDIES")</f>
        <v>ARVIND REMEDIES</v>
      </c>
    </row>
    <row r="316">
      <c r="H316" s="25" t="str">
        <f>IFERROR(__xludf.DUMMYFUNCTION("""COMPUTED_VALUE"""),"ARYA AUSHADHI")</f>
        <v>ARYA AUSHADHI</v>
      </c>
    </row>
    <row r="317">
      <c r="H317" s="25" t="str">
        <f>IFERROR(__xludf.DUMMYFUNCTION("""COMPUTED_VALUE"""),"ARYAN LABORATORIES")</f>
        <v>ARYAN LABORATORIES</v>
      </c>
    </row>
    <row r="318">
      <c r="H318" s="25" t="str">
        <f>IFERROR(__xludf.DUMMYFUNCTION("""COMPUTED_VALUE"""),"Asclepius Pharmaceuticals Pvt Ltd")</f>
        <v>Asclepius Pharmaceuticals Pvt Ltd</v>
      </c>
    </row>
    <row r="319">
      <c r="H319" s="25" t="str">
        <f>IFERROR(__xludf.DUMMYFUNCTION("""COMPUTED_VALUE"""),"ASCORPUS HEALTHCARE")</f>
        <v>ASCORPUS HEALTHCARE</v>
      </c>
    </row>
    <row r="320">
      <c r="H320" s="25" t="str">
        <f>IFERROR(__xludf.DUMMYFUNCTION("""COMPUTED_VALUE"""),"ASGARD LABS")</f>
        <v>ASGARD LABS</v>
      </c>
    </row>
    <row r="321">
      <c r="H321" s="25" t="str">
        <f>IFERROR(__xludf.DUMMYFUNCTION("""COMPUTED_VALUE"""),"ASHWA HEALTHCARE")</f>
        <v>ASHWA HEALTHCARE</v>
      </c>
    </row>
    <row r="322">
      <c r="H322" s="25" t="str">
        <f>IFERROR(__xludf.DUMMYFUNCTION("""COMPUTED_VALUE"""),"ASIAN PHARMACEUTICALS P LTD")</f>
        <v>ASIAN PHARMACEUTICALS P LTD</v>
      </c>
    </row>
    <row r="323">
      <c r="H323" s="25" t="str">
        <f>IFERROR(__xludf.DUMMYFUNCTION("""COMPUTED_VALUE"""),"ASKON HEALTHCARE PVT LTD")</f>
        <v>ASKON HEALTHCARE PVT LTD</v>
      </c>
    </row>
    <row r="324">
      <c r="H324" s="25" t="str">
        <f>IFERROR(__xludf.DUMMYFUNCTION("""COMPUTED_VALUE"""),"ASOJ SOFT CAPS P LTD")</f>
        <v>ASOJ SOFT CAPS P LTD</v>
      </c>
    </row>
    <row r="325">
      <c r="H325" s="25" t="str">
        <f>IFERROR(__xludf.DUMMYFUNCTION("""COMPUTED_VALUE"""),"ASSOCIATED BIOTECH, NALAGAR")</f>
        <v>ASSOCIATED BIOTECH, NALAGAR</v>
      </c>
    </row>
    <row r="326">
      <c r="H326" s="25" t="str">
        <f>IFERROR(__xludf.DUMMYFUNCTION("""COMPUTED_VALUE"""),"ASSURE SURGICALS PVT LTD")</f>
        <v>ASSURE SURGICALS PVT LTD</v>
      </c>
    </row>
    <row r="327">
      <c r="H327" s="25" t="str">
        <f>IFERROR(__xludf.DUMMYFUNCTION("""COMPUTED_VALUE"""),"ASTALON PHARMA")</f>
        <v>ASTALON PHARMA</v>
      </c>
    </row>
    <row r="328">
      <c r="H328" s="25" t="str">
        <f>IFERROR(__xludf.DUMMYFUNCTION("""COMPUTED_VALUE"""),"ASTELLAS PHARMA INDIA")</f>
        <v>ASTELLAS PHARMA INDIA</v>
      </c>
    </row>
    <row r="329">
      <c r="H329" s="25" t="str">
        <f>IFERROR(__xludf.DUMMYFUNCTION("""COMPUTED_VALUE"""),"ASTEMAX BIOTECH")</f>
        <v>ASTEMAX BIOTECH</v>
      </c>
    </row>
    <row r="330">
      <c r="H330" s="25" t="str">
        <f>IFERROR(__xludf.DUMMYFUNCTION("""COMPUTED_VALUE"""),"ASTER MEDIPHARM P LTD")</f>
        <v>ASTER MEDIPHARM P LTD</v>
      </c>
    </row>
    <row r="331">
      <c r="H331" s="25" t="str">
        <f>IFERROR(__xludf.DUMMYFUNCTION("""COMPUTED_VALUE"""),"ASTEROIDS PHARMA")</f>
        <v>ASTEROIDS PHARMA</v>
      </c>
    </row>
    <row r="332">
      <c r="H332" s="25" t="str">
        <f>IFERROR(__xludf.DUMMYFUNCTION("""COMPUTED_VALUE"""),"ASTON ORGANICS")</f>
        <v>ASTON ORGANICS</v>
      </c>
    </row>
    <row r="333">
      <c r="H333" s="25" t="str">
        <f>IFERROR(__xludf.DUMMYFUNCTION("""COMPUTED_VALUE"""),"Astra Zeneca")</f>
        <v>Astra Zeneca</v>
      </c>
    </row>
    <row r="334">
      <c r="H334" s="25" t="str">
        <f>IFERROR(__xludf.DUMMYFUNCTION("""COMPUTED_VALUE"""),"Astra Zeneca (ACS LIFE)")</f>
        <v>Astra Zeneca (ACS LIFE)</v>
      </c>
    </row>
    <row r="335">
      <c r="H335" s="25" t="str">
        <f>IFERROR(__xludf.DUMMYFUNCTION("""COMPUTED_VALUE"""),"Astra Zeneca (AZCENT)")</f>
        <v>Astra Zeneca (AZCENT)</v>
      </c>
    </row>
    <row r="336">
      <c r="H336" s="25" t="str">
        <f>IFERROR(__xludf.DUMMYFUNCTION("""COMPUTED_VALUE"""),"Astra Zeneca (AZPIRE)")</f>
        <v>Astra Zeneca (AZPIRE)</v>
      </c>
    </row>
    <row r="337">
      <c r="H337" s="25" t="str">
        <f>IFERROR(__xludf.DUMMYFUNCTION("""COMPUTED_VALUE"""),"Astra Zeneca (CRESCENT)")</f>
        <v>Astra Zeneca (CRESCENT)</v>
      </c>
    </row>
    <row r="338">
      <c r="H338" s="25" t="str">
        <f>IFERROR(__xludf.DUMMYFUNCTION("""COMPUTED_VALUE"""),"Astra Zeneca (DIABITIES)")</f>
        <v>Astra Zeneca (DIABITIES)</v>
      </c>
    </row>
    <row r="339">
      <c r="H339" s="25" t="str">
        <f>IFERROR(__xludf.DUMMYFUNCTION("""COMPUTED_VALUE"""),"Astra Zeneca (INFECTION)")</f>
        <v>Astra Zeneca (INFECTION)</v>
      </c>
    </row>
    <row r="340">
      <c r="H340" s="25" t="str">
        <f>IFERROR(__xludf.DUMMYFUNCTION("""COMPUTED_VALUE"""),"Astra Zeneca (MHC)")</f>
        <v>Astra Zeneca (MHC)</v>
      </c>
    </row>
    <row r="341">
      <c r="H341" s="25" t="str">
        <f>IFERROR(__xludf.DUMMYFUNCTION("""COMPUTED_VALUE"""),"ASTRA-IDL LIMITED")</f>
        <v>ASTRA-IDL LIMITED</v>
      </c>
    </row>
    <row r="342">
      <c r="H342" s="25" t="str">
        <f>IFERROR(__xludf.DUMMYFUNCTION("""COMPUTED_VALUE"""),"ASTRUM HEALTHCARE PVT LTD")</f>
        <v>ASTRUM HEALTHCARE PVT LTD</v>
      </c>
    </row>
    <row r="343">
      <c r="H343" s="25" t="str">
        <f>IFERROR(__xludf.DUMMYFUNCTION("""COMPUTED_VALUE"""),"ASWINI HOMEO PHARMACY")</f>
        <v>ASWINI HOMEO PHARMACY</v>
      </c>
    </row>
    <row r="344">
      <c r="H344" s="25" t="str">
        <f>IFERROR(__xludf.DUMMYFUNCTION("""COMPUTED_VALUE"""),"ATHARVMEILLEUR HEALTH")</f>
        <v>ATHARVMEILLEUR HEALTH</v>
      </c>
    </row>
    <row r="345">
      <c r="H345" s="25" t="str">
        <f>IFERROR(__xludf.DUMMYFUNCTION("""COMPUTED_VALUE"""),"ATHENE LABORATORIES LTD")</f>
        <v>ATHENE LABORATORIES LTD</v>
      </c>
    </row>
    <row r="346">
      <c r="H346" s="25" t="str">
        <f>IFERROR(__xludf.DUMMYFUNCTION("""COMPUTED_VALUE"""),"ATHLON MEDIVENTURES")</f>
        <v>ATHLON MEDIVENTURES</v>
      </c>
    </row>
    <row r="347">
      <c r="H347" s="25" t="str">
        <f>IFERROR(__xludf.DUMMYFUNCTION("""COMPUTED_VALUE"""),"ATIT PHARMA")</f>
        <v>ATIT PHARMA</v>
      </c>
    </row>
    <row r="348">
      <c r="H348" s="25" t="str">
        <f>IFERROR(__xludf.DUMMYFUNCTION("""COMPUTED_VALUE"""),"ATLANTIC PHARMACEUTICALS")</f>
        <v>ATLANTIC PHARMACEUTICALS</v>
      </c>
    </row>
    <row r="349">
      <c r="H349" s="25" t="str">
        <f>IFERROR(__xludf.DUMMYFUNCTION("""COMPUTED_VALUE"""),"ATTAR PHARMACEUTICALS")</f>
        <v>ATTAR PHARMACEUTICALS</v>
      </c>
    </row>
    <row r="350">
      <c r="H350" s="25" t="str">
        <f>IFERROR(__xludf.DUMMYFUNCTION("""COMPUTED_VALUE"""),"ATTEMP HEALTHCARE")</f>
        <v>ATTEMP HEALTHCARE</v>
      </c>
    </row>
    <row r="351">
      <c r="H351" s="25" t="str">
        <f>IFERROR(__xludf.DUMMYFUNCTION("""COMPUTED_VALUE"""),"ATTEMPT LIFE")</f>
        <v>ATTEMPT LIFE</v>
      </c>
    </row>
    <row r="352">
      <c r="H352" s="25" t="str">
        <f>IFERROR(__xludf.DUMMYFUNCTION("""COMPUTED_VALUE"""),"AURA NUTRACEUTICALS LTD")</f>
        <v>AURA NUTRACEUTICALS LTD</v>
      </c>
    </row>
    <row r="353">
      <c r="H353" s="25" t="str">
        <f>IFERROR(__xludf.DUMMYFUNCTION("""COMPUTED_VALUE"""),"AURAM LIFESCIENCES P LTD")</f>
        <v>AURAM LIFESCIENCES P LTD</v>
      </c>
    </row>
    <row r="354">
      <c r="H354" s="25" t="str">
        <f>IFERROR(__xludf.DUMMYFUNCTION("""COMPUTED_VALUE"""),"AURAYA HEALTHCARE")</f>
        <v>AURAYA HEALTHCARE</v>
      </c>
    </row>
    <row r="355">
      <c r="H355" s="25" t="str">
        <f>IFERROR(__xludf.DUMMYFUNCTION("""COMPUTED_VALUE"""),"AUREATE HEALTHCARE")</f>
        <v>AUREATE HEALTHCARE</v>
      </c>
    </row>
    <row r="356">
      <c r="H356" s="25" t="str">
        <f>IFERROR(__xludf.DUMMYFUNCTION("""COMPUTED_VALUE"""),"AUREL DERMA")</f>
        <v>AUREL DERMA</v>
      </c>
    </row>
    <row r="357">
      <c r="H357" s="25" t="str">
        <f>IFERROR(__xludf.DUMMYFUNCTION("""COMPUTED_VALUE"""),"AURICARE LIFESCIENCES")</f>
        <v>AURICARE LIFESCIENCES</v>
      </c>
    </row>
    <row r="358">
      <c r="H358" s="25" t="str">
        <f>IFERROR(__xludf.DUMMYFUNCTION("""COMPUTED_VALUE"""),"AURO SYSTEMS &amp; COMMUNICATIONS")</f>
        <v>AURO SYSTEMS &amp; COMMUNICATIONS</v>
      </c>
    </row>
    <row r="359">
      <c r="H359" s="25" t="str">
        <f>IFERROR(__xludf.DUMMYFUNCTION("""COMPUTED_VALUE"""),"AUSMED LIFE SCIENCES")</f>
        <v>AUSMED LIFE SCIENCES</v>
      </c>
    </row>
    <row r="360">
      <c r="H360" s="25" t="str">
        <f>IFERROR(__xludf.DUMMYFUNCTION("""COMPUTED_VALUE"""),"AUSTIRA PHARMACEUTICAL")</f>
        <v>AUSTIRA PHARMACEUTICAL</v>
      </c>
    </row>
    <row r="361">
      <c r="H361" s="25" t="str">
        <f>IFERROR(__xludf.DUMMYFUNCTION("""COMPUTED_VALUE"""),"AUSTRO LAB")</f>
        <v>AUSTRO LAB</v>
      </c>
    </row>
    <row r="362">
      <c r="H362" s="25" t="str">
        <f>IFERROR(__xludf.DUMMYFUNCTION("""COMPUTED_VALUE"""),"AUXTER BIOMEDIC")</f>
        <v>AUXTER BIOMEDIC</v>
      </c>
    </row>
    <row r="363">
      <c r="H363" s="25" t="str">
        <f>IFERROR(__xludf.DUMMYFUNCTION("""COMPUTED_VALUE"""),"AUZALUS LIFE SCIENCES")</f>
        <v>AUZALUS LIFE SCIENCES</v>
      </c>
    </row>
    <row r="364">
      <c r="H364" s="25" t="str">
        <f>IFERROR(__xludf.DUMMYFUNCTION("""COMPUTED_VALUE"""),"AVALLAC PHARMACEUTICAL")</f>
        <v>AVALLAC PHARMACEUTICAL</v>
      </c>
    </row>
    <row r="365">
      <c r="H365" s="25" t="str">
        <f>IFERROR(__xludf.DUMMYFUNCTION("""COMPUTED_VALUE"""),"AVANEESH HEALTHCARE")</f>
        <v>AVANEESH HEALTHCARE</v>
      </c>
    </row>
    <row r="366">
      <c r="H366" s="25" t="str">
        <f>IFERROR(__xludf.DUMMYFUNCTION("""COMPUTED_VALUE"""),"AVENCIA BIOTECH")</f>
        <v>AVENCIA BIOTECH</v>
      </c>
    </row>
    <row r="367">
      <c r="H367" s="25" t="str">
        <f>IFERROR(__xludf.DUMMYFUNCTION("""COMPUTED_VALUE"""),"AVENEW MEDIFACE INDIA")</f>
        <v>AVENEW MEDIFACE INDIA</v>
      </c>
    </row>
    <row r="368">
      <c r="H368" s="25" t="str">
        <f>IFERROR(__xludf.DUMMYFUNCTION("""COMPUTED_VALUE"""),"Aventis Pasteur India Ltd.")</f>
        <v>Aventis Pasteur India Ltd.</v>
      </c>
    </row>
    <row r="369">
      <c r="H369" s="25" t="str">
        <f>IFERROR(__xludf.DUMMYFUNCTION("""COMPUTED_VALUE"""),"AVILIUS NEUTRACARE")</f>
        <v>AVILIUS NEUTRACARE</v>
      </c>
    </row>
    <row r="370">
      <c r="H370" s="25" t="str">
        <f>IFERROR(__xludf.DUMMYFUNCTION("""COMPUTED_VALUE"""),"Avin Pharma")</f>
        <v>Avin Pharma</v>
      </c>
    </row>
    <row r="371">
      <c r="H371" s="25" t="str">
        <f>IFERROR(__xludf.DUMMYFUNCTION("""COMPUTED_VALUE"""),"Avinash Health Products Pvt Ltd")</f>
        <v>Avinash Health Products Pvt Ltd</v>
      </c>
    </row>
    <row r="372">
      <c r="H372" s="25" t="str">
        <f>IFERROR(__xludf.DUMMYFUNCTION("""COMPUTED_VALUE"""),"AVIOR THERAPPEUTIS")</f>
        <v>AVIOR THERAPPEUTIS</v>
      </c>
    </row>
    <row r="373">
      <c r="H373" s="25" t="str">
        <f>IFERROR(__xludf.DUMMYFUNCTION("""COMPUTED_VALUE"""),"Avis Lifecare Pvt Ltd")</f>
        <v>Avis Lifecare Pvt Ltd</v>
      </c>
    </row>
    <row r="374">
      <c r="H374" s="25" t="str">
        <f>IFERROR(__xludf.DUMMYFUNCTION("""COMPUTED_VALUE"""),"AVITA BIOPHARMACEUTICALS")</f>
        <v>AVITA BIOPHARMACEUTICALS</v>
      </c>
    </row>
    <row r="375">
      <c r="H375" s="25" t="str">
        <f>IFERROR(__xludf.DUMMYFUNCTION("""COMPUTED_VALUE"""),"AVITA BIOPHARNACEUTICALS")</f>
        <v>AVITA BIOPHARNACEUTICALS</v>
      </c>
    </row>
    <row r="376">
      <c r="H376" s="25" t="str">
        <f>IFERROR(__xludf.DUMMYFUNCTION("""COMPUTED_VALUE"""),"AVN PHARMACEUTICALS")</f>
        <v>AVN PHARMACEUTICALS</v>
      </c>
    </row>
    <row r="377">
      <c r="H377" s="25" t="str">
        <f>IFERROR(__xludf.DUMMYFUNCTION("""COMPUTED_VALUE"""),"AVNI")</f>
        <v>AVNI</v>
      </c>
    </row>
    <row r="378">
      <c r="H378" s="25" t="str">
        <f>IFERROR(__xludf.DUMMYFUNCTION("""COMPUTED_VALUE"""),"AVNI PHARMA SOLAN")</f>
        <v>AVNI PHARMA SOLAN</v>
      </c>
    </row>
    <row r="379">
      <c r="H379" s="25" t="str">
        <f>IFERROR(__xludf.DUMMYFUNCTION("""COMPUTED_VALUE"""),"AVONIC LIFE SCIENCES")</f>
        <v>AVONIC LIFE SCIENCES</v>
      </c>
    </row>
    <row r="380">
      <c r="H380" s="25" t="str">
        <f>IFERROR(__xludf.DUMMYFUNCTION("""COMPUTED_VALUE"""),"AWSTEN REMEDIES")</f>
        <v>AWSTEN REMEDIES</v>
      </c>
    </row>
    <row r="381">
      <c r="H381" s="25" t="str">
        <f>IFERROR(__xludf.DUMMYFUNCTION("""COMPUTED_VALUE"""),"AXELTIS HEALTHCARE")</f>
        <v>AXELTIS HEALTHCARE</v>
      </c>
    </row>
    <row r="382">
      <c r="H382" s="25" t="str">
        <f>IFERROR(__xludf.DUMMYFUNCTION("""COMPUTED_VALUE"""),"AXINIB 1")</f>
        <v>AXINIB 1</v>
      </c>
    </row>
    <row r="383">
      <c r="H383" s="25" t="str">
        <f>IFERROR(__xludf.DUMMYFUNCTION("""COMPUTED_VALUE"""),"AXINIB 5")</f>
        <v>AXINIB 5</v>
      </c>
    </row>
    <row r="384">
      <c r="H384" s="25" t="str">
        <f>IFERROR(__xludf.DUMMYFUNCTION("""COMPUTED_VALUE"""),"AXIS PHARMA")</f>
        <v>AXIS PHARMA</v>
      </c>
    </row>
    <row r="385">
      <c r="H385" s="25" t="str">
        <f>IFERROR(__xludf.DUMMYFUNCTION("""COMPUTED_VALUE"""),"AXO RESEARCH LABORATORIES")</f>
        <v>AXO RESEARCH LABORATORIES</v>
      </c>
    </row>
    <row r="386">
      <c r="H386" s="25" t="str">
        <f>IFERROR(__xludf.DUMMYFUNCTION("""COMPUTED_VALUE"""),"AYNS PHARMA")</f>
        <v>AYNS PHARMA</v>
      </c>
    </row>
    <row r="387">
      <c r="H387" s="25" t="str">
        <f>IFERROR(__xludf.DUMMYFUNCTION("""COMPUTED_VALUE"""),"AYURVED SEVA SADAN")</f>
        <v>AYURVED SEVA SADAN</v>
      </c>
    </row>
    <row r="388">
      <c r="H388" s="25" t="str">
        <f>IFERROR(__xludf.DUMMYFUNCTION("""COMPUTED_VALUE"""),"AYURVED SUMSHODHANALAYA")</f>
        <v>AYURVED SUMSHODHANALAYA</v>
      </c>
    </row>
    <row r="389">
      <c r="H389" s="25" t="str">
        <f>IFERROR(__xludf.DUMMYFUNCTION("""COMPUTED_VALUE"""),"AYURVEDA SEARCH")</f>
        <v>AYURVEDA SEARCH</v>
      </c>
    </row>
    <row r="390">
      <c r="H390" s="25" t="str">
        <f>IFERROR(__xludf.DUMMYFUNCTION("""COMPUTED_VALUE"""),"AYURVEDANT P LTD")</f>
        <v>AYURVEDANT P LTD</v>
      </c>
    </row>
    <row r="391">
      <c r="H391" s="25" t="str">
        <f>IFERROR(__xludf.DUMMYFUNCTION("""COMPUTED_VALUE"""),"AYURVEDIC VIKAS SANSTHAN")</f>
        <v>AYURVEDIC VIKAS SANSTHAN</v>
      </c>
    </row>
    <row r="392">
      <c r="H392" s="25" t="str">
        <f>IFERROR(__xludf.DUMMYFUNCTION("""COMPUTED_VALUE"""),"AYURWIN")</f>
        <v>AYURWIN</v>
      </c>
    </row>
    <row r="393">
      <c r="H393" s="25" t="str">
        <f>IFERROR(__xludf.DUMMYFUNCTION("""COMPUTED_VALUE"""),"AYUSH MEDICAL AGENCY (OTHER PRODUCTS)")</f>
        <v>AYUSH MEDICAL AGENCY (OTHER PRODUCTS)</v>
      </c>
    </row>
    <row r="394">
      <c r="H394" s="25" t="str">
        <f>IFERROR(__xludf.DUMMYFUNCTION("""COMPUTED_VALUE"""),"AYUSHAKTI HEALTH CARE")</f>
        <v>AYUSHAKTI HEALTH CARE</v>
      </c>
    </row>
    <row r="395">
      <c r="H395" s="25" t="str">
        <f>IFERROR(__xludf.DUMMYFUNCTION("""COMPUTED_VALUE"""),"AZILLIAN HEALTHCARE PVT LTD")</f>
        <v>AZILLIAN HEALTHCARE PVT LTD</v>
      </c>
    </row>
    <row r="396">
      <c r="H396" s="25" t="str">
        <f>IFERROR(__xludf.DUMMYFUNCTION("""COMPUTED_VALUE"""),"AZINE HEALTHCARE P LTD")</f>
        <v>AZINE HEALTHCARE P LTD</v>
      </c>
    </row>
    <row r="397">
      <c r="H397" s="25" t="str">
        <f>IFERROR(__xludf.DUMMYFUNCTION("""COMPUTED_VALUE"""),"AZKKA PHARMACEUTICALS PVT LTD")</f>
        <v>AZKKA PHARMACEUTICALS PVT LTD</v>
      </c>
    </row>
    <row r="398">
      <c r="H398" s="25" t="str">
        <f>IFERROR(__xludf.DUMMYFUNCTION("""COMPUTED_VALUE"""),"AZKKOR PHARMA")</f>
        <v>AZKKOR PHARMA</v>
      </c>
    </row>
    <row r="399">
      <c r="H399" s="25" t="str">
        <f>IFERROR(__xludf.DUMMYFUNCTION("""COMPUTED_VALUE"""),"AZZURRA PHARMA")</f>
        <v>AZZURRA PHARMA</v>
      </c>
    </row>
    <row r="400">
      <c r="H400" s="25" t="str">
        <f>IFERROR(__xludf.DUMMYFUNCTION("""COMPUTED_VALUE"""),"B BRAUN")</f>
        <v>B BRAUN</v>
      </c>
    </row>
    <row r="401">
      <c r="H401" s="25" t="str">
        <f>IFERROR(__xludf.DUMMYFUNCTION("""COMPUTED_VALUE"""),"B-TEX OINTMENT")</f>
        <v>B-TEX OINTMENT</v>
      </c>
    </row>
    <row r="402">
      <c r="H402" s="25" t="str">
        <f>IFERROR(__xludf.DUMMYFUNCTION("""COMPUTED_VALUE"""),"B&amp;B GROUP")</f>
        <v>B&amp;B GROUP</v>
      </c>
    </row>
    <row r="403">
      <c r="H403" s="25" t="str">
        <f>IFERROR(__xludf.DUMMYFUNCTION("""COMPUTED_VALUE"""),"B&amp;J LIFE SCIENCES")</f>
        <v>B&amp;J LIFE SCIENCES</v>
      </c>
    </row>
    <row r="404">
      <c r="H404" s="25" t="str">
        <f>IFERROR(__xludf.DUMMYFUNCTION("""COMPUTED_VALUE"""),"BACFO Pharmaceuticals (India) Ltd.")</f>
        <v>BACFO Pharmaceuticals (India) Ltd.</v>
      </c>
    </row>
    <row r="405">
      <c r="H405" s="25" t="str">
        <f>IFERROR(__xludf.DUMMYFUNCTION("""COMPUTED_VALUE"""),"BAHOLA")</f>
        <v>BAHOLA</v>
      </c>
    </row>
    <row r="406">
      <c r="H406" s="25" t="str">
        <f>IFERROR(__xludf.DUMMYFUNCTION("""COMPUTED_VALUE"""),"BAIN MEDICAL EQIPMENT")</f>
        <v>BAIN MEDICAL EQIPMENT</v>
      </c>
    </row>
    <row r="407">
      <c r="H407" s="25" t="str">
        <f>IFERROR(__xludf.DUMMYFUNCTION("""COMPUTED_VALUE"""),"BAJAJ CORP LTD")</f>
        <v>BAJAJ CORP LTD</v>
      </c>
    </row>
    <row r="408">
      <c r="H408" s="25" t="str">
        <f>IFERROR(__xludf.DUMMYFUNCTION("""COMPUTED_VALUE"""),"BAJAJ MEDICARE")</f>
        <v>BAJAJ MEDICARE</v>
      </c>
    </row>
    <row r="409">
      <c r="H409" s="25" t="str">
        <f>IFERROR(__xludf.DUMMYFUNCTION("""COMPUTED_VALUE"""),"BAKSON")</f>
        <v>BAKSON</v>
      </c>
    </row>
    <row r="410">
      <c r="H410" s="25" t="str">
        <f>IFERROR(__xludf.DUMMYFUNCTION("""COMPUTED_VALUE"""),"Bal Pharma Ltd")</f>
        <v>Bal Pharma Ltd</v>
      </c>
    </row>
    <row r="411">
      <c r="H411" s="25" t="str">
        <f>IFERROR(__xludf.DUMMYFUNCTION("""COMPUTED_VALUE"""),"BALAJI AYURVED SANSTHAN")</f>
        <v>BALAJI AYURVED SANSTHAN</v>
      </c>
    </row>
    <row r="412">
      <c r="H412" s="25" t="str">
        <f>IFERROR(__xludf.DUMMYFUNCTION("""COMPUTED_VALUE"""),"BALAJI HEALTHCARE")</f>
        <v>BALAJI HEALTHCARE</v>
      </c>
    </row>
    <row r="413">
      <c r="H413" s="25" t="str">
        <f>IFERROR(__xludf.DUMMYFUNCTION("""COMPUTED_VALUE"""),"BALSON PHARMACEUTICALS (BESTCURE PHARMA)")</f>
        <v>BALSON PHARMACEUTICALS (BESTCURE PHARMA)</v>
      </c>
    </row>
    <row r="414">
      <c r="H414" s="25" t="str">
        <f>IFERROR(__xludf.DUMMYFUNCTION("""COMPUTED_VALUE"""),"Ban Labs")</f>
        <v>Ban Labs</v>
      </c>
    </row>
    <row r="415">
      <c r="H415" s="25" t="str">
        <f>IFERROR(__xludf.DUMMYFUNCTION("""COMPUTED_VALUE"""),"BANFORD")</f>
        <v>BANFORD</v>
      </c>
    </row>
    <row r="416">
      <c r="H416" s="25" t="str">
        <f>IFERROR(__xludf.DUMMYFUNCTION("""COMPUTED_VALUE"""),"BARD ACCESS SYSTEMS")</f>
        <v>BARD ACCESS SYSTEMS</v>
      </c>
    </row>
    <row r="417">
      <c r="H417" s="25" t="str">
        <f>IFERROR(__xludf.DUMMYFUNCTION("""COMPUTED_VALUE"""),"BARDIA")</f>
        <v>BARDIA</v>
      </c>
    </row>
    <row r="418">
      <c r="H418" s="25" t="str">
        <f>IFERROR(__xludf.DUMMYFUNCTION("""COMPUTED_VALUE"""),"BAROQUE PHARMACEUTICALS")</f>
        <v>BAROQUE PHARMACEUTICALS</v>
      </c>
    </row>
    <row r="419">
      <c r="H419" s="25" t="str">
        <f>IFERROR(__xludf.DUMMYFUNCTION("""COMPUTED_VALUE"""),"BAUSCH &amp; LOMB")</f>
        <v>BAUSCH &amp; LOMB</v>
      </c>
    </row>
    <row r="420">
      <c r="H420" s="25" t="str">
        <f>IFERROR(__xludf.DUMMYFUNCTION("""COMPUTED_VALUE"""),"BAUSCH &amp; LOMB (SL-59)")</f>
        <v>BAUSCH &amp; LOMB (SL-59)</v>
      </c>
    </row>
    <row r="421">
      <c r="H421" s="25" t="str">
        <f>IFERROR(__xludf.DUMMYFUNCTION("""COMPUTED_VALUE"""),"Bausch &amp; Lomb Inc")</f>
        <v>Bausch &amp; Lomb Inc</v>
      </c>
    </row>
    <row r="422">
      <c r="H422" s="25" t="str">
        <f>IFERROR(__xludf.DUMMYFUNCTION("""COMPUTED_VALUE"""),"Baxter India Pvt Ltd")</f>
        <v>Baxter India Pvt Ltd</v>
      </c>
    </row>
    <row r="423">
      <c r="H423" s="25" t="str">
        <f>IFERROR(__xludf.DUMMYFUNCTION("""COMPUTED_VALUE"""),"BAYER (ZYDUS BLUE)")</f>
        <v>BAYER (ZYDUS BLUE)</v>
      </c>
    </row>
    <row r="424">
      <c r="H424" s="25" t="str">
        <f>IFERROR(__xludf.DUMMYFUNCTION("""COMPUTED_VALUE"""),"Bayer Pharmaceuticals Pvt Ltd")</f>
        <v>Bayer Pharmaceuticals Pvt Ltd</v>
      </c>
    </row>
    <row r="425">
      <c r="H425" s="25" t="str">
        <f>IFERROR(__xludf.DUMMYFUNCTION("""COMPUTED_VALUE"""),"BAYZE BIOCARE PVT LTD")</f>
        <v>BAYZE BIOCARE PVT LTD</v>
      </c>
    </row>
    <row r="426">
      <c r="H426" s="25" t="str">
        <f>IFERROR(__xludf.DUMMYFUNCTION("""COMPUTED_VALUE"""),"BD SURGICAL")</f>
        <v>BD SURGICAL</v>
      </c>
    </row>
    <row r="427">
      <c r="H427" s="25" t="str">
        <f>IFERROR(__xludf.DUMMYFUNCTION("""COMPUTED_VALUE"""),"BDR PHARMACEUTICALS")</f>
        <v>BDR PHARMACEUTICALS</v>
      </c>
    </row>
    <row r="428">
      <c r="H428" s="25" t="str">
        <f>IFERROR(__xludf.DUMMYFUNCTION("""COMPUTED_VALUE"""),"BEAMS REMEDIES")</f>
        <v>BEAMS REMEDIES</v>
      </c>
    </row>
    <row r="429">
      <c r="H429" s="25" t="str">
        <f>IFERROR(__xludf.DUMMYFUNCTION("""COMPUTED_VALUE"""),"BEAUDERM PAHARMA")</f>
        <v>BEAUDERM PAHARMA</v>
      </c>
    </row>
    <row r="430">
      <c r="H430" s="25" t="str">
        <f>IFERROR(__xludf.DUMMYFUNCTION("""COMPUTED_VALUE"""),"BECK &amp; KOLL")</f>
        <v>BECK &amp; KOLL</v>
      </c>
    </row>
    <row r="431">
      <c r="H431" s="25" t="str">
        <f>IFERROR(__xludf.DUMMYFUNCTION("""COMPUTED_VALUE"""),"BEEKAY PHARMACEUTICALS")</f>
        <v>BEEKAY PHARMACEUTICALS</v>
      </c>
    </row>
    <row r="432">
      <c r="H432" s="25" t="str">
        <f>IFERROR(__xludf.DUMMYFUNCTION("""COMPUTED_VALUE"""),"BEETA SURGICALS")</f>
        <v>BEETA SURGICALS</v>
      </c>
    </row>
    <row r="433">
      <c r="H433" s="25" t="str">
        <f>IFERROR(__xludf.DUMMYFUNCTION("""COMPUTED_VALUE"""),"BEIERSDORF")</f>
        <v>BEIERSDORF</v>
      </c>
    </row>
    <row r="434">
      <c r="H434" s="25" t="str">
        <f>IFERROR(__xludf.DUMMYFUNCTION("""COMPUTED_VALUE"""),"Bengal Chemicals &amp; Pharmaceuticals Ltd")</f>
        <v>Bengal Chemicals &amp; Pharmaceuticals Ltd</v>
      </c>
    </row>
    <row r="435">
      <c r="H435" s="25" t="str">
        <f>IFERROR(__xludf.DUMMYFUNCTION("""COMPUTED_VALUE"""),"BENNET PHARMA (CRITICAL CARE)")</f>
        <v>BENNET PHARMA (CRITICAL CARE)</v>
      </c>
    </row>
    <row r="436">
      <c r="H436" s="25" t="str">
        <f>IFERROR(__xludf.DUMMYFUNCTION("""COMPUTED_VALUE"""),"BENNET PHARMA (EXTRA CARE)")</f>
        <v>BENNET PHARMA (EXTRA CARE)</v>
      </c>
    </row>
    <row r="437">
      <c r="H437" s="25" t="str">
        <f>IFERROR(__xludf.DUMMYFUNCTION("""COMPUTED_VALUE"""),"BENNET PHARMA (MAIN)")</f>
        <v>BENNET PHARMA (MAIN)</v>
      </c>
    </row>
    <row r="438">
      <c r="H438" s="25" t="str">
        <f>IFERROR(__xludf.DUMMYFUNCTION("""COMPUTED_VALUE"""),"BENNET PHARMA (MYPHER)")</f>
        <v>BENNET PHARMA (MYPHER)</v>
      </c>
    </row>
    <row r="439">
      <c r="H439" s="25" t="str">
        <f>IFERROR(__xludf.DUMMYFUNCTION("""COMPUTED_VALUE"""),"Bennet Pharmaceuticals Limited")</f>
        <v>Bennet Pharmaceuticals Limited</v>
      </c>
    </row>
    <row r="440">
      <c r="H440" s="25" t="str">
        <f>IFERROR(__xludf.DUMMYFUNCTION("""COMPUTED_VALUE"""),"BERBRICK HEALTHCARE")</f>
        <v>BERBRICK HEALTHCARE</v>
      </c>
    </row>
    <row r="441">
      <c r="H441" s="25" t="str">
        <f>IFERROR(__xludf.DUMMYFUNCTION("""COMPUTED_VALUE"""),"BERNICE PHARMA")</f>
        <v>BERNICE PHARMA</v>
      </c>
    </row>
    <row r="442">
      <c r="H442" s="25" t="str">
        <f>IFERROR(__xludf.DUMMYFUNCTION("""COMPUTED_VALUE"""),"BERRY &amp; HERBS PHARMA PVT LTD")</f>
        <v>BERRY &amp; HERBS PHARMA PVT LTD</v>
      </c>
    </row>
    <row r="443">
      <c r="H443" s="25" t="str">
        <f>IFERROR(__xludf.DUMMYFUNCTION("""COMPUTED_VALUE"""),"BERYL DRUGS LTD")</f>
        <v>BERYL DRUGS LTD</v>
      </c>
    </row>
    <row r="444">
      <c r="H444" s="25" t="str">
        <f>IFERROR(__xludf.DUMMYFUNCTION("""COMPUTED_VALUE"""),"Besins Healthcare India Pvt Ltd")</f>
        <v>Besins Healthcare India Pvt Ltd</v>
      </c>
    </row>
    <row r="445">
      <c r="H445" s="25" t="str">
        <f>IFERROR(__xludf.DUMMYFUNCTION("""COMPUTED_VALUE"""),"BEST BIOTECH")</f>
        <v>BEST BIOTECH</v>
      </c>
    </row>
    <row r="446">
      <c r="H446" s="25" t="str">
        <f>IFERROR(__xludf.DUMMYFUNCTION("""COMPUTED_VALUE"""),"BESTEL LABORATORIES")</f>
        <v>BESTEL LABORATORIES</v>
      </c>
    </row>
    <row r="447">
      <c r="H447" s="25" t="str">
        <f>IFERROR(__xludf.DUMMYFUNCTION("""COMPUTED_VALUE"""),"BestoChem Formulations India Ltd")</f>
        <v>BestoChem Formulations India Ltd</v>
      </c>
    </row>
    <row r="448">
      <c r="H448" s="25" t="str">
        <f>IFERROR(__xludf.DUMMYFUNCTION("""COMPUTED_VALUE"""),"BestoChem Formulations India Ltd (GENERIC)")</f>
        <v>BestoChem Formulations India Ltd (GENERIC)</v>
      </c>
    </row>
    <row r="449">
      <c r="H449" s="25" t="str">
        <f>IFERROR(__xludf.DUMMYFUNCTION("""COMPUTED_VALUE"""),"BHAGWAT PHARMACEUTICAL")</f>
        <v>BHAGWAT PHARMACEUTICAL</v>
      </c>
    </row>
    <row r="450">
      <c r="H450" s="25" t="str">
        <f>IFERROR(__xludf.DUMMYFUNCTION("""COMPUTED_VALUE"""),"BHANDARI")</f>
        <v>BHANDARI</v>
      </c>
    </row>
    <row r="451">
      <c r="H451" s="25" t="str">
        <f>IFERROR(__xludf.DUMMYFUNCTION("""COMPUTED_VALUE"""),"Bhandari Labs")</f>
        <v>Bhandari Labs</v>
      </c>
    </row>
    <row r="452">
      <c r="H452" s="25" t="str">
        <f>IFERROR(__xludf.DUMMYFUNCTION("""COMPUTED_VALUE"""),"Bharat Biotech")</f>
        <v>Bharat Biotech</v>
      </c>
    </row>
    <row r="453">
      <c r="H453" s="25" t="str">
        <f>IFERROR(__xludf.DUMMYFUNCTION("""COMPUTED_VALUE"""),"BHARAT HOMOEO")</f>
        <v>BHARAT HOMOEO</v>
      </c>
    </row>
    <row r="454">
      <c r="H454" s="25" t="str">
        <f>IFERROR(__xludf.DUMMYFUNCTION("""COMPUTED_VALUE"""),"Bharat Serums &amp; Vaccines Ltd")</f>
        <v>Bharat Serums &amp; Vaccines Ltd</v>
      </c>
    </row>
    <row r="455">
      <c r="H455" s="25" t="str">
        <f>IFERROR(__xludf.DUMMYFUNCTION("""COMPUTED_VALUE"""),"BHARATIYAPHARMACEUTICALS INDIA")</f>
        <v>BHARATIYAPHARMACEUTICALS INDIA</v>
      </c>
    </row>
    <row r="456">
      <c r="H456" s="25" t="str">
        <f>IFERROR(__xludf.DUMMYFUNCTION("""COMPUTED_VALUE"""),"Bharti Life Sciences")</f>
        <v>Bharti Life Sciences</v>
      </c>
    </row>
    <row r="457">
      <c r="H457" s="25" t="str">
        <f>IFERROR(__xludf.DUMMYFUNCTION("""COMPUTED_VALUE"""),"BHARTIYAPHARMA")</f>
        <v>BHARTIYAPHARMA</v>
      </c>
    </row>
    <row r="458">
      <c r="H458" s="25" t="str">
        <f>IFERROR(__xludf.DUMMYFUNCTION("""COMPUTED_VALUE"""),"BHAWANI PHARMACEUTICAL")</f>
        <v>BHAWANI PHARMACEUTICAL</v>
      </c>
    </row>
    <row r="459">
      <c r="H459" s="25" t="str">
        <f>IFERROR(__xludf.DUMMYFUNCTION("""COMPUTED_VALUE"""),"BHAWASAR CHEMICALS")</f>
        <v>BHAWASAR CHEMICALS</v>
      </c>
    </row>
    <row r="460">
      <c r="H460" s="25" t="str">
        <f>IFERROR(__xludf.DUMMYFUNCTION("""COMPUTED_VALUE"""),"BHAWSAR PHARMACEUTICAL WORKS")</f>
        <v>BHAWSAR PHARMACEUTICAL WORKS</v>
      </c>
    </row>
    <row r="461">
      <c r="H461" s="25" t="str">
        <f>IFERROR(__xludf.DUMMYFUNCTION("""COMPUTED_VALUE"""),"BHOGILAL PREMCHAND")</f>
        <v>BHOGILAL PREMCHAND</v>
      </c>
    </row>
    <row r="462">
      <c r="H462" s="25" t="str">
        <f>IFERROR(__xludf.DUMMYFUNCTION("""COMPUTED_VALUE"""),"BIGWIG REMEDIES")</f>
        <v>BIGWIG REMEDIES</v>
      </c>
    </row>
    <row r="463">
      <c r="H463" s="25" t="str">
        <f>IFERROR(__xludf.DUMMYFUNCTION("""COMPUTED_VALUE"""),"BILBERRY PHARMACEUTICAL PVT LTD")</f>
        <v>BILBERRY PHARMACEUTICAL PVT LTD</v>
      </c>
    </row>
    <row r="464">
      <c r="H464" s="25" t="str">
        <f>IFERROR(__xludf.DUMMYFUNCTION("""COMPUTED_VALUE"""),"BILBERRY PHARMACEUTICALS PVT LTD")</f>
        <v>BILBERRY PHARMACEUTICALS PVT LTD</v>
      </c>
    </row>
    <row r="465">
      <c r="H465" s="25" t="str">
        <f>IFERROR(__xludf.DUMMYFUNCTION("""COMPUTED_VALUE"""),"BILLS CHEMICAL LIMITED")</f>
        <v>BILLS CHEMICAL LIMITED</v>
      </c>
    </row>
    <row r="466">
      <c r="H466" s="25" t="str">
        <f>IFERROR(__xludf.DUMMYFUNCTION("""COMPUTED_VALUE"""),"BIO EXCELLENCE")</f>
        <v>BIO EXCELLENCE</v>
      </c>
    </row>
    <row r="467">
      <c r="H467" s="25" t="str">
        <f>IFERROR(__xludf.DUMMYFUNCTION("""COMPUTED_VALUE"""),"BIO MEDICA LABORATORIES PVT LTD")</f>
        <v>BIO MEDICA LABORATORIES PVT LTD</v>
      </c>
    </row>
    <row r="468">
      <c r="H468" s="25" t="str">
        <f>IFERROR(__xludf.DUMMYFUNCTION("""COMPUTED_VALUE"""),"BIO TRUE LENS")</f>
        <v>BIO TRUE LENS</v>
      </c>
    </row>
    <row r="469">
      <c r="H469" s="25" t="str">
        <f>IFERROR(__xludf.DUMMYFUNCTION("""COMPUTED_VALUE"""),"BIO-MEDICA LAB INDORE")</f>
        <v>BIO-MEDICA LAB INDORE</v>
      </c>
    </row>
    <row r="470">
      <c r="H470" s="25" t="str">
        <f>IFERROR(__xludf.DUMMYFUNCTION("""COMPUTED_VALUE"""),"BIOAS MEDICO P LTD")</f>
        <v>BIOAS MEDICO P LTD</v>
      </c>
    </row>
    <row r="471">
      <c r="H471" s="25" t="str">
        <f>IFERROR(__xludf.DUMMYFUNCTION("""COMPUTED_VALUE"""),"BIOCEUTICS PHARMACEUTICALS")</f>
        <v>BIOCEUTICS PHARMACEUTICALS</v>
      </c>
    </row>
    <row r="472">
      <c r="H472" s="25" t="str">
        <f>IFERROR(__xludf.DUMMYFUNCTION("""COMPUTED_VALUE"""),"Biochem Pharmaceutical Industries")</f>
        <v>Biochem Pharmaceutical Industries</v>
      </c>
    </row>
    <row r="473">
      <c r="H473" s="25" t="str">
        <f>IFERROR(__xludf.DUMMYFUNCTION("""COMPUTED_VALUE"""),"Biochem Pharmaceutical Industries (GENERIC)")</f>
        <v>Biochem Pharmaceutical Industries (GENERIC)</v>
      </c>
    </row>
    <row r="474">
      <c r="H474" s="25" t="str">
        <f>IFERROR(__xludf.DUMMYFUNCTION("""COMPUTED_VALUE"""),"BIOCHEMIX HEALTHCARE")</f>
        <v>BIOCHEMIX HEALTHCARE</v>
      </c>
    </row>
    <row r="475">
      <c r="H475" s="25" t="str">
        <f>IFERROR(__xludf.DUMMYFUNCTION("""COMPUTED_VALUE"""),"BIOCHEMIX HEALTHCARE (NOVAMED  PHARMA)")</f>
        <v>BIOCHEMIX HEALTHCARE (NOVAMED  PHARMA)</v>
      </c>
    </row>
    <row r="476">
      <c r="H476" s="25" t="str">
        <f>IFERROR(__xludf.DUMMYFUNCTION("""COMPUTED_VALUE"""),"BIOCHEMIX HEALTHCARE (OLMED)")</f>
        <v>BIOCHEMIX HEALTHCARE (OLMED)</v>
      </c>
    </row>
    <row r="477">
      <c r="H477" s="25" t="str">
        <f>IFERROR(__xludf.DUMMYFUNCTION("""COMPUTED_VALUE"""),"BIOCHEMIX HEALTHCARE (VIVIA DERMACARE)")</f>
        <v>BIOCHEMIX HEALTHCARE (VIVIA DERMACARE)</v>
      </c>
    </row>
    <row r="478">
      <c r="H478" s="25" t="str">
        <f>IFERROR(__xludf.DUMMYFUNCTION("""COMPUTED_VALUE"""),"Biocon")</f>
        <v>Biocon</v>
      </c>
    </row>
    <row r="479">
      <c r="H479" s="25" t="str">
        <f>IFERROR(__xludf.DUMMYFUNCTION("""COMPUTED_VALUE"""),"BIOCON (ALTIUS)")</f>
        <v>BIOCON (ALTIUS)</v>
      </c>
    </row>
    <row r="480">
      <c r="H480" s="25" t="str">
        <f>IFERROR(__xludf.DUMMYFUNCTION("""COMPUTED_VALUE"""),"BIOCON (CITIUS)")</f>
        <v>BIOCON (CITIUS)</v>
      </c>
    </row>
    <row r="481">
      <c r="H481" s="25" t="str">
        <f>IFERROR(__xludf.DUMMYFUNCTION("""COMPUTED_VALUE"""),"BIOCON (CRITICAL CARE)")</f>
        <v>BIOCON (CRITICAL CARE)</v>
      </c>
    </row>
    <row r="482">
      <c r="H482" s="25" t="str">
        <f>IFERROR(__xludf.DUMMYFUNCTION("""COMPUTED_VALUE"""),"BIOCON (DERMA)")</f>
        <v>BIOCON (DERMA)</v>
      </c>
    </row>
    <row r="483">
      <c r="H483" s="25" t="str">
        <f>IFERROR(__xludf.DUMMYFUNCTION("""COMPUTED_VALUE"""),"BIOCORE PHARMACEUTICALS")</f>
        <v>BIOCORE PHARMACEUTICALS</v>
      </c>
    </row>
    <row r="484">
      <c r="H484" s="25" t="str">
        <f>IFERROR(__xludf.DUMMYFUNCTION("""COMPUTED_VALUE"""),"BIODERMA SOLUTIONS")</f>
        <v>BIODERMA SOLUTIONS</v>
      </c>
    </row>
    <row r="485">
      <c r="H485" s="25" t="str">
        <f>IFERROR(__xludf.DUMMYFUNCTION("""COMPUTED_VALUE"""),"BIODERMA SOLUTIONS (AESTETIX)")</f>
        <v>BIODERMA SOLUTIONS (AESTETIX)</v>
      </c>
    </row>
    <row r="486">
      <c r="H486" s="25" t="str">
        <f>IFERROR(__xludf.DUMMYFUNCTION("""COMPUTED_VALUE"""),"BIODERMA SOLUTIONS (CYTOZ)")</f>
        <v>BIODERMA SOLUTIONS (CYTOZ)</v>
      </c>
    </row>
    <row r="487">
      <c r="H487" s="25" t="str">
        <f>IFERROR(__xludf.DUMMYFUNCTION("""COMPUTED_VALUE"""),"BIODERMA SOLUTIONS (DENTAL)")</f>
        <v>BIODERMA SOLUTIONS (DENTAL)</v>
      </c>
    </row>
    <row r="488">
      <c r="H488" s="25" t="str">
        <f>IFERROR(__xludf.DUMMYFUNCTION("""COMPUTED_VALUE"""),"BIODERMA SOLUTIONS (MAIN)")</f>
        <v>BIODERMA SOLUTIONS (MAIN)</v>
      </c>
    </row>
    <row r="489">
      <c r="H489" s="25" t="str">
        <f>IFERROR(__xludf.DUMMYFUNCTION("""COMPUTED_VALUE"""),"BIOFORCE")</f>
        <v>BIOFORCE</v>
      </c>
    </row>
    <row r="490">
      <c r="H490" s="25" t="str">
        <f>IFERROR(__xludf.DUMMYFUNCTION("""COMPUTED_VALUE"""),"BIOFORD REMEDIES PVT LTD")</f>
        <v>BIOFORD REMEDIES PVT LTD</v>
      </c>
    </row>
    <row r="491">
      <c r="H491" s="25" t="str">
        <f>IFERROR(__xludf.DUMMYFUNCTION("""COMPUTED_VALUE"""),"BIOGEN HEALTH CARE")</f>
        <v>BIOGEN HEALTH CARE</v>
      </c>
    </row>
    <row r="492">
      <c r="H492" s="25" t="str">
        <f>IFERROR(__xludf.DUMMYFUNCTION("""COMPUTED_VALUE"""),"Biogen Idec India")</f>
        <v>Biogen Idec India</v>
      </c>
    </row>
    <row r="493">
      <c r="H493" s="25" t="str">
        <f>IFERROR(__xludf.DUMMYFUNCTION("""COMPUTED_VALUE"""),"BIOGENOMICS LIMITED")</f>
        <v>BIOGENOMICS LIMITED</v>
      </c>
    </row>
    <row r="494">
      <c r="H494" s="25" t="str">
        <f>IFERROR(__xludf.DUMMYFUNCTION("""COMPUTED_VALUE"""),"BIOGRACE PHARMA")</f>
        <v>BIOGRACE PHARMA</v>
      </c>
    </row>
    <row r="495">
      <c r="H495" s="25" t="str">
        <f>IFERROR(__xludf.DUMMYFUNCTION("""COMPUTED_VALUE"""),"BIOKINDLE LIFESCIENCES")</f>
        <v>BIOKINDLE LIFESCIENCES</v>
      </c>
    </row>
    <row r="496">
      <c r="H496" s="25" t="str">
        <f>IFERROR(__xludf.DUMMYFUNCTION("""COMPUTED_VALUE"""),"BIOLIFE")</f>
        <v>BIOLIFE</v>
      </c>
    </row>
    <row r="497">
      <c r="H497" s="25" t="str">
        <f>IFERROR(__xludf.DUMMYFUNCTION("""COMPUTED_VALUE"""),"Biological E Ltd")</f>
        <v>Biological E Ltd</v>
      </c>
    </row>
    <row r="498">
      <c r="H498" s="25" t="str">
        <f>IFERROR(__xludf.DUMMYFUNCTION("""COMPUTED_VALUE"""),"BIOMAX BIOTECHNICS")</f>
        <v>BIOMAX BIOTECHNICS</v>
      </c>
    </row>
    <row r="499">
      <c r="H499" s="25" t="str">
        <f>IFERROR(__xludf.DUMMYFUNCTION("""COMPUTED_VALUE"""),"BIOMEDICA INTERNATIONAL")</f>
        <v>BIOMEDICA INTERNATIONAL</v>
      </c>
    </row>
    <row r="500">
      <c r="H500" s="25" t="str">
        <f>IFERROR(__xludf.DUMMYFUNCTION("""COMPUTED_VALUE"""),"BIOMI LIFE SCIENCES")</f>
        <v>BIOMI LIFE SCIENCES</v>
      </c>
    </row>
    <row r="501">
      <c r="H501" s="25" t="str">
        <f>IFERROR(__xludf.DUMMYFUNCTION("""COMPUTED_VALUE"""),"BION HEALTHCARE PVT LTD")</f>
        <v>BION HEALTHCARE PVT LTD</v>
      </c>
    </row>
    <row r="502">
      <c r="H502" s="25" t="str">
        <f>IFERROR(__xludf.DUMMYFUNCTION("""COMPUTED_VALUE"""),"BION HEALTHCARE PVT LTD (OCTALIFE)")</f>
        <v>BION HEALTHCARE PVT LTD (OCTALIFE)</v>
      </c>
    </row>
    <row r="503">
      <c r="H503" s="25" t="str">
        <f>IFERROR(__xludf.DUMMYFUNCTION("""COMPUTED_VALUE"""),"BION HEALTHCARE PVT LTD (TRULAM)")</f>
        <v>BION HEALTHCARE PVT LTD (TRULAM)</v>
      </c>
    </row>
    <row r="504">
      <c r="H504" s="25" t="str">
        <f>IFERROR(__xludf.DUMMYFUNCTION("""COMPUTED_VALUE"""),"BIONOMICS")</f>
        <v>BIONOMICS</v>
      </c>
    </row>
    <row r="505">
      <c r="H505" s="25" t="str">
        <f>IFERROR(__xludf.DUMMYFUNCTION("""COMPUTED_VALUE"""),"BIONOVA (MAXNOVA)")</f>
        <v>BIONOVA (MAXNOVA)</v>
      </c>
    </row>
    <row r="506">
      <c r="H506" s="25" t="str">
        <f>IFERROR(__xludf.DUMMYFUNCTION("""COMPUTED_VALUE"""),"BIONOVA PHARMACEUTICALS")</f>
        <v>BIONOVA PHARMACEUTICALS</v>
      </c>
    </row>
    <row r="507">
      <c r="H507" s="25" t="str">
        <f>IFERROR(__xludf.DUMMYFUNCTION("""COMPUTED_VALUE"""),"BIONOVICS PHARMACEUTICALS PVT LTD")</f>
        <v>BIONOVICS PHARMACEUTICALS PVT LTD</v>
      </c>
    </row>
    <row r="508">
      <c r="H508" s="25" t="str">
        <f>IFERROR(__xludf.DUMMYFUNCTION("""COMPUTED_VALUE"""),"BIONOVO REMEDIES")</f>
        <v>BIONOVO REMEDIES</v>
      </c>
    </row>
    <row r="509">
      <c r="H509" s="25" t="str">
        <f>IFERROR(__xludf.DUMMYFUNCTION("""COMPUTED_VALUE"""),"BIOPHAR LIFESCIENCES")</f>
        <v>BIOPHAR LIFESCIENCES</v>
      </c>
    </row>
    <row r="510">
      <c r="H510" s="25" t="str">
        <f>IFERROR(__xludf.DUMMYFUNCTION("""COMPUTED_VALUE"""),"BIOPHARM GROUP")</f>
        <v>BIOPHARM GROUP</v>
      </c>
    </row>
    <row r="511">
      <c r="H511" s="25" t="str">
        <f>IFERROR(__xludf.DUMMYFUNCTION("""COMPUTED_VALUE"""),"BIOS (HOMEO)")</f>
        <v>BIOS (HOMEO)</v>
      </c>
    </row>
    <row r="512">
      <c r="H512" s="25" t="str">
        <f>IFERROR(__xludf.DUMMYFUNCTION("""COMPUTED_VALUE"""),"BIOSAFE LIFECARE P LTD")</f>
        <v>BIOSAFE LIFECARE P LTD</v>
      </c>
    </row>
    <row r="513">
      <c r="H513" s="25" t="str">
        <f>IFERROR(__xludf.DUMMYFUNCTION("""COMPUTED_VALUE"""),"BIOSAP")</f>
        <v>BIOSAP</v>
      </c>
    </row>
    <row r="514">
      <c r="H514" s="25" t="str">
        <f>IFERROR(__xludf.DUMMYFUNCTION("""COMPUTED_VALUE"""),"BIOSCIENCE HEALTHCARE")</f>
        <v>BIOSCIENCE HEALTHCARE</v>
      </c>
    </row>
    <row r="515">
      <c r="H515" s="25" t="str">
        <f>IFERROR(__xludf.DUMMYFUNCTION("""COMPUTED_VALUE"""),"BIOSHIELDS")</f>
        <v>BIOSHIELDS</v>
      </c>
    </row>
    <row r="516">
      <c r="H516" s="25" t="str">
        <f>IFERROR(__xludf.DUMMYFUNCTION("""COMPUTED_VALUE"""),"BIOSLAB")</f>
        <v>BIOSLAB</v>
      </c>
    </row>
    <row r="517">
      <c r="H517" s="25" t="str">
        <f>IFERROR(__xludf.DUMMYFUNCTION("""COMPUTED_VALUE"""),"BIOSTADT INDIA LIMITED")</f>
        <v>BIOSTADT INDIA LIMITED</v>
      </c>
    </row>
    <row r="518">
      <c r="H518" s="25" t="str">
        <f>IFERROR(__xludf.DUMMYFUNCTION("""COMPUTED_VALUE"""),"BIOSTAR PHARMACEUTICALS")</f>
        <v>BIOSTAR PHARMACEUTICALS</v>
      </c>
    </row>
    <row r="519">
      <c r="H519" s="25" t="str">
        <f>IFERROR(__xludf.DUMMYFUNCTION("""COMPUTED_VALUE"""),"BIOSUR PHARMA")</f>
        <v>BIOSUR PHARMA</v>
      </c>
    </row>
    <row r="520">
      <c r="H520" s="25" t="str">
        <f>IFERROR(__xludf.DUMMYFUNCTION("""COMPUTED_VALUE"""),"BIOSURE PHARMA")</f>
        <v>BIOSURE PHARMA</v>
      </c>
    </row>
    <row r="521">
      <c r="H521" s="25" t="str">
        <f>IFERROR(__xludf.DUMMYFUNCTION("""COMPUTED_VALUE"""),"BIOSYNERGY LIFECARE PVT LTD")</f>
        <v>BIOSYNERGY LIFECARE PVT LTD</v>
      </c>
    </row>
    <row r="522">
      <c r="H522" s="25" t="str">
        <f>IFERROR(__xludf.DUMMYFUNCTION("""COMPUTED_VALUE"""),"BIOTA REMEDIES")</f>
        <v>BIOTA REMEDIES</v>
      </c>
    </row>
    <row r="523">
      <c r="H523" s="25" t="str">
        <f>IFERROR(__xludf.DUMMYFUNCTION("""COMPUTED_VALUE"""),"BIOTEST PHARMA")</f>
        <v>BIOTEST PHARMA</v>
      </c>
    </row>
    <row r="524">
      <c r="H524" s="25" t="str">
        <f>IFERROR(__xludf.DUMMYFUNCTION("""COMPUTED_VALUE"""),"BIOVALENCE")</f>
        <v>BIOVALENCE</v>
      </c>
    </row>
    <row r="525">
      <c r="H525" s="25" t="str">
        <f>IFERROR(__xludf.DUMMYFUNCTION("""COMPUTED_VALUE"""),"BIOVERVE PHARMACEUTICALS")</f>
        <v>BIOVERVE PHARMACEUTICALS</v>
      </c>
    </row>
    <row r="526">
      <c r="H526" s="25" t="str">
        <f>IFERROR(__xludf.DUMMYFUNCTION("""COMPUTED_VALUE"""),"BIOVIZ TECHNOLOGIES")</f>
        <v>BIOVIZ TECHNOLOGIES</v>
      </c>
    </row>
    <row r="527">
      <c r="H527" s="25" t="str">
        <f>IFERROR(__xludf.DUMMYFUNCTION("""COMPUTED_VALUE"""),"BIOWIN HEALTHCARE")</f>
        <v>BIOWIN HEALTHCARE</v>
      </c>
    </row>
    <row r="528">
      <c r="H528" s="25" t="str">
        <f>IFERROR(__xludf.DUMMYFUNCTION("""COMPUTED_VALUE"""),"BIOZEN HEALTHCARE")</f>
        <v>BIOZEN HEALTHCARE</v>
      </c>
    </row>
    <row r="529">
      <c r="H529" s="25" t="str">
        <f>IFERROR(__xludf.DUMMYFUNCTION("""COMPUTED_VALUE"""),"BIOZEN PHARMACEUTICALS")</f>
        <v>BIOZEN PHARMACEUTICALS</v>
      </c>
    </row>
    <row r="530">
      <c r="H530" s="25" t="str">
        <f>IFERROR(__xludf.DUMMYFUNCTION("""COMPUTED_VALUE"""),"BISANI PHARMACEUTICS")</f>
        <v>BISANI PHARMACEUTICS</v>
      </c>
    </row>
    <row r="531">
      <c r="H531" s="25" t="str">
        <f>IFERROR(__xludf.DUMMYFUNCTION("""COMPUTED_VALUE"""),"BITTU PHARMACEUTICALS")</f>
        <v>BITTU PHARMACEUTICALS</v>
      </c>
    </row>
    <row r="532">
      <c r="H532" s="25" t="str">
        <f>IFERROR(__xludf.DUMMYFUNCTION("""COMPUTED_VALUE"""),"BLISS CHEMICAL &amp; PHARMA")</f>
        <v>BLISS CHEMICAL &amp; PHARMA</v>
      </c>
    </row>
    <row r="533">
      <c r="H533" s="25" t="str">
        <f>IFERROR(__xludf.DUMMYFUNCTION("""COMPUTED_VALUE"""),"BLISSON (MEDICA)")</f>
        <v>BLISSON (MEDICA)</v>
      </c>
    </row>
    <row r="534">
      <c r="H534" s="25" t="str">
        <f>IFERROR(__xludf.DUMMYFUNCTION("""COMPUTED_VALUE"""),"BLISSON (MEDIPLUS)")</f>
        <v>BLISSON (MEDIPLUS)</v>
      </c>
    </row>
    <row r="535">
      <c r="H535" s="25" t="str">
        <f>IFERROR(__xludf.DUMMYFUNCTION("""COMPUTED_VALUE"""),"Blubell Pharma")</f>
        <v>Blubell Pharma</v>
      </c>
    </row>
    <row r="536">
      <c r="H536" s="25" t="str">
        <f>IFERROR(__xludf.DUMMYFUNCTION("""COMPUTED_VALUE"""),"BLUE CROSS (EXCEL)")</f>
        <v>BLUE CROSS (EXCEL)</v>
      </c>
    </row>
    <row r="537">
      <c r="H537" s="25" t="str">
        <f>IFERROR(__xludf.DUMMYFUNCTION("""COMPUTED_VALUE"""),"Blue Cross Laboratories Ltd")</f>
        <v>Blue Cross Laboratories Ltd</v>
      </c>
    </row>
    <row r="538">
      <c r="H538" s="25" t="str">
        <f>IFERROR(__xludf.DUMMYFUNCTION("""COMPUTED_VALUE"""),"BLUECELL HEALTHCARE SOLUTIONS")</f>
        <v>BLUECELL HEALTHCARE SOLUTIONS</v>
      </c>
    </row>
    <row r="539">
      <c r="H539" s="25" t="str">
        <f>IFERROR(__xludf.DUMMYFUNCTION("""COMPUTED_VALUE"""),"BLUEDROP LIFESCIENCE")</f>
        <v>BLUEDROP LIFESCIENCE</v>
      </c>
    </row>
    <row r="540">
      <c r="H540" s="25" t="str">
        <f>IFERROR(__xludf.DUMMYFUNCTION("""COMPUTED_VALUE"""),"BMA (OP)")</f>
        <v>BMA (OP)</v>
      </c>
    </row>
    <row r="541">
      <c r="H541" s="25" t="str">
        <f>IFERROR(__xludf.DUMMYFUNCTION("""COMPUTED_VALUE"""),"BMW PHARMACO")</f>
        <v>BMW PHARMACO</v>
      </c>
    </row>
    <row r="542">
      <c r="H542" s="25" t="str">
        <f>IFERROR(__xludf.DUMMYFUNCTION("""COMPUTED_VALUE"""),"Boehringer Ingelheim")</f>
        <v>Boehringer Ingelheim</v>
      </c>
    </row>
    <row r="543">
      <c r="H543" s="25" t="str">
        <f>IFERROR(__xludf.DUMMYFUNCTION("""COMPUTED_VALUE"""),"Boehringer Ingelheim (CARDIO)")</f>
        <v>Boehringer Ingelheim (CARDIO)</v>
      </c>
    </row>
    <row r="544">
      <c r="H544" s="25" t="str">
        <f>IFERROR(__xludf.DUMMYFUNCTION("""COMPUTED_VALUE"""),"Boehringer Ingelheim (DIABETES)")</f>
        <v>Boehringer Ingelheim (DIABETES)</v>
      </c>
    </row>
    <row r="545">
      <c r="H545" s="25" t="str">
        <f>IFERROR(__xludf.DUMMYFUNCTION("""COMPUTED_VALUE"""),"BONDANE PHARMA")</f>
        <v>BONDANE PHARMA</v>
      </c>
    </row>
    <row r="546">
      <c r="H546" s="25" t="str">
        <f>IFERROR(__xludf.DUMMYFUNCTION("""COMPUTED_VALUE"""),"BONNY BABY CARE PVT LTD")</f>
        <v>BONNY BABY CARE PVT LTD</v>
      </c>
    </row>
    <row r="547">
      <c r="H547" s="25" t="str">
        <f>IFERROR(__xludf.DUMMYFUNCTION("""COMPUTED_VALUE"""),"BONSAI PHARMA")</f>
        <v>BONSAI PHARMA</v>
      </c>
    </row>
    <row r="548">
      <c r="H548" s="25" t="str">
        <f>IFERROR(__xludf.DUMMYFUNCTION("""COMPUTED_VALUE"""),"BOOLEAN PHARMACEUTICAL")</f>
        <v>BOOLEAN PHARMACEUTICAL</v>
      </c>
    </row>
    <row r="549">
      <c r="H549" s="25" t="str">
        <f>IFERROR(__xludf.DUMMYFUNCTION("""COMPUTED_VALUE"""),"BOOTS LIFESCIENCES LTD")</f>
        <v>BOOTS LIFESCIENCES LTD</v>
      </c>
    </row>
    <row r="550">
      <c r="H550" s="25" t="str">
        <f>IFERROR(__xludf.DUMMYFUNCTION("""COMPUTED_VALUE"""),"Brawn Laboratories Ltd")</f>
        <v>Brawn Laboratories Ltd</v>
      </c>
    </row>
    <row r="551">
      <c r="H551" s="25" t="str">
        <f>IFERROR(__xludf.DUMMYFUNCTION("""COMPUTED_VALUE"""),"BRIGHT LIFECARE PVT LTD (TRUEBASICS)")</f>
        <v>BRIGHT LIFECARE PVT LTD (TRUEBASICS)</v>
      </c>
    </row>
    <row r="552">
      <c r="H552" s="25" t="str">
        <f>IFERROR(__xludf.DUMMYFUNCTION("""COMPUTED_VALUE"""),"BRIHANS NATURAL PRODUCTS")</f>
        <v>BRIHANS NATURAL PRODUCTS</v>
      </c>
    </row>
    <row r="553">
      <c r="H553" s="25" t="str">
        <f>IFERROR(__xludf.DUMMYFUNCTION("""COMPUTED_VALUE"""),"BRIJ HONEY LABORATORY")</f>
        <v>BRIJ HONEY LABORATORY</v>
      </c>
    </row>
    <row r="554">
      <c r="H554" s="25" t="str">
        <f>IFERROR(__xludf.DUMMYFUNCTION("""COMPUTED_VALUE"""),"BRINTON (FALCON)")</f>
        <v>BRINTON (FALCON)</v>
      </c>
    </row>
    <row r="555">
      <c r="H555" s="25" t="str">
        <f>IFERROR(__xludf.DUMMYFUNCTION("""COMPUTED_VALUE"""),"BRINTON (HAWKS)")</f>
        <v>BRINTON (HAWKS)</v>
      </c>
    </row>
    <row r="556">
      <c r="H556" s="25" t="str">
        <f>IFERROR(__xludf.DUMMYFUNCTION("""COMPUTED_VALUE"""),"BRINTON (HEALTHCARE)")</f>
        <v>BRINTON (HEALTHCARE)</v>
      </c>
    </row>
    <row r="557">
      <c r="H557" s="25" t="str">
        <f>IFERROR(__xludf.DUMMYFUNCTION("""COMPUTED_VALUE"""),"BRINTON (PED)")</f>
        <v>BRINTON (PED)</v>
      </c>
    </row>
    <row r="558">
      <c r="H558" s="25" t="str">
        <f>IFERROR(__xludf.DUMMYFUNCTION("""COMPUTED_VALUE"""),"Brinton Pharmaceuticals Pvt Ltd")</f>
        <v>Brinton Pharmaceuticals Pvt Ltd</v>
      </c>
    </row>
    <row r="559">
      <c r="H559" s="25" t="str">
        <f>IFERROR(__xludf.DUMMYFUNCTION("""COMPUTED_VALUE"""),"BRIO BLISS LIFE SCIENCE (ALPINO)")</f>
        <v>BRIO BLISS LIFE SCIENCE (ALPINO)</v>
      </c>
    </row>
    <row r="560">
      <c r="H560" s="25" t="str">
        <f>IFERROR(__xludf.DUMMYFUNCTION("""COMPUTED_VALUE"""),"BRIO BLISS LIFE SCIENCE (ANGELO)")</f>
        <v>BRIO BLISS LIFE SCIENCE (ANGELO)</v>
      </c>
    </row>
    <row r="561">
      <c r="H561" s="25" t="str">
        <f>IFERROR(__xludf.DUMMYFUNCTION("""COMPUTED_VALUE"""),"BRIO BLISS LIFE SCIENCE (BAMBINO)")</f>
        <v>BRIO BLISS LIFE SCIENCE (BAMBINO)</v>
      </c>
    </row>
    <row r="562">
      <c r="H562" s="25" t="str">
        <f>IFERROR(__xludf.DUMMYFUNCTION("""COMPUTED_VALUE"""),"BRISTOL MAYER SQUIBB")</f>
        <v>BRISTOL MAYER SQUIBB</v>
      </c>
    </row>
    <row r="563">
      <c r="H563" s="25" t="str">
        <f>IFERROR(__xludf.DUMMYFUNCTION("""COMPUTED_VALUE"""),"British Biologicals")</f>
        <v>British Biologicals</v>
      </c>
    </row>
    <row r="564">
      <c r="H564" s="25" t="str">
        <f>IFERROR(__xludf.DUMMYFUNCTION("""COMPUTED_VALUE"""),"British Life Science")</f>
        <v>British Life Science</v>
      </c>
    </row>
    <row r="565">
      <c r="H565" s="25" t="str">
        <f>IFERROR(__xludf.DUMMYFUNCTION("""COMPUTED_VALUE"""),"Brooks Pharmaceuticals")</f>
        <v>Brooks Pharmaceuticals</v>
      </c>
    </row>
    <row r="566">
      <c r="H566" s="25" t="str">
        <f>IFERROR(__xludf.DUMMYFUNCTION("""COMPUTED_VALUE"""),"BROSTIN SEIZZ BIOCARE")</f>
        <v>BROSTIN SEIZZ BIOCARE</v>
      </c>
    </row>
    <row r="567">
      <c r="H567" s="25" t="str">
        <f>IFERROR(__xludf.DUMMYFUNCTION("""COMPUTED_VALUE"""),"BRPL")</f>
        <v>BRPL</v>
      </c>
    </row>
    <row r="568">
      <c r="H568" s="25" t="str">
        <f>IFERROR(__xludf.DUMMYFUNCTION("""COMPUTED_VALUE"""),"BRYSON PHARMACEUTICAL")</f>
        <v>BRYSON PHARMACEUTICAL</v>
      </c>
    </row>
    <row r="569">
      <c r="H569" s="25" t="str">
        <f>IFERROR(__xludf.DUMMYFUNCTION("""COMPUTED_VALUE"""),"BTM LIFESCIENCES")</f>
        <v>BTM LIFESCIENCES</v>
      </c>
    </row>
    <row r="570">
      <c r="H570" s="25" t="str">
        <f>IFERROR(__xludf.DUMMYFUNCTION("""COMPUTED_VALUE"""),"BULLFORD PHARMACEUTICALS")</f>
        <v>BULLFORD PHARMACEUTICALS</v>
      </c>
    </row>
    <row r="571">
      <c r="H571" s="25" t="str">
        <f>IFERROR(__xludf.DUMMYFUNCTION("""COMPUTED_VALUE"""),"BURGEON PHARMACEUTICALS")</f>
        <v>BURGEON PHARMACEUTICALS</v>
      </c>
    </row>
    <row r="572">
      <c r="H572" s="25" t="str">
        <f>IFERROR(__xludf.DUMMYFUNCTION("""COMPUTED_VALUE"""),"BUSHWELL P LTD")</f>
        <v>BUSHWELL P LTD</v>
      </c>
    </row>
    <row r="573">
      <c r="H573" s="25" t="str">
        <f>IFERROR(__xludf.DUMMYFUNCTION("""COMPUTED_VALUE"""),"CA RETRANS 10MG")</f>
        <v>CA RETRANS 10MG</v>
      </c>
    </row>
    <row r="574">
      <c r="H574" s="25" t="str">
        <f>IFERROR(__xludf.DUMMYFUNCTION("""COMPUTED_VALUE"""),"Cachet Pharmaceuticals Ltd.")</f>
        <v>Cachet Pharmaceuticals Ltd.</v>
      </c>
    </row>
    <row r="575">
      <c r="H575" s="25" t="str">
        <f>IFERROR(__xludf.DUMMYFUNCTION("""COMPUTED_VALUE"""),"Cachet Pharmaceuticals Pvt Ltd")</f>
        <v>Cachet Pharmaceuticals Pvt Ltd</v>
      </c>
    </row>
    <row r="576">
      <c r="H576" s="25" t="str">
        <f>IFERROR(__xludf.DUMMYFUNCTION("""COMPUTED_VALUE"""),"CADEX LABORATORIES")</f>
        <v>CADEX LABORATORIES</v>
      </c>
    </row>
    <row r="577">
      <c r="H577" s="25" t="str">
        <f>IFERROR(__xludf.DUMMYFUNCTION("""COMPUTED_VALUE"""),"CADICO REMEDIES")</f>
        <v>CADICO REMEDIES</v>
      </c>
    </row>
    <row r="578">
      <c r="H578" s="25" t="str">
        <f>IFERROR(__xludf.DUMMYFUNCTION("""COMPUTED_VALUE"""),"CADILA (DERMA)")</f>
        <v>CADILA (DERMA)</v>
      </c>
    </row>
    <row r="579">
      <c r="H579" s="25" t="str">
        <f>IFERROR(__xludf.DUMMYFUNCTION("""COMPUTED_VALUE"""),"CADILA (GENERIC)")</f>
        <v>CADILA (GENERIC)</v>
      </c>
    </row>
    <row r="580">
      <c r="H580" s="25" t="str">
        <f>IFERROR(__xludf.DUMMYFUNCTION("""COMPUTED_VALUE"""),"CADILA (MAGFAM)")</f>
        <v>CADILA (MAGFAM)</v>
      </c>
    </row>
    <row r="581">
      <c r="H581" s="25" t="str">
        <f>IFERROR(__xludf.DUMMYFUNCTION("""COMPUTED_VALUE"""),"CADILA (MAGNN WAVE)")</f>
        <v>CADILA (MAGNN WAVE)</v>
      </c>
    </row>
    <row r="582">
      <c r="H582" s="25" t="str">
        <f>IFERROR(__xludf.DUMMYFUNCTION("""COMPUTED_VALUE"""),"CADILA (VOLTA)")</f>
        <v>CADILA (VOLTA)</v>
      </c>
    </row>
    <row r="583">
      <c r="H583" s="25" t="str">
        <f>IFERROR(__xludf.DUMMYFUNCTION("""COMPUTED_VALUE"""),"Cadila Healthcare Limited")</f>
        <v>Cadila Healthcare Limited</v>
      </c>
    </row>
    <row r="584">
      <c r="H584" s="25" t="str">
        <f>IFERROR(__xludf.DUMMYFUNCTION("""COMPUTED_VALUE"""),"CADILA PHARMA (IRM)")</f>
        <v>CADILA PHARMA (IRM)</v>
      </c>
    </row>
    <row r="585">
      <c r="H585" s="25" t="str">
        <f>IFERROR(__xludf.DUMMYFUNCTION("""COMPUTED_VALUE"""),"CADILA PHARMA(GERMAN-MAXX)")</f>
        <v>CADILA PHARMA(GERMAN-MAXX)</v>
      </c>
    </row>
    <row r="586">
      <c r="H586" s="25" t="str">
        <f>IFERROR(__xludf.DUMMYFUNCTION("""COMPUTED_VALUE"""),"Cadila Pharmaceuticals Ltd")</f>
        <v>Cadila Pharmaceuticals Ltd</v>
      </c>
    </row>
    <row r="587">
      <c r="H587" s="25" t="str">
        <f>IFERROR(__xludf.DUMMYFUNCTION("""COMPUTED_VALUE"""),"CADIZ LIFESCIENCE (LYKA NOVOGEN)")</f>
        <v>CADIZ LIFESCIENCE (LYKA NOVOGEN)</v>
      </c>
    </row>
    <row r="588">
      <c r="H588" s="25" t="str">
        <f>IFERROR(__xludf.DUMMYFUNCTION("""COMPUTED_VALUE"""),"CADMA BIOTECH")</f>
        <v>CADMA BIOTECH</v>
      </c>
    </row>
    <row r="589">
      <c r="H589" s="25" t="str">
        <f>IFERROR(__xludf.DUMMYFUNCTION("""COMPUTED_VALUE"""),"CADOMED PHARMACEUTICALS INDIA PVT LTD")</f>
        <v>CADOMED PHARMACEUTICALS INDIA PVT LTD</v>
      </c>
    </row>
    <row r="590">
      <c r="H590" s="25" t="str">
        <f>IFERROR(__xludf.DUMMYFUNCTION("""COMPUTED_VALUE"""),"Calix Health Care")</f>
        <v>Calix Health Care</v>
      </c>
    </row>
    <row r="591">
      <c r="H591" s="25" t="str">
        <f>IFERROR(__xludf.DUMMYFUNCTION("""COMPUTED_VALUE"""),"CAMRUT PHARMA")</f>
        <v>CAMRUT PHARMA</v>
      </c>
    </row>
    <row r="592">
      <c r="H592" s="25" t="str">
        <f>IFERROR(__xludf.DUMMYFUNCTION("""COMPUTED_VALUE"""),"CAN CARE BIOTECH")</f>
        <v>CAN CARE BIOTECH</v>
      </c>
    </row>
    <row r="593">
      <c r="H593" s="25" t="str">
        <f>IFERROR(__xludf.DUMMYFUNCTION("""COMPUTED_VALUE"""),"CANADIAN PHARMACEUTICALS")</f>
        <v>CANADIAN PHARMACEUTICALS</v>
      </c>
    </row>
    <row r="594">
      <c r="H594" s="25" t="str">
        <f>IFERROR(__xludf.DUMMYFUNCTION("""COMPUTED_VALUE"""),"Canixa Life Sciences Pvt")</f>
        <v>Canixa Life Sciences Pvt</v>
      </c>
    </row>
    <row r="595">
      <c r="H595" s="25" t="str">
        <f>IFERROR(__xludf.DUMMYFUNCTION("""COMPUTED_VALUE"""),"CAPLET INDIA PVT LTD")</f>
        <v>CAPLET INDIA PVT LTD</v>
      </c>
    </row>
    <row r="596">
      <c r="H596" s="25" t="str">
        <f>IFERROR(__xludf.DUMMYFUNCTION("""COMPUTED_VALUE"""),"CAPS PHARMA PVT LTD")</f>
        <v>CAPS PHARMA PVT LTD</v>
      </c>
    </row>
    <row r="597">
      <c r="H597" s="25" t="str">
        <f>IFERROR(__xludf.DUMMYFUNCTION("""COMPUTED_VALUE"""),"Captab Biotech")</f>
        <v>Captab Biotech</v>
      </c>
    </row>
    <row r="598">
      <c r="H598" s="25" t="str">
        <f>IFERROR(__xludf.DUMMYFUNCTION("""COMPUTED_VALUE"""),"CAPTO THERAPEUTICS")</f>
        <v>CAPTO THERAPEUTICS</v>
      </c>
    </row>
    <row r="599">
      <c r="H599" s="25" t="str">
        <f>IFERROR(__xludf.DUMMYFUNCTION("""COMPUTED_VALUE"""),"Care Biochemicals Pvt Ltd")</f>
        <v>Care Biochemicals Pvt Ltd</v>
      </c>
    </row>
    <row r="600">
      <c r="H600" s="25" t="str">
        <f>IFERROR(__xludf.DUMMYFUNCTION("""COMPUTED_VALUE"""),"CARE FORMULATION LABS PVT LTD")</f>
        <v>CARE FORMULATION LABS PVT LTD</v>
      </c>
    </row>
    <row r="601">
      <c r="H601" s="25" t="str">
        <f>IFERROR(__xludf.DUMMYFUNCTION("""COMPUTED_VALUE"""),"CARE GROUP")</f>
        <v>CARE GROUP</v>
      </c>
    </row>
    <row r="602">
      <c r="H602" s="25" t="str">
        <f>IFERROR(__xludf.DUMMYFUNCTION("""COMPUTED_VALUE"""),"CARE LIFESCIENCE")</f>
        <v>CARE LIFESCIENCE</v>
      </c>
    </row>
    <row r="603">
      <c r="H603" s="25" t="str">
        <f>IFERROR(__xludf.DUMMYFUNCTION("""COMPUTED_VALUE"""),"Care Pharma India Ltd")</f>
        <v>Care Pharma India Ltd</v>
      </c>
    </row>
    <row r="604">
      <c r="H604" s="25" t="str">
        <f>IFERROR(__xludf.DUMMYFUNCTION("""COMPUTED_VALUE"""),"CARE VISION")</f>
        <v>CARE VISION</v>
      </c>
    </row>
    <row r="605">
      <c r="H605" s="25" t="str">
        <f>IFERROR(__xludf.DUMMYFUNCTION("""COMPUTED_VALUE"""),"CAREMED PHARMA")</f>
        <v>CAREMED PHARMA</v>
      </c>
    </row>
    <row r="606">
      <c r="H606" s="25" t="str">
        <f>IFERROR(__xludf.DUMMYFUNCTION("""COMPUTED_VALUE"""),"CAREWELL PHARMACEUTICALS")</f>
        <v>CAREWELL PHARMACEUTICALS</v>
      </c>
    </row>
    <row r="607">
      <c r="H607" s="25" t="str">
        <f>IFERROR(__xludf.DUMMYFUNCTION("""COMPUTED_VALUE"""),"CARLTON")</f>
        <v>CARLTON</v>
      </c>
    </row>
    <row r="608">
      <c r="H608" s="25" t="str">
        <f>IFERROR(__xludf.DUMMYFUNCTION("""COMPUTED_VALUE"""),"CASCA REMEDIES PVT LTD")</f>
        <v>CASCA REMEDIES PVT LTD</v>
      </c>
    </row>
    <row r="609">
      <c r="H609" s="25" t="str">
        <f>IFERROR(__xludf.DUMMYFUNCTION("""COMPUTED_VALUE"""),"CAVIAR DERMA CARE")</f>
        <v>CAVIAR DERMA CARE</v>
      </c>
    </row>
    <row r="610">
      <c r="H610" s="25" t="str">
        <f>IFERROR(__xludf.DUMMYFUNCTION("""COMPUTED_VALUE"""),"CAVIN PHARMACEUTICALS")</f>
        <v>CAVIN PHARMACEUTICALS</v>
      </c>
    </row>
    <row r="611">
      <c r="H611" s="25" t="str">
        <f>IFERROR(__xludf.DUMMYFUNCTION("""COMPUTED_VALUE"""),"CCI PRODUCTS")</f>
        <v>CCI PRODUCTS</v>
      </c>
    </row>
    <row r="612">
      <c r="H612" s="25" t="str">
        <f>IFERROR(__xludf.DUMMYFUNCTION("""COMPUTED_VALUE"""),"CELAGENEX RESEARCH INDIA P LTD")</f>
        <v>CELAGENEX RESEARCH INDIA P LTD</v>
      </c>
    </row>
    <row r="613">
      <c r="H613" s="25" t="str">
        <f>IFERROR(__xludf.DUMMYFUNCTION("""COMPUTED_VALUE"""),"CELESTIAL PHARMA")</f>
        <v>CELESTIAL PHARMA</v>
      </c>
    </row>
    <row r="614">
      <c r="H614" s="25" t="str">
        <f>IFERROR(__xludf.DUMMYFUNCTION("""COMPUTED_VALUE"""),"CELON LABS")</f>
        <v>CELON LABS</v>
      </c>
    </row>
    <row r="615">
      <c r="H615" s="25" t="str">
        <f>IFERROR(__xludf.DUMMYFUNCTION("""COMPUTED_VALUE"""),"CELON LABS (EVALIFE)")</f>
        <v>CELON LABS (EVALIFE)</v>
      </c>
    </row>
    <row r="616">
      <c r="H616" s="25" t="str">
        <f>IFERROR(__xludf.DUMMYFUNCTION("""COMPUTED_VALUE"""),"CELON LABS (REVILON)")</f>
        <v>CELON LABS (REVILON)</v>
      </c>
    </row>
    <row r="617">
      <c r="H617" s="25" t="str">
        <f>IFERROR(__xludf.DUMMYFUNCTION("""COMPUTED_VALUE"""),"CELON LABS (UROLOGY &amp; NEPHRO)")</f>
        <v>CELON LABS (UROLOGY &amp; NEPHRO)</v>
      </c>
    </row>
    <row r="618">
      <c r="H618" s="25" t="str">
        <f>IFERROR(__xludf.DUMMYFUNCTION("""COMPUTED_VALUE"""),"CELON LABS (VIVILON)")</f>
        <v>CELON LABS (VIVILON)</v>
      </c>
    </row>
    <row r="619">
      <c r="H619" s="25" t="str">
        <f>IFERROR(__xludf.DUMMYFUNCTION("""COMPUTED_VALUE"""),"CELON LABS (VIVILON)")</f>
        <v>CELON LABS (VIVILON)</v>
      </c>
    </row>
    <row r="620">
      <c r="H620" s="25" t="str">
        <f>IFERROR(__xludf.DUMMYFUNCTION("""COMPUTED_VALUE"""),"CELSIUS HEALTHCARE")</f>
        <v>CELSIUS HEALTHCARE</v>
      </c>
    </row>
    <row r="621">
      <c r="H621" s="25" t="str">
        <f>IFERROR(__xludf.DUMMYFUNCTION("""COMPUTED_VALUE"""),"CENESYS CARE INDIA")</f>
        <v>CENESYS CARE INDIA</v>
      </c>
    </row>
    <row r="622">
      <c r="H622" s="25" t="str">
        <f>IFERROR(__xludf.DUMMYFUNCTION("""COMPUTED_VALUE"""),"CENOZOIC REMEDIES P LTD")</f>
        <v>CENOZOIC REMEDIES P LTD</v>
      </c>
    </row>
    <row r="623">
      <c r="H623" s="25" t="str">
        <f>IFERROR(__xludf.DUMMYFUNCTION("""COMPUTED_VALUE"""),"CENTAUR (ENT)")</f>
        <v>CENTAUR (ENT)</v>
      </c>
    </row>
    <row r="624">
      <c r="H624" s="25" t="str">
        <f>IFERROR(__xludf.DUMMYFUNCTION("""COMPUTED_VALUE"""),"CENTAUR (PRAGYA)")</f>
        <v>CENTAUR (PRAGYA)</v>
      </c>
    </row>
    <row r="625">
      <c r="H625" s="25" t="str">
        <f>IFERROR(__xludf.DUMMYFUNCTION("""COMPUTED_VALUE"""),"CENTAUR (SAKSHAM)")</f>
        <v>CENTAUR (SAKSHAM)</v>
      </c>
    </row>
    <row r="626">
      <c r="H626" s="25" t="str">
        <f>IFERROR(__xludf.DUMMYFUNCTION("""COMPUTED_VALUE"""),"CENTAUR (SAMRUDDHI)")</f>
        <v>CENTAUR (SAMRUDDHI)</v>
      </c>
    </row>
    <row r="627">
      <c r="H627" s="25" t="str">
        <f>IFERROR(__xludf.DUMMYFUNCTION("""COMPUTED_VALUE"""),"CENTAUR (SANKALP)")</f>
        <v>CENTAUR (SANKALP)</v>
      </c>
    </row>
    <row r="628">
      <c r="H628" s="25" t="str">
        <f>IFERROR(__xludf.DUMMYFUNCTION("""COMPUTED_VALUE"""),"CENTAUR (SARTHAK)")</f>
        <v>CENTAUR (SARTHAK)</v>
      </c>
    </row>
    <row r="629">
      <c r="H629" s="25" t="str">
        <f>IFERROR(__xludf.DUMMYFUNCTION("""COMPUTED_VALUE"""),"CENTAUR (SHASHVTA)")</f>
        <v>CENTAUR (SHASHVTA)</v>
      </c>
    </row>
    <row r="630">
      <c r="H630" s="25" t="str">
        <f>IFERROR(__xludf.DUMMYFUNCTION("""COMPUTED_VALUE"""),"Centaur Pharmaceuticals Pvt Ltd")</f>
        <v>Centaur Pharmaceuticals Pvt Ltd</v>
      </c>
    </row>
    <row r="631">
      <c r="H631" s="25" t="str">
        <f>IFERROR(__xludf.DUMMYFUNCTION("""COMPUTED_VALUE"""),"CENTURE (SAHAKALM)")</f>
        <v>CENTURE (SAHAKALM)</v>
      </c>
    </row>
    <row r="632">
      <c r="H632" s="25" t="str">
        <f>IFERROR(__xludf.DUMMYFUNCTION("""COMPUTED_VALUE"""),"CENTURY")</f>
        <v>CENTURY</v>
      </c>
    </row>
    <row r="633">
      <c r="H633" s="25" t="str">
        <f>IFERROR(__xludf.DUMMYFUNCTION("""COMPUTED_VALUE"""),"CENTURY DRUGS")</f>
        <v>CENTURY DRUGS</v>
      </c>
    </row>
    <row r="634">
      <c r="H634" s="25" t="str">
        <f>IFERROR(__xludf.DUMMYFUNCTION("""COMPUTED_VALUE"""),"CERAS PHARMACEUTICALS CHENNAI")</f>
        <v>CERAS PHARMACEUTICALS CHENNAI</v>
      </c>
    </row>
    <row r="635">
      <c r="H635" s="25" t="str">
        <f>IFERROR(__xludf.DUMMYFUNCTION("""COMPUTED_VALUE"""),"CERYS PHARMA")</f>
        <v>CERYS PHARMA</v>
      </c>
    </row>
    <row r="636">
      <c r="H636" s="25" t="str">
        <f>IFERROR(__xludf.DUMMYFUNCTION("""COMPUTED_VALUE"""),"CHAMBAL PHARMACY")</f>
        <v>CHAMBAL PHARMACY</v>
      </c>
    </row>
    <row r="637">
      <c r="H637" s="25" t="str">
        <f>IFERROR(__xludf.DUMMYFUNCTION("""COMPUTED_VALUE"""),"CHANDRA BHAGAT (DSIRE)")</f>
        <v>CHANDRA BHAGAT (DSIRE)</v>
      </c>
    </row>
    <row r="638">
      <c r="H638" s="25" t="str">
        <f>IFERROR(__xludf.DUMMYFUNCTION("""COMPUTED_VALUE"""),"CHANDRABHAGAT CORPN LTD")</f>
        <v>CHANDRABHAGAT CORPN LTD</v>
      </c>
    </row>
    <row r="639">
      <c r="H639" s="25" t="str">
        <f>IFERROR(__xludf.DUMMYFUNCTION("""COMPUTED_VALUE"""),"CHANDRASHRI LABORATORES")</f>
        <v>CHANDRASHRI LABORATORES</v>
      </c>
    </row>
    <row r="640">
      <c r="H640" s="25" t="str">
        <f>IFERROR(__xludf.DUMMYFUNCTION("""COMPUTED_VALUE"""),"Charak Pharma Pvt Ltd")</f>
        <v>Charak Pharma Pvt Ltd</v>
      </c>
    </row>
    <row r="641">
      <c r="H641" s="25" t="str">
        <f>IFERROR(__xludf.DUMMYFUNCTION("""COMPUTED_VALUE"""),"Charak Pharma Pvt. Ltd.")</f>
        <v>Charak Pharma Pvt. Ltd.</v>
      </c>
    </row>
    <row r="642">
      <c r="H642" s="25" t="str">
        <f>IFERROR(__xludf.DUMMYFUNCTION("""COMPUTED_VALUE"""),"Chaturbhuj Pharma")</f>
        <v>Chaturbhuj Pharma</v>
      </c>
    </row>
    <row r="643">
      <c r="H643" s="25" t="str">
        <f>IFERROR(__xludf.DUMMYFUNCTION("""COMPUTED_VALUE"""),"CHEK MED PHARMA")</f>
        <v>CHEK MED PHARMA</v>
      </c>
    </row>
    <row r="644">
      <c r="H644" s="25" t="str">
        <f>IFERROR(__xludf.DUMMYFUNCTION("""COMPUTED_VALUE"""),"CHEMACK LAB")</f>
        <v>CHEMACK LAB</v>
      </c>
    </row>
    <row r="645">
      <c r="H645" s="25" t="str">
        <f>IFERROR(__xludf.DUMMYFUNCTION("""COMPUTED_VALUE"""),"CHEMICARE REMEDIES")</f>
        <v>CHEMICARE REMEDIES</v>
      </c>
    </row>
    <row r="646">
      <c r="H646" s="25" t="str">
        <f>IFERROR(__xludf.DUMMYFUNCTION("""COMPUTED_VALUE"""),"CHEMICARE REMEDIES PVT LTD")</f>
        <v>CHEMICARE REMEDIES PVT LTD</v>
      </c>
    </row>
    <row r="647">
      <c r="H647" s="25" t="str">
        <f>IFERROR(__xludf.DUMMYFUNCTION("""COMPUTED_VALUE"""),"CHEMINNOVA LIFE SCIENCES")</f>
        <v>CHEMINNOVA LIFE SCIENCES</v>
      </c>
    </row>
    <row r="648">
      <c r="H648" s="25" t="str">
        <f>IFERROR(__xludf.DUMMYFUNCTION("""COMPUTED_VALUE"""),"Chemo Biological")</f>
        <v>Chemo Biological</v>
      </c>
    </row>
    <row r="649">
      <c r="H649" s="25" t="str">
        <f>IFERROR(__xludf.DUMMYFUNCTION("""COMPUTED_VALUE"""),"CHEMO HEALTH CARE")</f>
        <v>CHEMO HEALTH CARE</v>
      </c>
    </row>
    <row r="650">
      <c r="H650" s="25" t="str">
        <f>IFERROR(__xludf.DUMMYFUNCTION("""COMPUTED_VALUE"""),"CHINA HERBALS")</f>
        <v>CHINA HERBALS</v>
      </c>
    </row>
    <row r="651">
      <c r="H651" s="25" t="str">
        <f>IFERROR(__xludf.DUMMYFUNCTION("""COMPUTED_VALUE"""),"CHIRAYU PHARMACEUTICALS")</f>
        <v>CHIRAYU PHARMACEUTICALS</v>
      </c>
    </row>
    <row r="652">
      <c r="H652" s="25" t="str">
        <f>IFERROR(__xludf.DUMMYFUNCTION("""COMPUTED_VALUE"""),"CHIRON BEHRING VACCINES PVT LTD")</f>
        <v>CHIRON BEHRING VACCINES PVT LTD</v>
      </c>
    </row>
    <row r="653">
      <c r="H653" s="25" t="str">
        <f>IFERROR(__xludf.DUMMYFUNCTION("""COMPUTED_VALUE"""),"CHROMOSOM INDIA")</f>
        <v>CHROMOSOM INDIA</v>
      </c>
    </row>
    <row r="654">
      <c r="H654" s="25" t="str">
        <f>IFERROR(__xludf.DUMMYFUNCTION("""COMPUTED_VALUE"""),"CHRONICLES DRUGS &amp; CHEMICALS PVT LTD")</f>
        <v>CHRONICLES DRUGS &amp; CHEMICALS PVT LTD</v>
      </c>
    </row>
    <row r="655">
      <c r="H655" s="25" t="str">
        <f>IFERROR(__xludf.DUMMYFUNCTION("""COMPUTED_VALUE"""),"CIAGA PHARMA")</f>
        <v>CIAGA PHARMA</v>
      </c>
    </row>
    <row r="656">
      <c r="H656" s="25" t="str">
        <f>IFERROR(__xludf.DUMMYFUNCTION("""COMPUTED_VALUE"""),"CIAN HEALTHCARE P LTD")</f>
        <v>CIAN HEALTHCARE P LTD</v>
      </c>
    </row>
    <row r="657">
      <c r="H657" s="25" t="str">
        <f>IFERROR(__xludf.DUMMYFUNCTION("""COMPUTED_VALUE"""),"CIPCO PHARMA")</f>
        <v>CIPCO PHARMA</v>
      </c>
    </row>
    <row r="658">
      <c r="H658" s="25" t="str">
        <f>IFERROR(__xludf.DUMMYFUNCTION("""COMPUTED_VALUE"""),"CIPLA (CRESTA)")</f>
        <v>CIPLA (CRESTA)</v>
      </c>
    </row>
    <row r="659">
      <c r="H659" s="25" t="str">
        <f>IFERROR(__xludf.DUMMYFUNCTION("""COMPUTED_VALUE"""),"CIPLA (CRITICAL CARE)")</f>
        <v>CIPLA (CRITICAL CARE)</v>
      </c>
    </row>
    <row r="660">
      <c r="H660" s="25" t="str">
        <f>IFERROR(__xludf.DUMMYFUNCTION("""COMPUTED_VALUE"""),"CIPLA (FORESIGHT)")</f>
        <v>CIPLA (FORESIGHT)</v>
      </c>
    </row>
    <row r="661">
      <c r="H661" s="25" t="str">
        <f>IFERROR(__xludf.DUMMYFUNCTION("""COMPUTED_VALUE"""),"CIPLA (GENERIC)")</f>
        <v>CIPLA (GENERIC)</v>
      </c>
    </row>
    <row r="662">
      <c r="H662" s="25" t="str">
        <f>IFERROR(__xludf.DUMMYFUNCTION("""COMPUTED_VALUE"""),"CIPLA (HEPATOLOGY)")</f>
        <v>CIPLA (HEPATOLOGY)</v>
      </c>
    </row>
    <row r="663">
      <c r="H663" s="25" t="str">
        <f>IFERROR(__xludf.DUMMYFUNCTION("""COMPUTED_VALUE"""),"CIPLA (HIV)")</f>
        <v>CIPLA (HIV)</v>
      </c>
    </row>
    <row r="664">
      <c r="H664" s="25" t="str">
        <f>IFERROR(__xludf.DUMMYFUNCTION("""COMPUTED_VALUE"""),"CIPLA (IMPULSE)")</f>
        <v>CIPLA (IMPULSE)</v>
      </c>
    </row>
    <row r="665">
      <c r="H665" s="25" t="str">
        <f>IFERROR(__xludf.DUMMYFUNCTION("""COMPUTED_VALUE"""),"CIPLA (INSPIRA)")</f>
        <v>CIPLA (INSPIRA)</v>
      </c>
    </row>
    <row r="666">
      <c r="H666" s="25" t="str">
        <f>IFERROR(__xludf.DUMMYFUNCTION("""COMPUTED_VALUE"""),"CIPLA (LIFE CARE)")</f>
        <v>CIPLA (LIFE CARE)</v>
      </c>
    </row>
    <row r="667">
      <c r="H667" s="25" t="str">
        <f>IFERROR(__xludf.DUMMYFUNCTION("""COMPUTED_VALUE"""),"CIPLA (LUCENTA)")</f>
        <v>CIPLA (LUCENTA)</v>
      </c>
    </row>
    <row r="668">
      <c r="H668" s="25" t="str">
        <f>IFERROR(__xludf.DUMMYFUNCTION("""COMPUTED_VALUE"""),"CIPLA (NEPHMUN)")</f>
        <v>CIPLA (NEPHMUN)</v>
      </c>
    </row>
    <row r="669">
      <c r="H669" s="25" t="str">
        <f>IFERROR(__xludf.DUMMYFUNCTION("""COMPUTED_VALUE"""),"CIPLA (NON HIV)")</f>
        <v>CIPLA (NON HIV)</v>
      </c>
    </row>
    <row r="670">
      <c r="H670" s="25" t="str">
        <f>IFERROR(__xludf.DUMMYFUNCTION("""COMPUTED_VALUE"""),"CIPLA (NURTURE)")</f>
        <v>CIPLA (NURTURE)</v>
      </c>
    </row>
    <row r="671">
      <c r="H671" s="25" t="str">
        <f>IFERROR(__xludf.DUMMYFUNCTION("""COMPUTED_VALUE"""),"CIPLA (OMNICARE)")</f>
        <v>CIPLA (OMNICARE)</v>
      </c>
    </row>
    <row r="672">
      <c r="H672" s="25" t="str">
        <f>IFERROR(__xludf.DUMMYFUNCTION("""COMPUTED_VALUE"""),"CIPLA (OPTIMUS)")</f>
        <v>CIPLA (OPTIMUS)</v>
      </c>
    </row>
    <row r="673">
      <c r="H673" s="25" t="str">
        <f>IFERROR(__xludf.DUMMYFUNCTION("""COMPUTED_VALUE"""),"CIPLA (OTC)")</f>
        <v>CIPLA (OTC)</v>
      </c>
    </row>
    <row r="674">
      <c r="H674" s="25" t="str">
        <f>IFERROR(__xludf.DUMMYFUNCTION("""COMPUTED_VALUE"""),"CIPLA (PH CARE)")</f>
        <v>CIPLA (PH CARE)</v>
      </c>
    </row>
    <row r="675">
      <c r="H675" s="25" t="str">
        <f>IFERROR(__xludf.DUMMYFUNCTION("""COMPUTED_VALUE"""),"CIPLA (PROTEC)")</f>
        <v>CIPLA (PROTEC)</v>
      </c>
    </row>
    <row r="676">
      <c r="H676" s="25" t="str">
        <f>IFERROR(__xludf.DUMMYFUNCTION("""COMPUTED_VALUE"""),"CIPLA (QUADRA)")</f>
        <v>CIPLA (QUADRA)</v>
      </c>
    </row>
    <row r="677">
      <c r="H677" s="25" t="str">
        <f>IFERROR(__xludf.DUMMYFUNCTION("""COMPUTED_VALUE"""),"CIPLA (RESPIRATORY)")</f>
        <v>CIPLA (RESPIRATORY)</v>
      </c>
    </row>
    <row r="678">
      <c r="H678" s="25" t="str">
        <f>IFERROR(__xludf.DUMMYFUNCTION("""COMPUTED_VALUE"""),"CIPLA (RHEUMATOLOGY)")</f>
        <v>CIPLA (RHEUMATOLOGY)</v>
      </c>
    </row>
    <row r="679">
      <c r="H679" s="25" t="str">
        <f>IFERROR(__xludf.DUMMYFUNCTION("""COMPUTED_VALUE"""),"CIPLA (SPECIALITIES)")</f>
        <v>CIPLA (SPECIALITIES)</v>
      </c>
    </row>
    <row r="680">
      <c r="H680" s="25" t="str">
        <f>IFERROR(__xludf.DUMMYFUNCTION("""COMPUTED_VALUE"""),"CIPLA (SUPRACARE)")</f>
        <v>CIPLA (SUPRACARE)</v>
      </c>
    </row>
    <row r="681">
      <c r="H681" s="25" t="str">
        <f>IFERROR(__xludf.DUMMYFUNCTION("""COMPUTED_VALUE"""),"CIPLA (TERNA)")</f>
        <v>CIPLA (TERNA)</v>
      </c>
    </row>
    <row r="682">
      <c r="H682" s="25" t="str">
        <f>IFERROR(__xludf.DUMMYFUNCTION("""COMPUTED_VALUE"""),"CIPLA (UROLOGY)")</f>
        <v>CIPLA (UROLOGY)</v>
      </c>
    </row>
    <row r="683">
      <c r="H683" s="25" t="str">
        <f>IFERROR(__xludf.DUMMYFUNCTION("""COMPUTED_VALUE"""),"CIPLA (VITALCARE)")</f>
        <v>CIPLA (VITALCARE)</v>
      </c>
    </row>
    <row r="684">
      <c r="H684" s="25" t="str">
        <f>IFERROR(__xludf.DUMMYFUNCTION("""COMPUTED_VALUE"""),"CIPLA (VITALIS)")</f>
        <v>CIPLA (VITALIS)</v>
      </c>
    </row>
    <row r="685">
      <c r="H685" s="25" t="str">
        <f>IFERROR(__xludf.DUMMYFUNCTION("""COMPUTED_VALUE"""),"CIPLA (WOMENS HEALTH NUTRAC)")</f>
        <v>CIPLA (WOMENS HEALTH NUTRAC)</v>
      </c>
    </row>
    <row r="686">
      <c r="H686" s="25" t="str">
        <f>IFERROR(__xludf.DUMMYFUNCTION("""COMPUTED_VALUE"""),"CIPLA (XTERNA)")</f>
        <v>CIPLA (XTERNA)</v>
      </c>
    </row>
    <row r="687">
      <c r="H687" s="25" t="str">
        <f>IFERROR(__xludf.DUMMYFUNCTION("""COMPUTED_VALUE"""),"CIPLA (ZESTA)")</f>
        <v>CIPLA (ZESTA)</v>
      </c>
    </row>
    <row r="688">
      <c r="H688" s="25" t="str">
        <f>IFERROR(__xludf.DUMMYFUNCTION("""COMPUTED_VALUE"""),"Cipla Ltd")</f>
        <v>Cipla Ltd</v>
      </c>
    </row>
    <row r="689">
      <c r="H689" s="25" t="str">
        <f>IFERROR(__xludf.DUMMYFUNCTION("""COMPUTED_VALUE"""),"CIPLA SPECTRACARE")</f>
        <v>CIPLA SPECTRACARE</v>
      </c>
    </row>
    <row r="690">
      <c r="H690" s="25" t="str">
        <f>IFERROR(__xludf.DUMMYFUNCTION("""COMPUTED_VALUE"""),"CISTA MEDICORP")</f>
        <v>CISTA MEDICORP</v>
      </c>
    </row>
    <row r="691">
      <c r="H691" s="25" t="str">
        <f>IFERROR(__xludf.DUMMYFUNCTION("""COMPUTED_VALUE"""),"CISTUS HEALTHCARE")</f>
        <v>CISTUS HEALTHCARE</v>
      </c>
    </row>
    <row r="692">
      <c r="H692" s="25" t="str">
        <f>IFERROR(__xludf.DUMMYFUNCTION("""COMPUTED_VALUE"""),"CITADERM PHARMA P LTD")</f>
        <v>CITADERM PHARMA P LTD</v>
      </c>
    </row>
    <row r="693">
      <c r="H693" s="25" t="str">
        <f>IFERROR(__xludf.DUMMYFUNCTION("""COMPUTED_VALUE"""),"CLAAS PHARMA")</f>
        <v>CLAAS PHARMA</v>
      </c>
    </row>
    <row r="694">
      <c r="H694" s="25" t="str">
        <f>IFERROR(__xludf.DUMMYFUNCTION("""COMPUTED_VALUE"""),"CLANTHIS LIFE SCIENCES")</f>
        <v>CLANTHIS LIFE SCIENCES</v>
      </c>
    </row>
    <row r="695">
      <c r="H695" s="25" t="str">
        <f>IFERROR(__xludf.DUMMYFUNCTION("""COMPUTED_VALUE"""),"Clanthis Lifesciences Pvt Ltd")</f>
        <v>Clanthis Lifesciences Pvt Ltd</v>
      </c>
    </row>
    <row r="696">
      <c r="H696" s="25" t="str">
        <f>IFERROR(__xludf.DUMMYFUNCTION("""COMPUTED_VALUE"""),"Claris INJECTABLES LTD")</f>
        <v>Claris INJECTABLES LTD</v>
      </c>
    </row>
    <row r="697">
      <c r="H697" s="25" t="str">
        <f>IFERROR(__xludf.DUMMYFUNCTION("""COMPUTED_VALUE"""),"Claris Lifesciences Ltd")</f>
        <v>Claris Lifesciences Ltd</v>
      </c>
    </row>
    <row r="698">
      <c r="H698" s="25" t="str">
        <f>IFERROR(__xludf.DUMMYFUNCTION("""COMPUTED_VALUE"""),"Clariwell Pharmaceutics")</f>
        <v>Clariwell Pharmaceutics</v>
      </c>
    </row>
    <row r="699">
      <c r="H699" s="25" t="str">
        <f>IFERROR(__xludf.DUMMYFUNCTION("""COMPUTED_VALUE"""),"CLARK PHARMACEUTICALS LTD")</f>
        <v>CLARK PHARMACEUTICALS LTD</v>
      </c>
    </row>
    <row r="700">
      <c r="H700" s="25" t="str">
        <f>IFERROR(__xludf.DUMMYFUNCTION("""COMPUTED_VALUE"""),"CLIDE INTERNATIONAL PVT LTD")</f>
        <v>CLIDE INTERNATIONAL PVT LTD</v>
      </c>
    </row>
    <row r="701">
      <c r="H701" s="25" t="str">
        <f>IFERROR(__xludf.DUMMYFUNCTION("""COMPUTED_VALUE"""),"Clyde Biotech P Ltd")</f>
        <v>Clyde Biotech P Ltd</v>
      </c>
    </row>
    <row r="702">
      <c r="H702" s="25" t="str">
        <f>IFERROR(__xludf.DUMMYFUNCTION("""COMPUTED_VALUE"""),"Clyde Pharmaceuticals Pvt Ltd")</f>
        <v>Clyde Pharmaceuticals Pvt Ltd</v>
      </c>
    </row>
    <row r="703">
      <c r="H703" s="25" t="str">
        <f>IFERROR(__xludf.DUMMYFUNCTION("""COMPUTED_VALUE"""),"CMR Life Sciences")</f>
        <v>CMR Life Sciences</v>
      </c>
    </row>
    <row r="704">
      <c r="H704" s="25" t="str">
        <f>IFERROR(__xludf.DUMMYFUNCTION("""COMPUTED_VALUE"""),"COLARD LIFE SCIENCE")</f>
        <v>COLARD LIFE SCIENCE</v>
      </c>
    </row>
    <row r="705">
      <c r="H705" s="25" t="str">
        <f>IFERROR(__xludf.DUMMYFUNCTION("""COMPUTED_VALUE"""),"COLES PHARMACEUTICALS PVT LTD")</f>
        <v>COLES PHARMACEUTICALS PVT LTD</v>
      </c>
    </row>
    <row r="706">
      <c r="H706" s="25" t="str">
        <f>IFERROR(__xludf.DUMMYFUNCTION("""COMPUTED_VALUE"""),"Colgate-Palmolive Company")</f>
        <v>Colgate-Palmolive Company</v>
      </c>
    </row>
    <row r="707">
      <c r="H707" s="25" t="str">
        <f>IFERROR(__xludf.DUMMYFUNCTION("""COMPUTED_VALUE"""),"Comed Chemicals Ltd")</f>
        <v>Comed Chemicals Ltd</v>
      </c>
    </row>
    <row r="708">
      <c r="H708" s="25" t="str">
        <f>IFERROR(__xludf.DUMMYFUNCTION("""COMPUTED_VALUE"""),"COMED LABORATORIES LTD.")</f>
        <v>COMED LABORATORIES LTD.</v>
      </c>
    </row>
    <row r="709">
      <c r="H709" s="25" t="str">
        <f>IFERROR(__xludf.DUMMYFUNCTION("""COMPUTED_VALUE"""),"Company Name")</f>
        <v>Company Name</v>
      </c>
    </row>
    <row r="710">
      <c r="H710" s="25" t="str">
        <f>IFERROR(__xludf.DUMMYFUNCTION("""COMPUTED_VALUE"""),"COMWORLD REMEDIES")</f>
        <v>COMWORLD REMEDIES</v>
      </c>
    </row>
    <row r="711">
      <c r="H711" s="25" t="str">
        <f>IFERROR(__xludf.DUMMYFUNCTION("""COMPUTED_VALUE"""),"CONCEPT BIOSCIENCES LTD")</f>
        <v>CONCEPT BIOSCIENCES LTD</v>
      </c>
    </row>
    <row r="712">
      <c r="H712" s="25" t="str">
        <f>IFERROR(__xludf.DUMMYFUNCTION("""COMPUTED_VALUE"""),"Concept Pharmaceuticals Ltd")</f>
        <v>Concept Pharmaceuticals Ltd</v>
      </c>
    </row>
    <row r="713">
      <c r="H713" s="25" t="str">
        <f>IFERROR(__xludf.DUMMYFUNCTION("""COMPUTED_VALUE"""),"CONCORD BIOTECH")</f>
        <v>CONCORD BIOTECH</v>
      </c>
    </row>
    <row r="714">
      <c r="H714" s="25" t="str">
        <f>IFERROR(__xludf.DUMMYFUNCTION("""COMPUTED_VALUE"""),"CONCORD PHARMACEUTICALS PVT LTD")</f>
        <v>CONCORD PHARMACEUTICALS PVT LTD</v>
      </c>
    </row>
    <row r="715">
      <c r="H715" s="25" t="str">
        <f>IFERROR(__xludf.DUMMYFUNCTION("""COMPUTED_VALUE"""),"CONSERN pharma")</f>
        <v>CONSERN pharma</v>
      </c>
    </row>
    <row r="716">
      <c r="H716" s="25" t="str">
        <f>IFERROR(__xludf.DUMMYFUNCTION("""COMPUTED_VALUE"""),"CONSISTO HEALTHCARE")</f>
        <v>CONSISTO HEALTHCARE</v>
      </c>
    </row>
    <row r="717">
      <c r="H717" s="25" t="str">
        <f>IFERROR(__xludf.DUMMYFUNCTION("""COMPUTED_VALUE"""),"CONSUMER MARKETING P LTD")</f>
        <v>CONSUMER MARKETING P LTD</v>
      </c>
    </row>
    <row r="718">
      <c r="H718" s="25" t="str">
        <f>IFERROR(__xludf.DUMMYFUNCTION("""COMPUTED_VALUE"""),"CONVEX GLOBAL")</f>
        <v>CONVEX GLOBAL</v>
      </c>
    </row>
    <row r="719">
      <c r="H719" s="25" t="str">
        <f>IFERROR(__xludf.DUMMYFUNCTION("""COMPUTED_VALUE"""),"Convina Research Laboratory")</f>
        <v>Convina Research Laboratory</v>
      </c>
    </row>
    <row r="720">
      <c r="H720" s="25" t="str">
        <f>IFERROR(__xludf.DUMMYFUNCTION("""COMPUTED_VALUE"""),"CONWELL PHARMA")</f>
        <v>CONWELL PHARMA</v>
      </c>
    </row>
    <row r="721">
      <c r="H721" s="25" t="str">
        <f>IFERROR(__xludf.DUMMYFUNCTION("""COMPUTED_VALUE"""),"CORAL")</f>
        <v>CORAL</v>
      </c>
    </row>
    <row r="722">
      <c r="H722" s="25" t="str">
        <f>IFERROR(__xludf.DUMMYFUNCTION("""COMPUTED_VALUE"""),"CORAZON PHARMA PVT.LTD.")</f>
        <v>CORAZON PHARMA PVT.LTD.</v>
      </c>
    </row>
    <row r="723">
      <c r="H723" s="25" t="str">
        <f>IFERROR(__xludf.DUMMYFUNCTION("""COMPUTED_VALUE"""),"CORE GESTRA")</f>
        <v>CORE GESTRA</v>
      </c>
    </row>
    <row r="724">
      <c r="H724" s="25" t="str">
        <f>IFERROR(__xludf.DUMMYFUNCTION("""COMPUTED_VALUE"""),"CORE LABORITISE")</f>
        <v>CORE LABORITISE</v>
      </c>
    </row>
    <row r="725">
      <c r="H725" s="25" t="str">
        <f>IFERROR(__xludf.DUMMYFUNCTION("""COMPUTED_VALUE"""),"COREX PHARMA")</f>
        <v>COREX PHARMA</v>
      </c>
    </row>
    <row r="726">
      <c r="H726" s="25" t="str">
        <f>IFERROR(__xludf.DUMMYFUNCTION("""COMPUTED_VALUE"""),"CORONA REMEDIES (AURA)")</f>
        <v>CORONA REMEDIES (AURA)</v>
      </c>
    </row>
    <row r="727">
      <c r="H727" s="25" t="str">
        <f>IFERROR(__xludf.DUMMYFUNCTION("""COMPUTED_VALUE"""),"CORONA REMEDIES (PIONEER)")</f>
        <v>CORONA REMEDIES (PIONEER)</v>
      </c>
    </row>
    <row r="728">
      <c r="H728" s="25" t="str">
        <f>IFERROR(__xludf.DUMMYFUNCTION("""COMPUTED_VALUE"""),"CORONA REMEDIES (RADIANCE)")</f>
        <v>CORONA REMEDIES (RADIANCE)</v>
      </c>
    </row>
    <row r="729">
      <c r="H729" s="25" t="str">
        <f>IFERROR(__xludf.DUMMYFUNCTION("""COMPUTED_VALUE"""),"CORONA REMEDIES (SOLARIS)")</f>
        <v>CORONA REMEDIES (SOLARIS)</v>
      </c>
    </row>
    <row r="730">
      <c r="H730" s="25" t="str">
        <f>IFERROR(__xludf.DUMMYFUNCTION("""COMPUTED_VALUE"""),"CORONA REMEDIES (SOLIS)")</f>
        <v>CORONA REMEDIES (SOLIS)</v>
      </c>
    </row>
    <row r="731">
      <c r="H731" s="25" t="str">
        <f>IFERROR(__xludf.DUMMYFUNCTION("""COMPUTED_VALUE"""),"CORONA REMEDIES (WELLNESS)")</f>
        <v>CORONA REMEDIES (WELLNESS)</v>
      </c>
    </row>
    <row r="732">
      <c r="H732" s="25" t="str">
        <f>IFERROR(__xludf.DUMMYFUNCTION("""COMPUTED_VALUE"""),"CORONA REMEDIES (XEMX)")</f>
        <v>CORONA REMEDIES (XEMX)</v>
      </c>
    </row>
    <row r="733">
      <c r="H733" s="25" t="str">
        <f>IFERROR(__xludf.DUMMYFUNCTION("""COMPUTED_VALUE"""),"Corona Remedies Pvt Ltd")</f>
        <v>Corona Remedies Pvt Ltd</v>
      </c>
    </row>
    <row r="734">
      <c r="H734" s="25" t="str">
        <f>IFERROR(__xludf.DUMMYFUNCTION("""COMPUTED_VALUE"""),"CORVIN PHARMACEUTICALS")</f>
        <v>CORVIN PHARMACEUTICALS</v>
      </c>
    </row>
    <row r="735">
      <c r="H735" s="25" t="str">
        <f>IFERROR(__xludf.DUMMYFUNCTION("""COMPUTED_VALUE"""),"CORVUS REMEDIES")</f>
        <v>CORVUS REMEDIES</v>
      </c>
    </row>
    <row r="736">
      <c r="H736" s="25" t="str">
        <f>IFERROR(__xludf.DUMMYFUNCTION("""COMPUTED_VALUE"""),"CORWIS PHARMACEUTICALS LIMITED")</f>
        <v>CORWIS PHARMACEUTICALS LIMITED</v>
      </c>
    </row>
    <row r="737">
      <c r="H737" s="25" t="str">
        <f>IFERROR(__xludf.DUMMYFUNCTION("""COMPUTED_VALUE"""),"COSEC HEALTH CARE")</f>
        <v>COSEC HEALTH CARE</v>
      </c>
    </row>
    <row r="738">
      <c r="H738" s="25" t="str">
        <f>IFERROR(__xludf.DUMMYFUNCTION("""COMPUTED_VALUE"""),"COSME HEALTHCARE")</f>
        <v>COSME HEALTHCARE</v>
      </c>
    </row>
    <row r="739">
      <c r="H739" s="25" t="str">
        <f>IFERROR(__xludf.DUMMYFUNCTION("""COMPUTED_VALUE"""),"COSMIC NUTRACOS SOLUTIONS")</f>
        <v>COSMIC NUTRACOS SOLUTIONS</v>
      </c>
    </row>
    <row r="740">
      <c r="H740" s="25" t="str">
        <f>IFERROR(__xludf.DUMMYFUNCTION("""COMPUTED_VALUE"""),"COSMODERM INDIA")</f>
        <v>COSMODERM INDIA</v>
      </c>
    </row>
    <row r="741">
      <c r="H741" s="25" t="str">
        <f>IFERROR(__xludf.DUMMYFUNCTION("""COMPUTED_VALUE"""),"COSWAY PHARMACEUTICAL")</f>
        <v>COSWAY PHARMACEUTICAL</v>
      </c>
    </row>
    <row r="742">
      <c r="H742" s="25" t="str">
        <f>IFERROR(__xludf.DUMMYFUNCTION("""COMPUTED_VALUE"""),"CPAZ DRUGS")</f>
        <v>CPAZ DRUGS</v>
      </c>
    </row>
    <row r="743">
      <c r="H743" s="25" t="str">
        <f>IFERROR(__xludf.DUMMYFUNCTION("""COMPUTED_VALUE"""),"CRASSULA PHAMACEUTICALS P LTD")</f>
        <v>CRASSULA PHAMACEUTICALS P LTD</v>
      </c>
    </row>
    <row r="744">
      <c r="H744" s="25" t="str">
        <f>IFERROR(__xludf.DUMMYFUNCTION("""COMPUTED_VALUE"""),"CRATUS LIFE CARE")</f>
        <v>CRATUS LIFE CARE</v>
      </c>
    </row>
    <row r="745">
      <c r="H745" s="25" t="str">
        <f>IFERROR(__xludf.DUMMYFUNCTION("""COMPUTED_VALUE"""),"CRAVOS PHARMACEUTICALS")</f>
        <v>CRAVOS PHARMACEUTICALS</v>
      </c>
    </row>
    <row r="746">
      <c r="H746" s="25" t="str">
        <f>IFERROR(__xludf.DUMMYFUNCTION("""COMPUTED_VALUE"""),"CRAYON HEALTHCARE PVT LTD")</f>
        <v>CRAYON HEALTHCARE PVT LTD</v>
      </c>
    </row>
    <row r="747">
      <c r="H747" s="25" t="str">
        <f>IFERROR(__xludf.DUMMYFUNCTION("""COMPUTED_VALUE"""),"CREOGENIC PHARMA")</f>
        <v>CREOGENIC PHARMA</v>
      </c>
    </row>
    <row r="748">
      <c r="H748" s="25" t="str">
        <f>IFERROR(__xludf.DUMMYFUNCTION("""COMPUTED_VALUE"""),"CRESCENT THERAPEUTICS LTD.")</f>
        <v>CRESCENT THERAPEUTICS LTD.</v>
      </c>
    </row>
    <row r="749">
      <c r="H749" s="25" t="str">
        <f>IFERROR(__xludf.DUMMYFUNCTION("""COMPUTED_VALUE"""),"CRIS PHARMA LTD")</f>
        <v>CRIS PHARMA LTD</v>
      </c>
    </row>
    <row r="750">
      <c r="H750" s="25" t="str">
        <f>IFERROR(__xludf.DUMMYFUNCTION("""COMPUTED_VALUE"""),"CROFORD PHARMA")</f>
        <v>CROFORD PHARMA</v>
      </c>
    </row>
    <row r="751">
      <c r="H751" s="25" t="str">
        <f>IFERROR(__xludf.DUMMYFUNCTION("""COMPUTED_VALUE"""),"CROMPTON PHARMA")</f>
        <v>CROMPTON PHARMA</v>
      </c>
    </row>
    <row r="752">
      <c r="H752" s="25" t="str">
        <f>IFERROR(__xludf.DUMMYFUNCTION("""COMPUTED_VALUE"""),"Cross Berry Pharma")</f>
        <v>Cross Berry Pharma</v>
      </c>
    </row>
    <row r="753">
      <c r="H753" s="25" t="str">
        <f>IFERROR(__xludf.DUMMYFUNCTION("""COMPUTED_VALUE"""),"CROSSWIND BIOTECH")</f>
        <v>CROSSWIND BIOTECH</v>
      </c>
    </row>
    <row r="754">
      <c r="H754" s="25" t="str">
        <f>IFERROR(__xludf.DUMMYFUNCTION("""COMPUTED_VALUE"""),"CSC HEALTHCARE")</f>
        <v>CSC HEALTHCARE</v>
      </c>
    </row>
    <row r="755">
      <c r="H755" s="25" t="str">
        <f>IFERROR(__xludf.DUMMYFUNCTION("""COMPUTED_VALUE"""),"CUBIC LIFESCIENCES LTD")</f>
        <v>CUBIC LIFESCIENCES LTD</v>
      </c>
    </row>
    <row r="756">
      <c r="H756" s="25" t="str">
        <f>IFERROR(__xludf.DUMMYFUNCTION("""COMPUTED_VALUE"""),"CUBIT HEALTHCARE")</f>
        <v>CUBIT HEALTHCARE</v>
      </c>
    </row>
    <row r="757">
      <c r="H757" s="25" t="str">
        <f>IFERROR(__xludf.DUMMYFUNCTION("""COMPUTED_VALUE"""),"CUBIT HEALTHCARE (CU CARD GYNOCARE)")</f>
        <v>CUBIT HEALTHCARE (CU CARD GYNOCARE)</v>
      </c>
    </row>
    <row r="758">
      <c r="H758" s="25" t="str">
        <f>IFERROR(__xludf.DUMMYFUNCTION("""COMPUTED_VALUE"""),"CUBIT HEALTHCARE (CU CARD LIFECARE)")</f>
        <v>CUBIT HEALTHCARE (CU CARD LIFECARE)</v>
      </c>
    </row>
    <row r="759">
      <c r="H759" s="25" t="str">
        <f>IFERROR(__xludf.DUMMYFUNCTION("""COMPUTED_VALUE"""),"CUBIT HEALTHCARE (CU CARD SKINCARE)")</f>
        <v>CUBIT HEALTHCARE (CU CARD SKINCARE)</v>
      </c>
    </row>
    <row r="760">
      <c r="H760" s="25" t="str">
        <f>IFERROR(__xludf.DUMMYFUNCTION("""COMPUTED_VALUE"""),"CURA PHARMACEUTICALS")</f>
        <v>CURA PHARMACEUTICALS</v>
      </c>
    </row>
    <row r="761">
      <c r="H761" s="25" t="str">
        <f>IFERROR(__xludf.DUMMYFUNCTION("""COMPUTED_VALUE"""),"CURATAS PHARMACEUTICALS LLP")</f>
        <v>CURATAS PHARMACEUTICALS LLP</v>
      </c>
    </row>
    <row r="762">
      <c r="H762" s="25" t="str">
        <f>IFERROR(__xludf.DUMMYFUNCTION("""COMPUTED_VALUE"""),"Curatio Healthcare India Pvt Ltd")</f>
        <v>Curatio Healthcare India Pvt Ltd</v>
      </c>
    </row>
    <row r="763">
      <c r="H763" s="25" t="str">
        <f>IFERROR(__xludf.DUMMYFUNCTION("""COMPUTED_VALUE"""),"CURE N CURE PHARMACEUTICALS")</f>
        <v>CURE N CURE PHARMACEUTICALS</v>
      </c>
    </row>
    <row r="764">
      <c r="H764" s="25" t="str">
        <f>IFERROR(__xludf.DUMMYFUNCTION("""COMPUTED_VALUE"""),"CURE QUICK PHARMACEUTICALS")</f>
        <v>CURE QUICK PHARMACEUTICALS</v>
      </c>
    </row>
    <row r="765">
      <c r="H765" s="25" t="str">
        <f>IFERROR(__xludf.DUMMYFUNCTION("""COMPUTED_VALUE"""),"CUREALL LIFE SCIENCES")</f>
        <v>CUREALL LIFE SCIENCES</v>
      </c>
    </row>
    <row r="766">
      <c r="H766" s="25" t="str">
        <f>IFERROR(__xludf.DUMMYFUNCTION("""COMPUTED_VALUE"""),"CUREMAX")</f>
        <v>CUREMAX</v>
      </c>
    </row>
    <row r="767">
      <c r="H767" s="25" t="str">
        <f>IFERROR(__xludf.DUMMYFUNCTION("""COMPUTED_VALUE"""),"CURETECH SKINCARE")</f>
        <v>CURETECH SKINCARE</v>
      </c>
    </row>
    <row r="768">
      <c r="H768" s="25" t="str">
        <f>IFERROR(__xludf.DUMMYFUNCTION("""COMPUTED_VALUE"""),"CUREWELL AURVEDA")</f>
        <v>CUREWELL AURVEDA</v>
      </c>
    </row>
    <row r="769">
      <c r="H769" s="25" t="str">
        <f>IFERROR(__xludf.DUMMYFUNCTION("""COMPUTED_VALUE"""),"Curewell Drugs &amp; Pharmaceuticals Pvt. Ltd.")</f>
        <v>Curewell Drugs &amp; Pharmaceuticals Pvt. Ltd.</v>
      </c>
    </row>
    <row r="770">
      <c r="H770" s="25" t="str">
        <f>IFERROR(__xludf.DUMMYFUNCTION("""COMPUTED_VALUE"""),"CUREWIN HYLICO PVT LTD")</f>
        <v>CUREWIN HYLICO PVT LTD</v>
      </c>
    </row>
    <row r="771">
      <c r="H771" s="25" t="str">
        <f>IFERROR(__xludf.DUMMYFUNCTION("""COMPUTED_VALUE"""),"CURIOUS BIOTECH")</f>
        <v>CURIOUS BIOTECH</v>
      </c>
    </row>
    <row r="772">
      <c r="H772" s="25" t="str">
        <f>IFERROR(__xludf.DUMMYFUNCTION("""COMPUTED_VALUE"""),"CUROSIS PHARMACEUTICALS")</f>
        <v>CUROSIS PHARMACEUTICALS</v>
      </c>
    </row>
    <row r="773">
      <c r="H773" s="25" t="str">
        <f>IFERROR(__xludf.DUMMYFUNCTION("""COMPUTED_VALUE"""),"Cutis Derma Care - Intra Life")</f>
        <v>Cutis Derma Care - Intra Life</v>
      </c>
    </row>
    <row r="774">
      <c r="H774" s="25" t="str">
        <f>IFERROR(__xludf.DUMMYFUNCTION("""COMPUTED_VALUE"""),"CVS BIOTECH (FARLEX)")</f>
        <v>CVS BIOTECH (FARLEX)</v>
      </c>
    </row>
    <row r="775">
      <c r="H775" s="25" t="str">
        <f>IFERROR(__xludf.DUMMYFUNCTION("""COMPUTED_VALUE"""),"CYMER PHARMA")</f>
        <v>CYMER PHARMA</v>
      </c>
    </row>
    <row r="776">
      <c r="H776" s="25" t="str">
        <f>IFERROR(__xludf.DUMMYFUNCTION("""COMPUTED_VALUE"""),"D D Pharmaceuticals")</f>
        <v>D D Pharmaceuticals</v>
      </c>
    </row>
    <row r="777">
      <c r="H777" s="25" t="str">
        <f>IFERROR(__xludf.DUMMYFUNCTION("""COMPUTED_VALUE"""),"D R JOHN'S LAB PHARMA")</f>
        <v>D R JOHN'S LAB PHARMA</v>
      </c>
    </row>
    <row r="778">
      <c r="H778" s="25" t="str">
        <f>IFERROR(__xludf.DUMMYFUNCTION("""COMPUTED_VALUE"""),"Dabur India Ltd")</f>
        <v>Dabur India Ltd</v>
      </c>
    </row>
    <row r="779">
      <c r="H779" s="25" t="str">
        <f>IFERROR(__xludf.DUMMYFUNCTION("""COMPUTED_VALUE"""),"Dabur Pharmaceuticals Ltd.")</f>
        <v>Dabur Pharmaceuticals Ltd.</v>
      </c>
    </row>
    <row r="780">
      <c r="H780" s="25" t="str">
        <f>IFERROR(__xludf.DUMMYFUNCTION("""COMPUTED_VALUE"""),"DAFFOHILS LABORATORIES")</f>
        <v>DAFFOHILS LABORATORIES</v>
      </c>
    </row>
    <row r="781">
      <c r="H781" s="25" t="str">
        <f>IFERROR(__xludf.DUMMYFUNCTION("""COMPUTED_VALUE"""),"DAGNAL PHARMACUTICALS")</f>
        <v>DAGNAL PHARMACUTICALS</v>
      </c>
    </row>
    <row r="782">
      <c r="H782" s="25" t="str">
        <f>IFERROR(__xludf.DUMMYFUNCTION("""COMPUTED_VALUE"""),"Dakshinamurti Pharma Pvt Ltd")</f>
        <v>Dakshinamurti Pharma Pvt Ltd</v>
      </c>
    </row>
    <row r="783">
      <c r="H783" s="25" t="str">
        <f>IFERROR(__xludf.DUMMYFUNCTION("""COMPUTED_VALUE"""),"DALIY WEAR")</f>
        <v>DALIY WEAR</v>
      </c>
    </row>
    <row r="784">
      <c r="H784" s="25" t="str">
        <f>IFERROR(__xludf.DUMMYFUNCTION("""COMPUTED_VALUE"""),"DANIEL PASTEUR")</f>
        <v>DANIEL PASTEUR</v>
      </c>
    </row>
    <row r="785">
      <c r="H785" s="25" t="str">
        <f>IFERROR(__xludf.DUMMYFUNCTION("""COMPUTED_VALUE"""),"DANISH HEALTHCARE")</f>
        <v>DANISH HEALTHCARE</v>
      </c>
    </row>
    <row r="786">
      <c r="H786" s="25" t="str">
        <f>IFERROR(__xludf.DUMMYFUNCTION("""COMPUTED_VALUE"""),"DARA PHARMACEUTICALS")</f>
        <v>DARA PHARMACEUTICALS</v>
      </c>
    </row>
    <row r="787">
      <c r="H787" s="25" t="str">
        <f>IFERROR(__xludf.DUMMYFUNCTION("""COMPUTED_VALUE"""),"DASAMAPS 50MG")</f>
        <v>DASAMAPS 50MG</v>
      </c>
    </row>
    <row r="788">
      <c r="H788" s="25" t="str">
        <f>IFERROR(__xludf.DUMMYFUNCTION("""COMPUTED_VALUE"""),"DASAMPAS 70MG")</f>
        <v>DASAMPAS 70MG</v>
      </c>
    </row>
    <row r="789">
      <c r="H789" s="25" t="str">
        <f>IFERROR(__xludf.DUMMYFUNCTION("""COMPUTED_VALUE"""),"DASSO PHARMACEUTICALS")</f>
        <v>DASSO PHARMACEUTICALS</v>
      </c>
    </row>
    <row r="790">
      <c r="H790" s="25" t="str">
        <f>IFERROR(__xludf.DUMMYFUNCTION("""COMPUTED_VALUE"""),"DATA SAILANI AYURVEDIC SANSTHA")</f>
        <v>DATA SAILANI AYURVEDIC SANSTHA</v>
      </c>
    </row>
    <row r="791">
      <c r="H791" s="25" t="str">
        <f>IFERROR(__xludf.DUMMYFUNCTION("""COMPUTED_VALUE"""),"DATTATRAYA SEVASHRAM")</f>
        <v>DATTATRAYA SEVASHRAM</v>
      </c>
    </row>
    <row r="792">
      <c r="H792" s="25" t="str">
        <f>IFERROR(__xludf.DUMMYFUNCTION("""COMPUTED_VALUE"""),"DAWCHEM PHARMACEUTICALS P LTD")</f>
        <v>DAWCHEM PHARMACEUTICALS P LTD</v>
      </c>
    </row>
    <row r="793">
      <c r="H793" s="25" t="str">
        <f>IFERROR(__xludf.DUMMYFUNCTION("""COMPUTED_VALUE"""),"DAWN &amp; COMPANY")</f>
        <v>DAWN &amp; COMPANY</v>
      </c>
    </row>
    <row r="794">
      <c r="H794" s="25" t="str">
        <f>IFERROR(__xludf.DUMMYFUNCTION("""COMPUTED_VALUE"""),"DD Nutritions")</f>
        <v>DD Nutritions</v>
      </c>
    </row>
    <row r="795">
      <c r="H795" s="25" t="str">
        <f>IFERROR(__xludf.DUMMYFUNCTION("""COMPUTED_VALUE"""),"DEE INDIA HERBALS")</f>
        <v>DEE INDIA HERBALS</v>
      </c>
    </row>
    <row r="796">
      <c r="H796" s="25" t="str">
        <f>IFERROR(__xludf.DUMMYFUNCTION("""COMPUTED_VALUE"""),"DEFENCE HEALTHCARE")</f>
        <v>DEFENCE HEALTHCARE</v>
      </c>
    </row>
    <row r="797">
      <c r="H797" s="25" t="str">
        <f>IFERROR(__xludf.DUMMYFUNCTION("""COMPUTED_VALUE"""),"Delcure Life Sciences")</f>
        <v>Delcure Life Sciences</v>
      </c>
    </row>
    <row r="798">
      <c r="H798" s="25" t="str">
        <f>IFERROR(__xludf.DUMMYFUNCTION("""COMPUTED_VALUE"""),"DELTAS PHARMA")</f>
        <v>DELTAS PHARMA</v>
      </c>
    </row>
    <row r="799">
      <c r="H799" s="25" t="str">
        <f>IFERROR(__xludf.DUMMYFUNCTION("""COMPUTED_VALUE"""),"Delvin Formulations Pvt Ltd")</f>
        <v>Delvin Formulations Pvt Ltd</v>
      </c>
    </row>
    <row r="800">
      <c r="H800" s="25" t="str">
        <f>IFERROR(__xludf.DUMMYFUNCTION("""COMPUTED_VALUE"""),"DELWIS HEALTHCARE")</f>
        <v>DELWIS HEALTHCARE</v>
      </c>
    </row>
    <row r="801">
      <c r="H801" s="25" t="str">
        <f>IFERROR(__xludf.DUMMYFUNCTION("""COMPUTED_VALUE"""),"Depsons Pharma")</f>
        <v>Depsons Pharma</v>
      </c>
    </row>
    <row r="802">
      <c r="H802" s="25" t="str">
        <f>IFERROR(__xludf.DUMMYFUNCTION("""COMPUTED_VALUE"""),"DERMA TOPICS HEALTHCARE")</f>
        <v>DERMA TOPICS HEALTHCARE</v>
      </c>
    </row>
    <row r="803">
      <c r="H803" s="25" t="str">
        <f>IFERROR(__xludf.DUMMYFUNCTION("""COMPUTED_VALUE"""),"DERMAKARE PHARMACEUTICALS PVT LTD")</f>
        <v>DERMAKARE PHARMACEUTICALS PVT LTD</v>
      </c>
    </row>
    <row r="804">
      <c r="H804" s="25" t="str">
        <f>IFERROR(__xludf.DUMMYFUNCTION("""COMPUTED_VALUE"""),"DERMASIL LABS")</f>
        <v>DERMASIL LABS</v>
      </c>
    </row>
    <row r="805">
      <c r="H805" s="25" t="str">
        <f>IFERROR(__xludf.DUMMYFUNCTION("""COMPUTED_VALUE"""),"DERMAWIN PHARMA")</f>
        <v>DERMAWIN PHARMA</v>
      </c>
    </row>
    <row r="806">
      <c r="H806" s="25" t="str">
        <f>IFERROR(__xludf.DUMMYFUNCTION("""COMPUTED_VALUE"""),"Dermawiz Laboratories Pvt Ltd")</f>
        <v>Dermawiz Laboratories Pvt Ltd</v>
      </c>
    </row>
    <row r="807">
      <c r="H807" s="25" t="str">
        <f>IFERROR(__xludf.DUMMYFUNCTION("""COMPUTED_VALUE"""),"DERMIA CONTICARE")</f>
        <v>DERMIA CONTICARE</v>
      </c>
    </row>
    <row r="808">
      <c r="H808" s="25" t="str">
        <f>IFERROR(__xludf.DUMMYFUNCTION("""COMPUTED_VALUE"""),"Dermo Care Laboratories")</f>
        <v>Dermo Care Laboratories</v>
      </c>
    </row>
    <row r="809">
      <c r="H809" s="25" t="str">
        <f>IFERROR(__xludf.DUMMYFUNCTION("""COMPUTED_VALUE"""),"DERMO GLOW")</f>
        <v>DERMO GLOW</v>
      </c>
    </row>
    <row r="810">
      <c r="H810" s="25" t="str">
        <f>IFERROR(__xludf.DUMMYFUNCTION("""COMPUTED_VALUE"""),"DERMOGRACE")</f>
        <v>DERMOGRACE</v>
      </c>
    </row>
    <row r="811">
      <c r="H811" s="25" t="str">
        <f>IFERROR(__xludf.DUMMYFUNCTION("""COMPUTED_VALUE"""),"DERMOS")</f>
        <v>DERMOS</v>
      </c>
    </row>
    <row r="812">
      <c r="H812" s="25" t="str">
        <f>IFERROR(__xludf.DUMMYFUNCTION("""COMPUTED_VALUE"""),"DEV PHARMACY")</f>
        <v>DEV PHARMACY</v>
      </c>
    </row>
    <row r="813">
      <c r="H813" s="25" t="str">
        <f>IFERROR(__xludf.DUMMYFUNCTION("""COMPUTED_VALUE"""),"DEWCARE CONCEPT P LTD")</f>
        <v>DEWCARE CONCEPT P LTD</v>
      </c>
    </row>
    <row r="814">
      <c r="H814" s="25" t="str">
        <f>IFERROR(__xludf.DUMMYFUNCTION("""COMPUTED_VALUE"""),"Dexter Labratories")</f>
        <v>Dexter Labratories</v>
      </c>
    </row>
    <row r="815">
      <c r="H815" s="25" t="str">
        <f>IFERROR(__xludf.DUMMYFUNCTION("""COMPUTED_VALUE"""),"Dey's Medical Stores (Mfg) Ltd")</f>
        <v>Dey's Medical Stores (Mfg) Ltd</v>
      </c>
    </row>
    <row r="816">
      <c r="H816" s="25" t="str">
        <f>IFERROR(__xludf.DUMMYFUNCTION("""COMPUTED_VALUE"""),"Deys Medical")</f>
        <v>Deys Medical</v>
      </c>
    </row>
    <row r="817">
      <c r="H817" s="25" t="str">
        <f>IFERROR(__xludf.DUMMYFUNCTION("""COMPUTED_VALUE"""),"DHANSINGH AYURVED BHAWAN")</f>
        <v>DHANSINGH AYURVED BHAWAN</v>
      </c>
    </row>
    <row r="818">
      <c r="H818" s="25" t="str">
        <f>IFERROR(__xludf.DUMMYFUNCTION("""COMPUTED_VALUE"""),"DHANVANTARI AYURVEDIC RESEARCH")</f>
        <v>DHANVANTARI AYURVEDIC RESEARCH</v>
      </c>
    </row>
    <row r="819">
      <c r="H819" s="25" t="str">
        <f>IFERROR(__xludf.DUMMYFUNCTION("""COMPUTED_VALUE"""),"DHANVANTRI GUJ HERBS")</f>
        <v>DHANVANTRI GUJ HERBS</v>
      </c>
    </row>
    <row r="820">
      <c r="H820" s="25" t="str">
        <f>IFERROR(__xludf.DUMMYFUNCTION("""COMPUTED_VALUE"""),"DHOOTPAPESHWAR")</f>
        <v>DHOOTPAPESHWAR</v>
      </c>
    </row>
    <row r="821">
      <c r="H821" s="25" t="str">
        <f>IFERROR(__xludf.DUMMYFUNCTION("""COMPUTED_VALUE"""),"DHUTAPAPESHAVAR (SOLUMIKS)")</f>
        <v>DHUTAPAPESHAVAR (SOLUMIKS)</v>
      </c>
    </row>
    <row r="822">
      <c r="H822" s="25" t="str">
        <f>IFERROR(__xludf.DUMMYFUNCTION("""COMPUTED_VALUE"""),"DIAL PHARMA")</f>
        <v>DIAL PHARMA</v>
      </c>
    </row>
    <row r="823">
      <c r="H823" s="25" t="str">
        <f>IFERROR(__xludf.DUMMYFUNCTION("""COMPUTED_VALUE"""),"DIAMOND BIOTECH")</f>
        <v>DIAMOND BIOTECH</v>
      </c>
    </row>
    <row r="824">
      <c r="H824" s="25" t="str">
        <f>IFERROR(__xludf.DUMMYFUNCTION("""COMPUTED_VALUE"""),"DIGITAL VISION SIRMOUR")</f>
        <v>DIGITAL VISION SIRMOUR</v>
      </c>
    </row>
    <row r="825">
      <c r="H825" s="25" t="str">
        <f>IFERROR(__xludf.DUMMYFUNCTION("""COMPUTED_VALUE"""),"DILL PHARMACEUTICALS")</f>
        <v>DILL PHARMACEUTICALS</v>
      </c>
    </row>
    <row r="826">
      <c r="H826" s="25" t="str">
        <f>IFERROR(__xludf.DUMMYFUNCTION("""COMPUTED_VALUE"""),"DINDAYAL")</f>
        <v>DINDAYAL</v>
      </c>
    </row>
    <row r="827">
      <c r="H827" s="25" t="str">
        <f>IFERROR(__xludf.DUMMYFUNCTION("""COMPUTED_VALUE"""),"DIOSMA LIFE SCIENCES")</f>
        <v>DIOSMA LIFE SCIENCES</v>
      </c>
    </row>
    <row r="828">
      <c r="H828" s="25" t="str">
        <f>IFERROR(__xludf.DUMMYFUNCTION("""COMPUTED_VALUE"""),"DIVERGENT LIFESCIENCES")</f>
        <v>DIVERGENT LIFESCIENCES</v>
      </c>
    </row>
    <row r="829">
      <c r="H829" s="25" t="str">
        <f>IFERROR(__xludf.DUMMYFUNCTION("""COMPUTED_VALUE"""),"DIVISA")</f>
        <v>DIVISA</v>
      </c>
    </row>
    <row r="830">
      <c r="H830" s="25" t="str">
        <f>IFERROR(__xludf.DUMMYFUNCTION("""COMPUTED_VALUE"""),"DIVIT NUTRACEUTICAL P LTD")</f>
        <v>DIVIT NUTRACEUTICAL P LTD</v>
      </c>
    </row>
    <row r="831">
      <c r="H831" s="25" t="str">
        <f>IFERROR(__xludf.DUMMYFUNCTION("""COMPUTED_VALUE"""),"Divya Pharmacy")</f>
        <v>Divya Pharmacy</v>
      </c>
    </row>
    <row r="832">
      <c r="H832" s="25" t="str">
        <f>IFERROR(__xludf.DUMMYFUNCTION("""COMPUTED_VALUE"""),"DKT India Ltd")</f>
        <v>DKT India Ltd</v>
      </c>
    </row>
    <row r="833">
      <c r="H833" s="25" t="str">
        <f>IFERROR(__xludf.DUMMYFUNCTION("""COMPUTED_VALUE"""),"DLS PHARMA")</f>
        <v>DLS PHARMA</v>
      </c>
    </row>
    <row r="834">
      <c r="H834" s="25" t="str">
        <f>IFERROR(__xludf.DUMMYFUNCTION("""COMPUTED_VALUE"""),"DM PHARMA")</f>
        <v>DM PHARMA</v>
      </c>
    </row>
    <row r="835">
      <c r="H835" s="25" t="str">
        <f>IFERROR(__xludf.DUMMYFUNCTION("""COMPUTED_VALUE"""),"DO NOT ADD")</f>
        <v>DO NOT ADD</v>
      </c>
    </row>
    <row r="836">
      <c r="H836" s="25" t="str">
        <f>IFERROR(__xludf.DUMMYFUNCTION("""COMPUTED_VALUE"""),"DOCEMAPS 20")</f>
        <v>DOCEMAPS 20</v>
      </c>
    </row>
    <row r="837">
      <c r="H837" s="25" t="str">
        <f>IFERROR(__xludf.DUMMYFUNCTION("""COMPUTED_VALUE"""),"DOCEMAPS 80")</f>
        <v>DOCEMAPS 80</v>
      </c>
    </row>
    <row r="838">
      <c r="H838" s="25" t="str">
        <f>IFERROR(__xludf.DUMMYFUNCTION("""COMPUTED_VALUE"""),"DOCTOR")</f>
        <v>DOCTOR</v>
      </c>
    </row>
    <row r="839">
      <c r="H839" s="25" t="str">
        <f>IFERROR(__xludf.DUMMYFUNCTION("""COMPUTED_VALUE"""),"DOCTOR MOREPEN LIMITED")</f>
        <v>DOCTOR MOREPEN LIMITED</v>
      </c>
    </row>
    <row r="840">
      <c r="H840" s="25" t="str">
        <f>IFERROR(__xludf.DUMMYFUNCTION("""COMPUTED_VALUE"""),"DOKCARE LIFESCIENCES")</f>
        <v>DOKCARE LIFESCIENCES</v>
      </c>
    </row>
    <row r="841">
      <c r="H841" s="25" t="str">
        <f>IFERROR(__xludf.DUMMYFUNCTION("""COMPUTED_VALUE"""),"DOLLAR COMPANY")</f>
        <v>DOLLAR COMPANY</v>
      </c>
    </row>
    <row r="842">
      <c r="H842" s="25" t="str">
        <f>IFERROR(__xludf.DUMMYFUNCTION("""COMPUTED_VALUE"""),"DOLPHIN PHARMACEUTICALS")</f>
        <v>DOLPHIN PHARMACEUTICALS</v>
      </c>
    </row>
    <row r="843">
      <c r="H843" s="25" t="str">
        <f>IFERROR(__xludf.DUMMYFUNCTION("""COMPUTED_VALUE"""),"DR GROVER [EYE] HOSPITAL")</f>
        <v>DR GROVER [EYE] HOSPITAL</v>
      </c>
    </row>
    <row r="844">
      <c r="H844" s="25" t="str">
        <f>IFERROR(__xludf.DUMMYFUNCTION("""COMPUTED_VALUE"""),"Dr JRK Siddha Research and Pharmaceuticals Pvt Ltd")</f>
        <v>Dr JRK Siddha Research and Pharmaceuticals Pvt Ltd</v>
      </c>
    </row>
    <row r="845">
      <c r="H845" s="25" t="str">
        <f>IFERROR(__xludf.DUMMYFUNCTION("""COMPUTED_VALUE"""),"DR LOONAWAT RESEARCH LAB")</f>
        <v>DR LOONAWAT RESEARCH LAB</v>
      </c>
    </row>
    <row r="846">
      <c r="H846" s="25" t="str">
        <f>IFERROR(__xludf.DUMMYFUNCTION("""COMPUTED_VALUE"""),"DR LORMANS")</f>
        <v>DR LORMANS</v>
      </c>
    </row>
    <row r="847">
      <c r="H847" s="25" t="str">
        <f>IFERROR(__xludf.DUMMYFUNCTION("""COMPUTED_VALUE"""),"DR MOREPEN (GENERIC)")</f>
        <v>DR MOREPEN (GENERIC)</v>
      </c>
    </row>
    <row r="848">
      <c r="H848" s="25" t="str">
        <f>IFERROR(__xludf.DUMMYFUNCTION("""COMPUTED_VALUE"""),"DR MOREPEN DEVICES")</f>
        <v>DR MOREPEN DEVICES</v>
      </c>
    </row>
    <row r="849">
      <c r="H849" s="25" t="str">
        <f>IFERROR(__xludf.DUMMYFUNCTION("""COMPUTED_VALUE"""),"DR NAVEEN")</f>
        <v>DR NAVEEN</v>
      </c>
    </row>
    <row r="850">
      <c r="H850" s="25" t="str">
        <f>IFERROR(__xludf.DUMMYFUNCTION("""COMPUTED_VALUE"""),"DR PALEP'S")</f>
        <v>DR PALEP'S</v>
      </c>
    </row>
    <row r="851">
      <c r="H851" s="25" t="str">
        <f>IFERROR(__xludf.DUMMYFUNCTION("""COMPUTED_VALUE"""),"DR REDDY'S (DENTAL)")</f>
        <v>DR REDDY'S (DENTAL)</v>
      </c>
    </row>
    <row r="852">
      <c r="H852" s="25" t="str">
        <f>IFERROR(__xludf.DUMMYFUNCTION("""COMPUTED_VALUE"""),"Dr Reddy's Lab (AQURA-2)")</f>
        <v>Dr Reddy's Lab (AQURA-2)</v>
      </c>
    </row>
    <row r="853">
      <c r="H853" s="25" t="str">
        <f>IFERROR(__xludf.DUMMYFUNCTION("""COMPUTED_VALUE"""),"Dr Reddy's Lab (AQURA)")</f>
        <v>Dr Reddy's Lab (AQURA)</v>
      </c>
    </row>
    <row r="854">
      <c r="H854" s="25" t="str">
        <f>IFERROR(__xludf.DUMMYFUNCTION("""COMPUTED_VALUE"""),"Dr Reddy's Lab (ASPIRA)")</f>
        <v>Dr Reddy's Lab (ASPIRA)</v>
      </c>
    </row>
    <row r="855">
      <c r="H855" s="25" t="str">
        <f>IFERROR(__xludf.DUMMYFUNCTION("""COMPUTED_VALUE"""),"Dr Reddy's Lab (DERMA C)")</f>
        <v>Dr Reddy's Lab (DERMA C)</v>
      </c>
    </row>
    <row r="856">
      <c r="H856" s="25" t="str">
        <f>IFERROR(__xludf.DUMMYFUNCTION("""COMPUTED_VALUE"""),"Dr Reddy's Lab (DERMA-2)")</f>
        <v>Dr Reddy's Lab (DERMA-2)</v>
      </c>
    </row>
    <row r="857">
      <c r="H857" s="25" t="str">
        <f>IFERROR(__xludf.DUMMYFUNCTION("""COMPUTED_VALUE"""),"Dr Reddy's Lab (DERMA)")</f>
        <v>Dr Reddy's Lab (DERMA)</v>
      </c>
    </row>
    <row r="858">
      <c r="H858" s="25" t="str">
        <f>IFERROR(__xludf.DUMMYFUNCTION("""COMPUTED_VALUE"""),"Dr Reddy's Lab (FUTURA MAX)")</f>
        <v>Dr Reddy's Lab (FUTURA MAX)</v>
      </c>
    </row>
    <row r="859">
      <c r="H859" s="25" t="str">
        <f>IFERROR(__xludf.DUMMYFUNCTION("""COMPUTED_VALUE"""),"Dr Reddy's Lab (FUTURA)")</f>
        <v>Dr Reddy's Lab (FUTURA)</v>
      </c>
    </row>
    <row r="860">
      <c r="H860" s="25" t="str">
        <f>IFERROR(__xludf.DUMMYFUNCTION("""COMPUTED_VALUE"""),"Dr Reddy's Lab (GRAND ERA)")</f>
        <v>Dr Reddy's Lab (GRAND ERA)</v>
      </c>
    </row>
    <row r="861">
      <c r="H861" s="25" t="str">
        <f>IFERROR(__xludf.DUMMYFUNCTION("""COMPUTED_VALUE"""),"Dr Reddy's Lab (INDURA)")</f>
        <v>Dr Reddy's Lab (INDURA)</v>
      </c>
    </row>
    <row r="862">
      <c r="H862" s="25" t="str">
        <f>IFERROR(__xludf.DUMMYFUNCTION("""COMPUTED_VALUE"""),"Dr Reddy's Lab (MERIND)")</f>
        <v>Dr Reddy's Lab (MERIND)</v>
      </c>
    </row>
    <row r="863">
      <c r="H863" s="25" t="str">
        <f>IFERROR(__xludf.DUMMYFUNCTION("""COMPUTED_VALUE"""),"Dr Reddy's Lab (ORION)")</f>
        <v>Dr Reddy's Lab (ORION)</v>
      </c>
    </row>
    <row r="864">
      <c r="H864" s="25" t="str">
        <f>IFERROR(__xludf.DUMMYFUNCTION("""COMPUTED_VALUE"""),"Dr Reddy's Lab (PTF)")</f>
        <v>Dr Reddy's Lab (PTF)</v>
      </c>
    </row>
    <row r="865">
      <c r="H865" s="25" t="str">
        <f>IFERROR(__xludf.DUMMYFUNCTION("""COMPUTED_VALUE"""),"Dr Reddy's Lab (RECURA ACE)")</f>
        <v>Dr Reddy's Lab (RECURA ACE)</v>
      </c>
    </row>
    <row r="866">
      <c r="H866" s="25" t="str">
        <f>IFERROR(__xludf.DUMMYFUNCTION("""COMPUTED_VALUE"""),"Dr Reddy's Lab (RECURA)")</f>
        <v>Dr Reddy's Lab (RECURA)</v>
      </c>
    </row>
    <row r="867">
      <c r="H867" s="25" t="str">
        <f>IFERROR(__xludf.DUMMYFUNCTION("""COMPUTED_VALUE"""),"Dr Reddy's Lab (RHEUMATOLOGY)")</f>
        <v>Dr Reddy's Lab (RHEUMATOLOGY)</v>
      </c>
    </row>
    <row r="868">
      <c r="H868" s="25" t="str">
        <f>IFERROR(__xludf.DUMMYFUNCTION("""COMPUTED_VALUE"""),"Dr Reddy's Lab (SPECTRA)")</f>
        <v>Dr Reddy's Lab (SPECTRA)</v>
      </c>
    </row>
    <row r="869">
      <c r="H869" s="25" t="str">
        <f>IFERROR(__xludf.DUMMYFUNCTION("""COMPUTED_VALUE"""),"Dr Reddy's Lab (WINTURA)")</f>
        <v>Dr Reddy's Lab (WINTURA)</v>
      </c>
    </row>
    <row r="870">
      <c r="H870" s="25" t="str">
        <f>IFERROR(__xludf.DUMMYFUNCTION("""COMPUTED_VALUE"""),"Dr Reddy's Lab (XENURA-1)")</f>
        <v>Dr Reddy's Lab (XENURA-1)</v>
      </c>
    </row>
    <row r="871">
      <c r="H871" s="25" t="str">
        <f>IFERROR(__xludf.DUMMYFUNCTION("""COMPUTED_VALUE"""),"Dr Reddy's Lab (XENURA-3)")</f>
        <v>Dr Reddy's Lab (XENURA-3)</v>
      </c>
    </row>
    <row r="872">
      <c r="H872" s="25" t="str">
        <f>IFERROR(__xludf.DUMMYFUNCTION("""COMPUTED_VALUE"""),"Dr Reddy's Lab (XENURA)")</f>
        <v>Dr Reddy's Lab (XENURA)</v>
      </c>
    </row>
    <row r="873">
      <c r="H873" s="25" t="str">
        <f>IFERROR(__xludf.DUMMYFUNCTION("""COMPUTED_VALUE"""),"Dr Reddy's Laboratories Ltd")</f>
        <v>Dr Reddy's Laboratories Ltd</v>
      </c>
    </row>
    <row r="874">
      <c r="H874" s="25" t="str">
        <f>IFERROR(__xludf.DUMMYFUNCTION("""COMPUTED_VALUE"""),"Dr Reddy's Laboratories Ltd (SPECIALITY)")</f>
        <v>Dr Reddy's Laboratories Ltd (SPECIALITY)</v>
      </c>
    </row>
    <row r="875">
      <c r="H875" s="25" t="str">
        <f>IFERROR(__xludf.DUMMYFUNCTION("""COMPUTED_VALUE"""),"DR SENT REMEDIES PVT LTD")</f>
        <v>DR SENT REMEDIES PVT LTD</v>
      </c>
    </row>
    <row r="876">
      <c r="H876" s="25" t="str">
        <f>IFERROR(__xludf.DUMMYFUNCTION("""COMPUTED_VALUE"""),"DR SMITH'S HERBAL LABORATORIES")</f>
        <v>DR SMITH'S HERBAL LABORATORIES</v>
      </c>
    </row>
    <row r="877">
      <c r="H877" s="25" t="str">
        <f>IFERROR(__xludf.DUMMYFUNCTION("""COMPUTED_VALUE"""),"DR VEDA")</f>
        <v>DR VEDA</v>
      </c>
    </row>
    <row r="878">
      <c r="H878" s="25" t="str">
        <f>IFERROR(__xludf.DUMMYFUNCTION("""COMPUTED_VALUE"""),"DR WILLMAR SCHWABE INDIA PVT LTD")</f>
        <v>DR WILLMAR SCHWABE INDIA PVT LTD</v>
      </c>
    </row>
    <row r="879">
      <c r="H879" s="25" t="str">
        <f>IFERROR(__xludf.DUMMYFUNCTION("""COMPUTED_VALUE"""),"Dr. Johns Laboratories Pvt Ltd")</f>
        <v>Dr. Johns Laboratories Pvt Ltd</v>
      </c>
    </row>
    <row r="880">
      <c r="H880" s="25" t="str">
        <f>IFERROR(__xludf.DUMMYFUNCTION("""COMPUTED_VALUE"""),"DR. SURGICAL")</f>
        <v>DR. SURGICAL</v>
      </c>
    </row>
    <row r="881">
      <c r="H881" s="25" t="str">
        <f>IFERROR(__xludf.DUMMYFUNCTION("""COMPUTED_VALUE"""),"DRS CHOICE HEALTHCARE")</f>
        <v>DRS CHOICE HEALTHCARE</v>
      </c>
    </row>
    <row r="882">
      <c r="H882" s="25" t="str">
        <f>IFERROR(__xludf.DUMMYFUNCTION("""COMPUTED_VALUE"""),"DRUG INDIA")</f>
        <v>DRUG INDIA</v>
      </c>
    </row>
    <row r="883">
      <c r="H883" s="25" t="str">
        <f>IFERROR(__xludf.DUMMYFUNCTION("""COMPUTED_VALUE"""),"Dupen Laboratories Pvt Ltd")</f>
        <v>Dupen Laboratories Pvt Ltd</v>
      </c>
    </row>
    <row r="884">
      <c r="H884" s="25" t="str">
        <f>IFERROR(__xludf.DUMMYFUNCTION("""COMPUTED_VALUE"""),"DUPHA")</f>
        <v>DUPHA</v>
      </c>
    </row>
    <row r="885">
      <c r="H885" s="25" t="str">
        <f>IFERROR(__xludf.DUMMYFUNCTION("""COMPUTED_VALUE"""),"Duphar")</f>
        <v>Duphar</v>
      </c>
    </row>
    <row r="886">
      <c r="H886" s="25" t="str">
        <f>IFERROR(__xludf.DUMMYFUNCTION("""COMPUTED_VALUE"""),"DUPONT ORGANICS")</f>
        <v>DUPONT ORGANICS</v>
      </c>
    </row>
    <row r="887">
      <c r="H887" s="25" t="str">
        <f>IFERROR(__xludf.DUMMYFUNCTION("""COMPUTED_VALUE"""),"DUTT SURGICAL")</f>
        <v>DUTT SURGICAL</v>
      </c>
    </row>
    <row r="888">
      <c r="H888" s="25" t="str">
        <f>IFERROR(__xludf.DUMMYFUNCTION("""COMPUTED_VALUE"""),"DWD PHARMA (PRIME)")</f>
        <v>DWD PHARMA (PRIME)</v>
      </c>
    </row>
    <row r="889">
      <c r="H889" s="25" t="str">
        <f>IFERROR(__xludf.DUMMYFUNCTION("""COMPUTED_VALUE"""),"DWD PHARMA (SUPREME)")</f>
        <v>DWD PHARMA (SUPREME)</v>
      </c>
    </row>
    <row r="890">
      <c r="H890" s="25" t="str">
        <f>IFERROR(__xludf.DUMMYFUNCTION("""COMPUTED_VALUE"""),"DWD Pharmaceuticals Ltd")</f>
        <v>DWD Pharmaceuticals Ltd</v>
      </c>
    </row>
    <row r="891">
      <c r="H891" s="25" t="str">
        <f>IFERROR(__xludf.DUMMYFUNCTION("""COMPUTED_VALUE"""),"Dycine Pharmaceuticals Ltd")</f>
        <v>Dycine Pharmaceuticals Ltd</v>
      </c>
    </row>
    <row r="892">
      <c r="H892" s="25" t="str">
        <f>IFERROR(__xludf.DUMMYFUNCTION("""COMPUTED_VALUE"""),"DYMIX PHARMACEUTICALS PVT LTD")</f>
        <v>DYMIX PHARMACEUTICALS PVT LTD</v>
      </c>
    </row>
    <row r="893">
      <c r="H893" s="25" t="str">
        <f>IFERROR(__xludf.DUMMYFUNCTION("""COMPUTED_VALUE"""),"DYRICH CAPSULE")</f>
        <v>DYRICH CAPSULE</v>
      </c>
    </row>
    <row r="894">
      <c r="H894" s="25" t="str">
        <f>IFERROR(__xludf.DUMMYFUNCTION("""COMPUTED_VALUE"""),"DYRICH PLUS CAPSULE")</f>
        <v>DYRICH PLUS CAPSULE</v>
      </c>
    </row>
    <row r="895">
      <c r="H895" s="25" t="str">
        <f>IFERROR(__xludf.DUMMYFUNCTION("""COMPUTED_VALUE"""),"DYRICH SYP")</f>
        <v>DYRICH SYP</v>
      </c>
    </row>
    <row r="896">
      <c r="H896" s="25" t="str">
        <f>IFERROR(__xludf.DUMMYFUNCTION("""COMPUTED_VALUE"""),"E DERMA")</f>
        <v>E DERMA</v>
      </c>
    </row>
    <row r="897">
      <c r="H897" s="25" t="str">
        <f>IFERROR(__xludf.DUMMYFUNCTION("""COMPUTED_VALUE"""),"EAMON DRUGS PVT LTD")</f>
        <v>EAMON DRUGS PVT LTD</v>
      </c>
    </row>
    <row r="898">
      <c r="H898" s="25" t="str">
        <f>IFERROR(__xludf.DUMMYFUNCTION("""COMPUTED_VALUE"""),"East India Pharmaceutical Works Ltd")</f>
        <v>East India Pharmaceutical Works Ltd</v>
      </c>
    </row>
    <row r="899">
      <c r="H899" s="25" t="str">
        <f>IFERROR(__xludf.DUMMYFUNCTION("""COMPUTED_VALUE"""),"East West Pharma")</f>
        <v>East West Pharma</v>
      </c>
    </row>
    <row r="900">
      <c r="H900" s="25" t="str">
        <f>IFERROR(__xludf.DUMMYFUNCTION("""COMPUTED_VALUE"""),"EASTERN HEALTH CARE")</f>
        <v>EASTERN HEALTH CARE</v>
      </c>
    </row>
    <row r="901">
      <c r="H901" s="25" t="str">
        <f>IFERROR(__xludf.DUMMYFUNCTION("""COMPUTED_VALUE"""),"ECLIPSER PHARMACEUTICALS")</f>
        <v>ECLIPSER PHARMACEUTICALS</v>
      </c>
    </row>
    <row r="902">
      <c r="H902" s="25" t="str">
        <f>IFERROR(__xludf.DUMMYFUNCTION("""COMPUTED_VALUE"""),"ECLIPTA PHARMACEUTICAL PVT LTD")</f>
        <v>ECLIPTA PHARMACEUTICAL PVT LTD</v>
      </c>
    </row>
    <row r="903">
      <c r="H903" s="25" t="str">
        <f>IFERROR(__xludf.DUMMYFUNCTION("""COMPUTED_VALUE"""),"ECLIPTA PHARMACEUTICAL PVT LTD")</f>
        <v>ECLIPTA PHARMACEUTICAL PVT LTD</v>
      </c>
    </row>
    <row r="904">
      <c r="H904" s="25" t="str">
        <f>IFERROR(__xludf.DUMMYFUNCTION("""COMPUTED_VALUE"""),"ECOMED")</f>
        <v>ECOMED</v>
      </c>
    </row>
    <row r="905">
      <c r="H905" s="25" t="str">
        <f>IFERROR(__xludf.DUMMYFUNCTION("""COMPUTED_VALUE"""),"EDDONA LIFE SCIENCES")</f>
        <v>EDDONA LIFE SCIENCES</v>
      </c>
    </row>
    <row r="906">
      <c r="H906" s="25" t="str">
        <f>IFERROR(__xludf.DUMMYFUNCTION("""COMPUTED_VALUE"""),"EDEN HEALTHCARE")</f>
        <v>EDEN HEALTHCARE</v>
      </c>
    </row>
    <row r="907">
      <c r="H907" s="25" t="str">
        <f>IFERROR(__xludf.DUMMYFUNCTION("""COMPUTED_VALUE"""),"EDICO LAB")</f>
        <v>EDICO LAB</v>
      </c>
    </row>
    <row r="908">
      <c r="H908" s="25" t="str">
        <f>IFERROR(__xludf.DUMMYFUNCTION("""COMPUTED_VALUE"""),"EDISON ORGANICS PHARMACEUTICALS")</f>
        <v>EDISON ORGANICS PHARMACEUTICALS</v>
      </c>
    </row>
    <row r="909">
      <c r="H909" s="25" t="str">
        <f>IFERROR(__xludf.DUMMYFUNCTION("""COMPUTED_VALUE"""),"Edrant pharmaceuticals")</f>
        <v>Edrant pharmaceuticals</v>
      </c>
    </row>
    <row r="910">
      <c r="H910" s="25" t="str">
        <f>IFERROR(__xludf.DUMMYFUNCTION("""COMPUTED_VALUE"""),"Eisai Pharmaceuticals India Pvt Ltd")</f>
        <v>Eisai Pharmaceuticals India Pvt Ltd</v>
      </c>
    </row>
    <row r="911">
      <c r="H911" s="25" t="str">
        <f>IFERROR(__xludf.DUMMYFUNCTION("""COMPUTED_VALUE"""),"EISEN PHARMA")</f>
        <v>EISEN PHARMA</v>
      </c>
    </row>
    <row r="912">
      <c r="H912" s="25" t="str">
        <f>IFERROR(__xludf.DUMMYFUNCTION("""COMPUTED_VALUE"""),"EKMAY")</f>
        <v>EKMAY</v>
      </c>
    </row>
    <row r="913">
      <c r="H913" s="25" t="str">
        <f>IFERROR(__xludf.DUMMYFUNCTION("""COMPUTED_VALUE"""),"Elan Pharma India Pvt Ltd")</f>
        <v>Elan Pharma India Pvt Ltd</v>
      </c>
    </row>
    <row r="914">
      <c r="H914" s="25" t="str">
        <f>IFERROR(__xludf.DUMMYFUNCTION("""COMPUTED_VALUE"""),"ELANCER PHARMACEUTICALS")</f>
        <v>ELANCER PHARMACEUTICALS</v>
      </c>
    </row>
    <row r="915">
      <c r="H915" s="25" t="str">
        <f>IFERROR(__xludf.DUMMYFUNCTION("""COMPUTED_VALUE"""),"ELAXIM PHARMA")</f>
        <v>ELAXIM PHARMA</v>
      </c>
    </row>
    <row r="916">
      <c r="H916" s="25" t="str">
        <f>IFERROR(__xludf.DUMMYFUNCTION("""COMPUTED_VALUE"""),"ELCLIF FORMULATION")</f>
        <v>ELCLIF FORMULATION</v>
      </c>
    </row>
    <row r="917">
      <c r="H917" s="25" t="str">
        <f>IFERROR(__xludf.DUMMYFUNCTION("""COMPUTED_VALUE"""),"ELCURE BIOTEC")</f>
        <v>ELCURE BIOTEC</v>
      </c>
    </row>
    <row r="918">
      <c r="H918" s="25" t="str">
        <f>IFERROR(__xludf.DUMMYFUNCTION("""COMPUTED_VALUE"""),"ELDER (A)")</f>
        <v>ELDER (A)</v>
      </c>
    </row>
    <row r="919">
      <c r="H919" s="25" t="str">
        <f>IFERROR(__xludf.DUMMYFUNCTION("""COMPUTED_VALUE"""),"ELDER (ADVENTT)")</f>
        <v>ELDER (ADVENTT)</v>
      </c>
    </row>
    <row r="920">
      <c r="H920" s="25" t="str">
        <f>IFERROR(__xludf.DUMMYFUNCTION("""COMPUTED_VALUE"""),"ELDER (ADVENTUS)")</f>
        <v>ELDER (ADVENTUS)</v>
      </c>
    </row>
    <row r="921">
      <c r="H921" s="25" t="str">
        <f>IFERROR(__xludf.DUMMYFUNCTION("""COMPUTED_VALUE"""),"ELDER (B-SPECIALITIES)")</f>
        <v>ELDER (B-SPECIALITIES)</v>
      </c>
    </row>
    <row r="922">
      <c r="H922" s="25" t="str">
        <f>IFERROR(__xludf.DUMMYFUNCTION("""COMPUTED_VALUE"""),"ELDER (B)")</f>
        <v>ELDER (B)</v>
      </c>
    </row>
    <row r="923">
      <c r="H923" s="25" t="str">
        <f>IFERROR(__xludf.DUMMYFUNCTION("""COMPUTED_VALUE"""),"ELDER (ELNOVA)")</f>
        <v>ELDER (ELNOVA)</v>
      </c>
    </row>
    <row r="924">
      <c r="H924" s="25" t="str">
        <f>IFERROR(__xludf.DUMMYFUNCTION("""COMPUTED_VALUE"""),"ELDER (ELVISTA)")</f>
        <v>ELDER (ELVISTA)</v>
      </c>
    </row>
    <row r="925">
      <c r="H925" s="25" t="str">
        <f>IFERROR(__xludf.DUMMYFUNCTION("""COMPUTED_VALUE"""),"ELDER (GENERIC)")</f>
        <v>ELDER (GENERIC)</v>
      </c>
    </row>
    <row r="926">
      <c r="H926" s="25" t="str">
        <f>IFERROR(__xludf.DUMMYFUNCTION("""COMPUTED_VALUE"""),"ELDER (MIS)")</f>
        <v>ELDER (MIS)</v>
      </c>
    </row>
    <row r="927">
      <c r="H927" s="25" t="str">
        <f>IFERROR(__xludf.DUMMYFUNCTION("""COMPUTED_VALUE"""),"Elder Pharmaceuticals Ltd")</f>
        <v>Elder Pharmaceuticals Ltd</v>
      </c>
    </row>
    <row r="928">
      <c r="H928" s="25" t="str">
        <f>IFERROR(__xludf.DUMMYFUNCTION("""COMPUTED_VALUE"""),"ELDORA HEALTHCARE")</f>
        <v>ELDORA HEALTHCARE</v>
      </c>
    </row>
    <row r="929">
      <c r="H929" s="25" t="str">
        <f>IFERROR(__xludf.DUMMYFUNCTION("""COMPUTED_VALUE"""),"ELEMENSIS LIFESCIENCES PVT LTD")</f>
        <v>ELEMENSIS LIFESCIENCES PVT LTD</v>
      </c>
    </row>
    <row r="930">
      <c r="H930" s="25" t="str">
        <f>IFERROR(__xludf.DUMMYFUNCTION("""COMPUTED_VALUE"""),"ELEMENTS WELLNESS")</f>
        <v>ELEMENTS WELLNESS</v>
      </c>
    </row>
    <row r="931">
      <c r="H931" s="25" t="str">
        <f>IFERROR(__xludf.DUMMYFUNCTION("""COMPUTED_VALUE"""),"ELENOR HEALTHCARE")</f>
        <v>ELENOR HEALTHCARE</v>
      </c>
    </row>
    <row r="932">
      <c r="H932" s="25" t="str">
        <f>IFERROR(__xludf.DUMMYFUNCTION("""COMPUTED_VALUE"""),"ELFIN PHARMA P LTD")</f>
        <v>ELFIN PHARMA P LTD</v>
      </c>
    </row>
    <row r="933">
      <c r="H933" s="25" t="str">
        <f>IFERROR(__xludf.DUMMYFUNCTION("""COMPUTED_VALUE"""),"Eli Lilly and Company India Pvt Ltd")</f>
        <v>Eli Lilly and Company India Pvt Ltd</v>
      </c>
    </row>
    <row r="934">
      <c r="H934" s="25" t="str">
        <f>IFERROR(__xludf.DUMMYFUNCTION("""COMPUTED_VALUE"""),"ELI PHARMACEUTICALS")</f>
        <v>ELI PHARMACEUTICALS</v>
      </c>
    </row>
    <row r="935">
      <c r="H935" s="25" t="str">
        <f>IFERROR(__xludf.DUMMYFUNCTION("""COMPUTED_VALUE"""),"ELION HEALTHCARE PVT LTD")</f>
        <v>ELION HEALTHCARE PVT LTD</v>
      </c>
    </row>
    <row r="936">
      <c r="H936" s="25" t="str">
        <f>IFERROR(__xludf.DUMMYFUNCTION("""COMPUTED_VALUE"""),"ELIXIR LIFE CARE")</f>
        <v>ELIXIR LIFE CARE</v>
      </c>
    </row>
    <row r="937">
      <c r="H937" s="25" t="str">
        <f>IFERROR(__xludf.DUMMYFUNCTION("""COMPUTED_VALUE"""),"ELIXIR LIFE CARE (ACCELENT)")</f>
        <v>ELIXIR LIFE CARE (ACCELENT)</v>
      </c>
    </row>
    <row r="938">
      <c r="H938" s="25" t="str">
        <f>IFERROR(__xludf.DUMMYFUNCTION("""COMPUTED_VALUE"""),"ELIXIR MEDISERVE P LTD")</f>
        <v>ELIXIR MEDISERVE P LTD</v>
      </c>
    </row>
    <row r="939">
      <c r="H939" s="25" t="str">
        <f>IFERROR(__xludf.DUMMYFUNCTION("""COMPUTED_VALUE"""),"ELKOS HEALTHCARE P LTD")</f>
        <v>ELKOS HEALTHCARE P LTD</v>
      </c>
    </row>
    <row r="940">
      <c r="H940" s="25" t="str">
        <f>IFERROR(__xludf.DUMMYFUNCTION("""COMPUTED_VALUE"""),"ELLINOR LIFESCIENCES")</f>
        <v>ELLINOR LIFESCIENCES</v>
      </c>
    </row>
    <row r="941">
      <c r="H941" s="25" t="str">
        <f>IFERROR(__xludf.DUMMYFUNCTION("""COMPUTED_VALUE"""),"ELLIOT BIOTECH")</f>
        <v>ELLIOT BIOTECH</v>
      </c>
    </row>
    <row r="942">
      <c r="H942" s="25" t="str">
        <f>IFERROR(__xludf.DUMMYFUNCTION("""COMPUTED_VALUE"""),"ELNOVA PHARMA SIRMOUR")</f>
        <v>ELNOVA PHARMA SIRMOUR</v>
      </c>
    </row>
    <row r="943">
      <c r="H943" s="25" t="str">
        <f>IFERROR(__xludf.DUMMYFUNCTION("""COMPUTED_VALUE"""),"ELVIA")</f>
        <v>ELVIA</v>
      </c>
    </row>
    <row r="944">
      <c r="H944" s="25" t="str">
        <f>IFERROR(__xludf.DUMMYFUNCTION("""COMPUTED_VALUE"""),"Emami Ltd")</f>
        <v>Emami Ltd</v>
      </c>
    </row>
    <row r="945">
      <c r="H945" s="25" t="str">
        <f>IFERROR(__xludf.DUMMYFUNCTION("""COMPUTED_VALUE"""),"EMBARK LIFESCIENCE PVT LTD")</f>
        <v>EMBARK LIFESCIENCE PVT LTD</v>
      </c>
    </row>
    <row r="946">
      <c r="H946" s="25" t="str">
        <f>IFERROR(__xludf.DUMMYFUNCTION("""COMPUTED_VALUE"""),"EMCURE (EMCUTIX)")</f>
        <v>EMCURE (EMCUTIX)</v>
      </c>
    </row>
    <row r="947">
      <c r="H947" s="25" t="str">
        <f>IFERROR(__xludf.DUMMYFUNCTION("""COMPUTED_VALUE"""),"EMCURE (GENNOVA)")</f>
        <v>EMCURE (GENNOVA)</v>
      </c>
    </row>
    <row r="948">
      <c r="H948" s="25" t="str">
        <f>IFERROR(__xludf.DUMMYFUNCTION("""COMPUTED_VALUE"""),"EMCURE PHARMA (CD)")</f>
        <v>EMCURE PHARMA (CD)</v>
      </c>
    </row>
    <row r="949">
      <c r="H949" s="25" t="str">
        <f>IFERROR(__xludf.DUMMYFUNCTION("""COMPUTED_VALUE"""),"EMCURE PHARMA (CRIANTE)")</f>
        <v>EMCURE PHARMA (CRIANTE)</v>
      </c>
    </row>
    <row r="950">
      <c r="H950" s="25" t="str">
        <f>IFERROR(__xludf.DUMMYFUNCTION("""COMPUTED_VALUE"""),"EMCURE PHARMA (IMPETUS)")</f>
        <v>EMCURE PHARMA (IMPETUS)</v>
      </c>
    </row>
    <row r="951">
      <c r="H951" s="25" t="str">
        <f>IFERROR(__xludf.DUMMYFUNCTION("""COMPUTED_VALUE"""),"EMCURE PHARMA (INFIUS)")</f>
        <v>EMCURE PHARMA (INFIUS)</v>
      </c>
    </row>
    <row r="952">
      <c r="H952" s="25" t="str">
        <f>IFERROR(__xludf.DUMMYFUNCTION("""COMPUTED_VALUE"""),"EMCURE PHARMA (INVENTIA)")</f>
        <v>EMCURE PHARMA (INVENTIA)</v>
      </c>
    </row>
    <row r="953">
      <c r="H953" s="25" t="str">
        <f>IFERROR(__xludf.DUMMYFUNCTION("""COMPUTED_VALUE"""),"EMCURE PHARMA (KONKER)")</f>
        <v>EMCURE PHARMA (KONKER)</v>
      </c>
    </row>
    <row r="954">
      <c r="H954" s="25" t="str">
        <f>IFERROR(__xludf.DUMMYFUNCTION("""COMPUTED_VALUE"""),"EMCURE PHARMA (NEPHRO)")</f>
        <v>EMCURE PHARMA (NEPHRO)</v>
      </c>
    </row>
    <row r="955">
      <c r="H955" s="25" t="str">
        <f>IFERROR(__xludf.DUMMYFUNCTION("""COMPUTED_VALUE"""),"EMCURE PHARMA (NUCRON CV)")</f>
        <v>EMCURE PHARMA (NUCRON CV)</v>
      </c>
    </row>
    <row r="956">
      <c r="H956" s="25" t="str">
        <f>IFERROR(__xludf.DUMMYFUNCTION("""COMPUTED_VALUE"""),"EMCURE PHARMA (NUCRON)")</f>
        <v>EMCURE PHARMA (NUCRON)</v>
      </c>
    </row>
    <row r="957">
      <c r="H957" s="25" t="str">
        <f>IFERROR(__xludf.DUMMYFUNCTION("""COMPUTED_VALUE"""),"EMCURE PHARMA (PHARMA)")</f>
        <v>EMCURE PHARMA (PHARMA)</v>
      </c>
    </row>
    <row r="958">
      <c r="H958" s="25" t="str">
        <f>IFERROR(__xludf.DUMMYFUNCTION("""COMPUTED_VALUE"""),"EMCURE PHARMA (URO)")</f>
        <v>EMCURE PHARMA (URO)</v>
      </c>
    </row>
    <row r="959">
      <c r="H959" s="25" t="str">
        <f>IFERROR(__xludf.DUMMYFUNCTION("""COMPUTED_VALUE"""),"EMCURE PHARMA (VIROLOGY)")</f>
        <v>EMCURE PHARMA (VIROLOGY)</v>
      </c>
    </row>
    <row r="960">
      <c r="H960" s="25" t="str">
        <f>IFERROR(__xludf.DUMMYFUNCTION("""COMPUTED_VALUE"""),"EMCURE PHARMA (XENNEX)")</f>
        <v>EMCURE PHARMA (XENNEX)</v>
      </c>
    </row>
    <row r="961">
      <c r="H961" s="25" t="str">
        <f>IFERROR(__xludf.DUMMYFUNCTION("""COMPUTED_VALUE"""),"EMCURE PHARMA (ZEMCURE)")</f>
        <v>EMCURE PHARMA (ZEMCURE)</v>
      </c>
    </row>
    <row r="962">
      <c r="H962" s="25" t="str">
        <f>IFERROR(__xludf.DUMMYFUNCTION("""COMPUTED_VALUE"""),"Emcure Pharmaceuticals Ltd")</f>
        <v>Emcure Pharmaceuticals Ltd</v>
      </c>
    </row>
    <row r="963">
      <c r="H963" s="25" t="str">
        <f>IFERROR(__xludf.DUMMYFUNCTION("""COMPUTED_VALUE"""),"EMENOX HEALTHCARE")</f>
        <v>EMENOX HEALTHCARE</v>
      </c>
    </row>
    <row r="964">
      <c r="H964" s="25" t="str">
        <f>IFERROR(__xludf.DUMMYFUNCTION("""COMPUTED_VALUE"""),"EMIL PHARMACEUTICAL INDUSTRIES PVT LTD")</f>
        <v>EMIL PHARMACEUTICAL INDUSTRIES PVT LTD</v>
      </c>
    </row>
    <row r="965">
      <c r="H965" s="25" t="str">
        <f>IFERROR(__xludf.DUMMYFUNCTION("""COMPUTED_VALUE"""),"EMKEDY HEALTH CARE")</f>
        <v>EMKEDY HEALTH CARE</v>
      </c>
    </row>
    <row r="966">
      <c r="H966" s="25" t="str">
        <f>IFERROR(__xludf.DUMMYFUNCTION("""COMPUTED_VALUE"""),"EMMY PHARMACEUTICAL")</f>
        <v>EMMY PHARMACEUTICAL</v>
      </c>
    </row>
    <row r="967">
      <c r="H967" s="25" t="str">
        <f>IFERROR(__xludf.DUMMYFUNCTION("""COMPUTED_VALUE"""),"EMPHASIS PHARMA P LTD")</f>
        <v>EMPHASIS PHARMA P LTD</v>
      </c>
    </row>
    <row r="968">
      <c r="H968" s="25" t="str">
        <f>IFERROR(__xludf.DUMMYFUNCTION("""COMPUTED_VALUE"""),"Empiai Pharmaceuticals Pvt Ltd")</f>
        <v>Empiai Pharmaceuticals Pvt Ltd</v>
      </c>
    </row>
    <row r="969">
      <c r="H969" s="25" t="str">
        <f>IFERROR(__xludf.DUMMYFUNCTION("""COMPUTED_VALUE"""),"ENCORE HEALTHCARE PVT LTD")</f>
        <v>ENCORE HEALTHCARE PVT LTD</v>
      </c>
    </row>
    <row r="970">
      <c r="H970" s="25" t="str">
        <f>IFERROR(__xludf.DUMMYFUNCTION("""COMPUTED_VALUE"""),"Encore Pharmaceuticals Inc.")</f>
        <v>Encore Pharmaceuticals Inc.</v>
      </c>
    </row>
    <row r="971">
      <c r="H971" s="25" t="str">
        <f>IFERROR(__xludf.DUMMYFUNCTION("""COMPUTED_VALUE"""),"ENCYCLO HEATHCARE")</f>
        <v>ENCYCLO HEATHCARE</v>
      </c>
    </row>
    <row r="972">
      <c r="H972" s="25" t="str">
        <f>IFERROR(__xludf.DUMMYFUNCTION("""COMPUTED_VALUE"""),"ENDOLABS LTD")</f>
        <v>ENDOLABS LTD</v>
      </c>
    </row>
    <row r="973">
      <c r="H973" s="25" t="str">
        <f>IFERROR(__xludf.DUMMYFUNCTION("""COMPUTED_VALUE"""),"ENRICO PHARMA")</f>
        <v>ENRICO PHARMA</v>
      </c>
    </row>
    <row r="974">
      <c r="H974" s="25" t="str">
        <f>IFERROR(__xludf.DUMMYFUNCTION("""COMPUTED_VALUE"""),"Entod Pharmaceuticals Ltd")</f>
        <v>Entod Pharmaceuticals Ltd</v>
      </c>
    </row>
    <row r="975">
      <c r="H975" s="25" t="str">
        <f>IFERROR(__xludf.DUMMYFUNCTION("""COMPUTED_VALUE"""),"EOS DERMACEUTICALS")</f>
        <v>EOS DERMACEUTICALS</v>
      </c>
    </row>
    <row r="976">
      <c r="H976" s="25" t="str">
        <f>IFERROR(__xludf.DUMMYFUNCTION("""COMPUTED_VALUE"""),"EPIC LIFESCIENCE")</f>
        <v>EPIC LIFESCIENCE</v>
      </c>
    </row>
    <row r="977">
      <c r="H977" s="25" t="str">
        <f>IFERROR(__xludf.DUMMYFUNCTION("""COMPUTED_VALUE"""),"EPONA PHARMACEUTICALS")</f>
        <v>EPONA PHARMACEUTICALS</v>
      </c>
    </row>
    <row r="978">
      <c r="H978" s="25" t="str">
        <f>IFERROR(__xludf.DUMMYFUNCTION("""COMPUTED_VALUE"""),"Era Pharmaceuticals")</f>
        <v>Era Pharmaceuticals</v>
      </c>
    </row>
    <row r="979">
      <c r="H979" s="25" t="str">
        <f>IFERROR(__xludf.DUMMYFUNCTION("""COMPUTED_VALUE"""),"ERIDANUS HEALTHCARE")</f>
        <v>ERIDANUS HEALTHCARE</v>
      </c>
    </row>
    <row r="980">
      <c r="H980" s="25" t="str">
        <f>IFERROR(__xludf.DUMMYFUNCTION("""COMPUTED_VALUE"""),"ERIS (ADURA)")</f>
        <v>ERIS (ADURA)</v>
      </c>
    </row>
    <row r="981">
      <c r="H981" s="25" t="str">
        <f>IFERROR(__xludf.DUMMYFUNCTION("""COMPUTED_VALUE"""),"ERIS (ALTIZA)")</f>
        <v>ERIS (ALTIZA)</v>
      </c>
    </row>
    <row r="982">
      <c r="H982" s="25" t="str">
        <f>IFERROR(__xludf.DUMMYFUNCTION("""COMPUTED_VALUE"""),"ERIS (ASPIRE)")</f>
        <v>ERIS (ASPIRE)</v>
      </c>
    </row>
    <row r="983">
      <c r="H983" s="25" t="str">
        <f>IFERROR(__xludf.DUMMYFUNCTION("""COMPUTED_VALUE"""),"ERIS (ETERNA)")</f>
        <v>ERIS (ETERNA)</v>
      </c>
    </row>
    <row r="984">
      <c r="H984" s="25" t="str">
        <f>IFERROR(__xludf.DUMMYFUNCTION("""COMPUTED_VALUE"""),"ERIS (INSPIRA)")</f>
        <v>ERIS (INSPIRA)</v>
      </c>
    </row>
    <row r="985">
      <c r="H985" s="25" t="str">
        <f>IFERROR(__xludf.DUMMYFUNCTION("""COMPUTED_VALUE"""),"ERIS (LIFE-I)")</f>
        <v>ERIS (LIFE-I)</v>
      </c>
    </row>
    <row r="986">
      <c r="H986" s="25" t="str">
        <f>IFERROR(__xludf.DUMMYFUNCTION("""COMPUTED_VALUE"""),"ERIS (LIFE-II)")</f>
        <v>ERIS (LIFE-II)</v>
      </c>
    </row>
    <row r="987">
      <c r="H987" s="25" t="str">
        <f>IFERROR(__xludf.DUMMYFUNCTION("""COMPUTED_VALUE"""),"ERIS (MONTANA)")</f>
        <v>ERIS (MONTANA)</v>
      </c>
    </row>
    <row r="988">
      <c r="H988" s="25" t="str">
        <f>IFERROR(__xludf.DUMMYFUNCTION("""COMPUTED_VALUE"""),"ERIS (NIKKOS)")</f>
        <v>ERIS (NIKKOS)</v>
      </c>
    </row>
    <row r="989">
      <c r="H989" s="25" t="str">
        <f>IFERROR(__xludf.DUMMYFUNCTION("""COMPUTED_VALUE"""),"ERIS (ONE)")</f>
        <v>ERIS (ONE)</v>
      </c>
    </row>
    <row r="990">
      <c r="H990" s="25" t="str">
        <f>IFERROR(__xludf.DUMMYFUNCTION("""COMPUTED_VALUE"""),"ERIS (PHOENIX)")</f>
        <v>ERIS (PHOENIX)</v>
      </c>
    </row>
    <row r="991">
      <c r="H991" s="25" t="str">
        <f>IFERROR(__xludf.DUMMYFUNCTION("""COMPUTED_VALUE"""),"ERIS (TWO)")</f>
        <v>ERIS (TWO)</v>
      </c>
    </row>
    <row r="992">
      <c r="H992" s="25" t="str">
        <f>IFERROR(__xludf.DUMMYFUNCTION("""COMPUTED_VALUE"""),"ERIS (VICTUS)")</f>
        <v>ERIS (VICTUS)</v>
      </c>
    </row>
    <row r="993">
      <c r="H993" s="25" t="str">
        <f>IFERROR(__xludf.DUMMYFUNCTION("""COMPUTED_VALUE"""),"Eris Life Sciences Pvt Ltd")</f>
        <v>Eris Life Sciences Pvt Ltd</v>
      </c>
    </row>
    <row r="994">
      <c r="H994" s="25" t="str">
        <f>IFERROR(__xludf.DUMMYFUNCTION("""COMPUTED_VALUE"""),"ERIS LIFESCIENCES PVT LTD.")</f>
        <v>ERIS LIFESCIENCES PVT LTD.</v>
      </c>
    </row>
    <row r="995">
      <c r="H995" s="25" t="str">
        <f>IFERROR(__xludf.DUMMYFUNCTION("""COMPUTED_VALUE"""),"ERNST PHARMACIA")</f>
        <v>ERNST PHARMACIA</v>
      </c>
    </row>
    <row r="996">
      <c r="H996" s="25" t="str">
        <f>IFERROR(__xludf.DUMMYFUNCTION("""COMPUTED_VALUE"""),"EROSE PHARMACEUTICALS")</f>
        <v>EROSE PHARMACEUTICALS</v>
      </c>
    </row>
    <row r="997">
      <c r="H997" s="25" t="str">
        <f>IFERROR(__xludf.DUMMYFUNCTION("""COMPUTED_VALUE"""),"ERYX HEALTHCARE P LTD")</f>
        <v>ERYX HEALTHCARE P LTD</v>
      </c>
    </row>
    <row r="998">
      <c r="H998" s="25" t="str">
        <f>IFERROR(__xludf.DUMMYFUNCTION("""COMPUTED_VALUE"""),"ESKAG PHARMA")</f>
        <v>ESKAG PHARMA</v>
      </c>
    </row>
    <row r="999">
      <c r="H999" s="25" t="str">
        <f>IFERROR(__xludf.DUMMYFUNCTION("""COMPUTED_VALUE"""),"ESTRELLAS LIFESCIENCES")</f>
        <v>ESTRELLAS LIFESCIENCES</v>
      </c>
    </row>
    <row r="1000">
      <c r="H1000" s="25" t="str">
        <f>IFERROR(__xludf.DUMMYFUNCTION("""COMPUTED_VALUE"""),"Ethicare Pharma")</f>
        <v>Ethicare Pharma</v>
      </c>
    </row>
    <row r="1001">
      <c r="H1001" s="25" t="str">
        <f>IFERROR(__xludf.DUMMYFUNCTION("""COMPUTED_VALUE"""),"Ethicare Remedies")</f>
        <v>Ethicare Remedies</v>
      </c>
    </row>
    <row r="1002">
      <c r="H1002" s="25" t="str">
        <f>IFERROR(__xludf.DUMMYFUNCTION("""COMPUTED_VALUE"""),"Ethilexhealth Care Guj Ltd")</f>
        <v>Ethilexhealth Care Guj Ltd</v>
      </c>
    </row>
    <row r="1003">
      <c r="H1003" s="25" t="str">
        <f>IFERROR(__xludf.DUMMYFUNCTION("""COMPUTED_VALUE"""),"Ethinext Pharma")</f>
        <v>Ethinext Pharma</v>
      </c>
    </row>
    <row r="1004">
      <c r="H1004" s="25" t="str">
        <f>IFERROR(__xludf.DUMMYFUNCTION("""COMPUTED_VALUE"""),"EU GENIA BIOCARE INTERNATIONAL")</f>
        <v>EU GENIA BIOCARE INTERNATIONAL</v>
      </c>
    </row>
    <row r="1005">
      <c r="H1005" s="25" t="str">
        <f>IFERROR(__xludf.DUMMYFUNCTION("""COMPUTED_VALUE"""),"EUPHONY HEALTHCARE")</f>
        <v>EUPHONY HEALTHCARE</v>
      </c>
    </row>
    <row r="1006">
      <c r="H1006" s="25" t="str">
        <f>IFERROR(__xludf.DUMMYFUNCTION("""COMPUTED_VALUE"""),"EUPHORIA INDIA PHARMACEUTICALS")</f>
        <v>EUPHORIA INDIA PHARMACEUTICALS</v>
      </c>
    </row>
    <row r="1007">
      <c r="H1007" s="25" t="str">
        <f>IFERROR(__xludf.DUMMYFUNCTION("""COMPUTED_VALUE"""),"EURO BIOLOGICALS")</f>
        <v>EURO BIOLOGICALS</v>
      </c>
    </row>
    <row r="1008">
      <c r="H1008" s="25" t="str">
        <f>IFERROR(__xludf.DUMMYFUNCTION("""COMPUTED_VALUE"""),"EURO BIOTECH")</f>
        <v>EURO BIOTECH</v>
      </c>
    </row>
    <row r="1009">
      <c r="H1009" s="25" t="str">
        <f>IFERROR(__xludf.DUMMYFUNCTION("""COMPUTED_VALUE"""),"EURO HEALTH &amp; BIOSEARCH")</f>
        <v>EURO HEALTH &amp; BIOSEARCH</v>
      </c>
    </row>
    <row r="1010">
      <c r="H1010" s="25" t="str">
        <f>IFERROR(__xludf.DUMMYFUNCTION("""COMPUTED_VALUE"""),"EUROCARE")</f>
        <v>EUROCARE</v>
      </c>
    </row>
    <row r="1011">
      <c r="H1011" s="25" t="str">
        <f>IFERROR(__xludf.DUMMYFUNCTION("""COMPUTED_VALUE"""),"EUROPA HEALTH CARE")</f>
        <v>EUROPA HEALTH CARE</v>
      </c>
    </row>
    <row r="1012">
      <c r="H1012" s="25" t="str">
        <f>IFERROR(__xludf.DUMMYFUNCTION("""COMPUTED_VALUE"""),"EVANCE PHARMA")</f>
        <v>EVANCE PHARMA</v>
      </c>
    </row>
    <row r="1013">
      <c r="H1013" s="25" t="str">
        <f>IFERROR(__xludf.DUMMYFUNCTION("""COMPUTED_VALUE"""),"EVDOXIA LIFESCIENCES PVT LTD")</f>
        <v>EVDOXIA LIFESCIENCES PVT LTD</v>
      </c>
    </row>
    <row r="1014">
      <c r="H1014" s="25" t="str">
        <f>IFERROR(__xludf.DUMMYFUNCTION("""COMPUTED_VALUE"""),"EVERWELL PHARMA")</f>
        <v>EVERWELL PHARMA</v>
      </c>
    </row>
    <row r="1015">
      <c r="H1015" s="25" t="str">
        <f>IFERROR(__xludf.DUMMYFUNCTION("""COMPUTED_VALUE"""),"EVOK LIFESCIENCES PVT LTD")</f>
        <v>EVOK LIFESCIENCES PVT LTD</v>
      </c>
    </row>
    <row r="1016">
      <c r="H1016" s="25" t="str">
        <f>IFERROR(__xludf.DUMMYFUNCTION("""COMPUTED_VALUE"""),"EXAZAM MD")</f>
        <v>EXAZAM MD</v>
      </c>
    </row>
    <row r="1017">
      <c r="H1017" s="25" t="str">
        <f>IFERROR(__xludf.DUMMYFUNCTION("""COMPUTED_VALUE"""),"Eyekare Kilitch Limited")</f>
        <v>Eyekare Kilitch Limited</v>
      </c>
    </row>
    <row r="1018">
      <c r="H1018" s="25" t="str">
        <f>IFERROR(__xludf.DUMMYFUNCTION("""COMPUTED_VALUE"""),"EYEORA LIFESCIENCES")</f>
        <v>EYEORA LIFESCIENCES</v>
      </c>
    </row>
    <row r="1019">
      <c r="H1019" s="25" t="str">
        <f>IFERROR(__xludf.DUMMYFUNCTION("""COMPUTED_VALUE"""),"FAIR DERMA REMEDIES")</f>
        <v>FAIR DERMA REMEDIES</v>
      </c>
    </row>
    <row r="1020">
      <c r="H1020" s="25" t="str">
        <f>IFERROR(__xludf.DUMMYFUNCTION("""COMPUTED_VALUE"""),"FAMY CARE LTD")</f>
        <v>FAMY CARE LTD</v>
      </c>
    </row>
    <row r="1021">
      <c r="H1021" s="25" t="str">
        <f>IFERROR(__xludf.DUMMYFUNCTION("""COMPUTED_VALUE"""),"FARLEX PHARMACEUTICAL")</f>
        <v>FARLEX PHARMACEUTICAL</v>
      </c>
    </row>
    <row r="1022">
      <c r="H1022" s="25" t="str">
        <f>IFERROR(__xludf.DUMMYFUNCTION("""COMPUTED_VALUE"""),"FATEH PHARMACY")</f>
        <v>FATEH PHARMACY</v>
      </c>
    </row>
    <row r="1023">
      <c r="H1023" s="25" t="str">
        <f>IFERROR(__xludf.DUMMYFUNCTION("""COMPUTED_VALUE"""),"FATHER MULLER")</f>
        <v>FATHER MULLER</v>
      </c>
    </row>
    <row r="1024">
      <c r="H1024" s="25" t="str">
        <f>IFERROR(__xludf.DUMMYFUNCTION("""COMPUTED_VALUE"""),"FAWN PHARMA")</f>
        <v>FAWN PHARMA</v>
      </c>
    </row>
    <row r="1025">
      <c r="H1025" s="25" t="str">
        <f>IFERROR(__xludf.DUMMYFUNCTION("""COMPUTED_VALUE"""),"FDC Ltd")</f>
        <v>FDC Ltd</v>
      </c>
    </row>
    <row r="1026">
      <c r="H1026" s="25" t="str">
        <f>IFERROR(__xludf.DUMMYFUNCTION("""COMPUTED_VALUE"""),"FDC Ltd (DILSE)")</f>
        <v>FDC Ltd (DILSE)</v>
      </c>
    </row>
    <row r="1027">
      <c r="H1027" s="25" t="str">
        <f>IFERROR(__xludf.DUMMYFUNCTION("""COMPUTED_VALUE"""),"FDC Ltd (LUMINA)")</f>
        <v>FDC Ltd (LUMINA)</v>
      </c>
    </row>
    <row r="1028">
      <c r="H1028" s="25" t="str">
        <f>IFERROR(__xludf.DUMMYFUNCTION("""COMPUTED_VALUE"""),"FDC Ltd (PIXEL)")</f>
        <v>FDC Ltd (PIXEL)</v>
      </c>
    </row>
    <row r="1029">
      <c r="H1029" s="25" t="str">
        <f>IFERROR(__xludf.DUMMYFUNCTION("""COMPUTED_VALUE"""),"FDC Ltd (PROXIMA)")</f>
        <v>FDC Ltd (PROXIMA)</v>
      </c>
    </row>
    <row r="1030">
      <c r="H1030" s="25" t="str">
        <f>IFERROR(__xludf.DUMMYFUNCTION("""COMPUTED_VALUE"""),"FDC Ltd (SELECT)")</f>
        <v>FDC Ltd (SELECT)</v>
      </c>
    </row>
    <row r="1031">
      <c r="H1031" s="25" t="str">
        <f>IFERROR(__xludf.DUMMYFUNCTION("""COMPUTED_VALUE"""),"FDC Ltd (SPECTRA)")</f>
        <v>FDC Ltd (SPECTRA)</v>
      </c>
    </row>
    <row r="1032">
      <c r="H1032" s="25" t="str">
        <f>IFERROR(__xludf.DUMMYFUNCTION("""COMPUTED_VALUE"""),"FDC Ltd (VISTA)")</f>
        <v>FDC Ltd (VISTA)</v>
      </c>
    </row>
    <row r="1033">
      <c r="H1033" s="25" t="str">
        <f>IFERROR(__xludf.DUMMYFUNCTION("""COMPUTED_VALUE"""),"FDC LtdTED")</f>
        <v>FDC LtdTED</v>
      </c>
    </row>
    <row r="1034">
      <c r="H1034" s="25" t="str">
        <f>IFERROR(__xludf.DUMMYFUNCTION("""COMPUTED_VALUE"""),"FEDERAL BIOSCIENCES")</f>
        <v>FEDERAL BIOSCIENCES</v>
      </c>
    </row>
    <row r="1035">
      <c r="H1035" s="25" t="str">
        <f>IFERROR(__xludf.DUMMYFUNCTION("""COMPUTED_VALUE"""),"FEDERAL'S BIOS")</f>
        <v>FEDERAL'S BIOS</v>
      </c>
    </row>
    <row r="1036">
      <c r="H1036" s="25" t="str">
        <f>IFERROR(__xludf.DUMMYFUNCTION("""COMPUTED_VALUE"""),"Fem Care Pharma Ltd.")</f>
        <v>Fem Care Pharma Ltd.</v>
      </c>
    </row>
    <row r="1037">
      <c r="H1037" s="25" t="str">
        <f>IFERROR(__xludf.DUMMYFUNCTION("""COMPUTED_VALUE"""),"FEMINOR HEALTHCARE PVT LTD")</f>
        <v>FEMINOR HEALTHCARE PVT LTD</v>
      </c>
    </row>
    <row r="1038">
      <c r="H1038" s="25" t="str">
        <f>IFERROR(__xludf.DUMMYFUNCTION("""COMPUTED_VALUE"""),"Ferring Pharmaceuticals")</f>
        <v>Ferring Pharmaceuticals</v>
      </c>
    </row>
    <row r="1039">
      <c r="H1039" s="25" t="str">
        <f>IFERROR(__xludf.DUMMYFUNCTION("""COMPUTED_VALUE"""),"FERTILESURE PHARMA")</f>
        <v>FERTILESURE PHARMA</v>
      </c>
    </row>
    <row r="1040">
      <c r="H1040" s="25" t="str">
        <f>IFERROR(__xludf.DUMMYFUNCTION("""COMPUTED_VALUE"""),"Fiale Pharmaceuticals")</f>
        <v>Fiale Pharmaceuticals</v>
      </c>
    </row>
    <row r="1041">
      <c r="H1041" s="25" t="str">
        <f>IFERROR(__xludf.DUMMYFUNCTION("""COMPUTED_VALUE"""),"Fidalgo Laboratories Pvt Ltd")</f>
        <v>Fidalgo Laboratories Pvt Ltd</v>
      </c>
    </row>
    <row r="1042">
      <c r="H1042" s="25" t="str">
        <f>IFERROR(__xludf.DUMMYFUNCTION("""COMPUTED_VALUE"""),"FIDELITY LIFESCIENCES")</f>
        <v>FIDELITY LIFESCIENCES</v>
      </c>
    </row>
    <row r="1043">
      <c r="H1043" s="25" t="str">
        <f>IFERROR(__xludf.DUMMYFUNCTION("""COMPUTED_VALUE"""),"FIDULIS BIO INC")</f>
        <v>FIDULIS BIO INC</v>
      </c>
    </row>
    <row r="1044">
      <c r="H1044" s="25" t="str">
        <f>IFERROR(__xludf.DUMMYFUNCTION("""COMPUTED_VALUE"""),"Figaro")</f>
        <v>Figaro</v>
      </c>
    </row>
    <row r="1045">
      <c r="H1045" s="25" t="str">
        <f>IFERROR(__xludf.DUMMYFUNCTION("""COMPUTED_VALUE"""),"FINECURE PHARMACEUTICAL INDORE")</f>
        <v>FINECURE PHARMACEUTICAL INDORE</v>
      </c>
    </row>
    <row r="1046">
      <c r="H1046" s="25" t="str">
        <f>IFERROR(__xludf.DUMMYFUNCTION("""COMPUTED_VALUE"""),"FITWEL PHARMACEUTICALS")</f>
        <v>FITWEL PHARMACEUTICALS</v>
      </c>
    </row>
    <row r="1047">
      <c r="H1047" s="25" t="str">
        <f>IFERROR(__xludf.DUMMYFUNCTION("""COMPUTED_VALUE"""),"FIXDERMA INDIA")</f>
        <v>FIXDERMA INDIA</v>
      </c>
    </row>
    <row r="1048">
      <c r="H1048" s="25" t="str">
        <f>IFERROR(__xludf.DUMMYFUNCTION("""COMPUTED_VALUE"""),"FIZARK HEALTHCARE")</f>
        <v>FIZARK HEALTHCARE</v>
      </c>
    </row>
    <row r="1049">
      <c r="H1049" s="25" t="str">
        <f>IFERROR(__xludf.DUMMYFUNCTION("""COMPUTED_VALUE"""),"FIZEN BIOSCIENCES")</f>
        <v>FIZEN BIOSCIENCES</v>
      </c>
    </row>
    <row r="1050">
      <c r="H1050" s="25" t="str">
        <f>IFERROR(__xludf.DUMMYFUNCTION("""COMPUTED_VALUE"""),"FLAMINGO HEALTHCARE")</f>
        <v>FLAMINGO HEALTHCARE</v>
      </c>
    </row>
    <row r="1051">
      <c r="H1051" s="25" t="str">
        <f>IFERROR(__xludf.DUMMYFUNCTION("""COMPUTED_VALUE"""),"FLAMINGO PHARMACUTICALS LTD")</f>
        <v>FLAMINGO PHARMACUTICALS LTD</v>
      </c>
    </row>
    <row r="1052">
      <c r="H1052" s="25" t="str">
        <f>IFERROR(__xludf.DUMMYFUNCTION("""COMPUTED_VALUE"""),"FLANCA LIFE SCIENCES")</f>
        <v>FLANCA LIFE SCIENCES</v>
      </c>
    </row>
    <row r="1053">
      <c r="H1053" s="25" t="str">
        <f>IFERROR(__xludf.DUMMYFUNCTION("""COMPUTED_VALUE"""),"FONCER PHARMA P LTD")</f>
        <v>FONCER PHARMA P LTD</v>
      </c>
    </row>
    <row r="1054">
      <c r="H1054" s="25" t="str">
        <f>IFERROR(__xludf.DUMMYFUNCTION("""COMPUTED_VALUE"""),"FONCER PHARMA PVT LTD")</f>
        <v>FONCER PHARMA PVT LTD</v>
      </c>
    </row>
    <row r="1055">
      <c r="H1055" s="25" t="str">
        <f>IFERROR(__xludf.DUMMYFUNCTION("""COMPUTED_VALUE"""),"FOREVER LIVING PRODUCTS INTERNATIONAL")</f>
        <v>FOREVER LIVING PRODUCTS INTERNATIONAL</v>
      </c>
    </row>
    <row r="1056">
      <c r="H1056" s="25" t="str">
        <f>IFERROR(__xludf.DUMMYFUNCTION("""COMPUTED_VALUE"""),"FOSSIL REMEDIES")</f>
        <v>FOSSIL REMEDIES</v>
      </c>
    </row>
    <row r="1057">
      <c r="H1057" s="25" t="str">
        <f>IFERROR(__xludf.DUMMYFUNCTION("""COMPUTED_VALUE"""),"Fountil Life Sciences Pvt Ltd")</f>
        <v>Fountil Life Sciences Pvt Ltd</v>
      </c>
    </row>
    <row r="1058">
      <c r="H1058" s="25" t="str">
        <f>IFERROR(__xludf.DUMMYFUNCTION("""COMPUTED_VALUE"""),"Fourrts India Laboratories Pvt Ltd")</f>
        <v>Fourrts India Laboratories Pvt Ltd</v>
      </c>
    </row>
    <row r="1059">
      <c r="H1059" s="25" t="str">
        <f>IFERROR(__xludf.DUMMYFUNCTION("""COMPUTED_VALUE"""),"FRAGRANCE")</f>
        <v>FRAGRANCE</v>
      </c>
    </row>
    <row r="1060">
      <c r="H1060" s="25" t="str">
        <f>IFERROR(__xludf.DUMMYFUNCTION("""COMPUTED_VALUE"""),"FRANCESCA PHARMA")</f>
        <v>FRANCESCA PHARMA</v>
      </c>
    </row>
    <row r="1061">
      <c r="H1061" s="25" t="str">
        <f>IFERROR(__xludf.DUMMYFUNCTION("""COMPUTED_VALUE"""),"Franco-Indian Pharmaceuticals")</f>
        <v>Franco-Indian Pharmaceuticals</v>
      </c>
    </row>
    <row r="1062">
      <c r="H1062" s="25" t="str">
        <f>IFERROR(__xludf.DUMMYFUNCTION("""COMPUTED_VALUE"""),"Franco-Indian Pharmaceuticals (DIABETIC)")</f>
        <v>Franco-Indian Pharmaceuticals (DIABETIC)</v>
      </c>
    </row>
    <row r="1063">
      <c r="H1063" s="25" t="str">
        <f>IFERROR(__xludf.DUMMYFUNCTION("""COMPUTED_VALUE"""),"Franco-Indian Pharmaceuticals (MAIN)")</f>
        <v>Franco-Indian Pharmaceuticals (MAIN)</v>
      </c>
    </row>
    <row r="1064">
      <c r="H1064" s="25" t="str">
        <f>IFERROR(__xludf.DUMMYFUNCTION("""COMPUTED_VALUE"""),"Franco-Indian Pharmaceuticals (ZINDA)")</f>
        <v>Franco-Indian Pharmaceuticals (ZINDA)</v>
      </c>
    </row>
    <row r="1065">
      <c r="H1065" s="25" t="str">
        <f>IFERROR(__xludf.DUMMYFUNCTION("""COMPUTED_VALUE"""),"Franklin Laboratories India Pvt Ltd")</f>
        <v>Franklin Laboratories India Pvt Ltd</v>
      </c>
    </row>
    <row r="1066">
      <c r="H1066" s="25" t="str">
        <f>IFERROR(__xludf.DUMMYFUNCTION("""COMPUTED_VALUE"""),"FREIA")</f>
        <v>FREIA</v>
      </c>
    </row>
    <row r="1067">
      <c r="H1067" s="25" t="str">
        <f>IFERROR(__xludf.DUMMYFUNCTION("""COMPUTED_VALUE"""),"Fresenius Kabi India Pvt Ltd")</f>
        <v>Fresenius Kabi India Pvt Ltd</v>
      </c>
    </row>
    <row r="1068">
      <c r="H1068" s="25" t="str">
        <f>IFERROR(__xludf.DUMMYFUNCTION("""COMPUTED_VALUE"""),"FRESENIUS KABI INDIA PVT LTD (NEPHRO)")</f>
        <v>FRESENIUS KABI INDIA PVT LTD (NEPHRO)</v>
      </c>
    </row>
    <row r="1069">
      <c r="H1069" s="25" t="str">
        <f>IFERROR(__xludf.DUMMYFUNCTION("""COMPUTED_VALUE"""),"FRIMLINE P LTD")</f>
        <v>FRIMLINE P LTD</v>
      </c>
    </row>
    <row r="1070">
      <c r="H1070" s="25" t="str">
        <f>IFERROR(__xludf.DUMMYFUNCTION("""COMPUTED_VALUE"""),"Fulford India Ltd")</f>
        <v>Fulford India Ltd</v>
      </c>
    </row>
    <row r="1071">
      <c r="H1071" s="25" t="str">
        <f>IFERROR(__xludf.DUMMYFUNCTION("""COMPUTED_VALUE"""),"FUSION HEALTHCARE PVT LTD")</f>
        <v>FUSION HEALTHCARE PVT LTD</v>
      </c>
    </row>
    <row r="1072">
      <c r="H1072" s="25" t="str">
        <f>IFERROR(__xludf.DUMMYFUNCTION("""COMPUTED_VALUE"""),"FUTURELIFE PHARMACEUTICALS PVT LTD")</f>
        <v>FUTURELIFE PHARMACEUTICALS PVT LTD</v>
      </c>
    </row>
    <row r="1073">
      <c r="H1073" s="25" t="str">
        <f>IFERROR(__xludf.DUMMYFUNCTION("""COMPUTED_VALUE"""),"G.S.K")</f>
        <v>G.S.K</v>
      </c>
    </row>
    <row r="1074">
      <c r="H1074" s="25" t="str">
        <f>IFERROR(__xludf.DUMMYFUNCTION("""COMPUTED_VALUE"""),"G&amp;G PHARMACY")</f>
        <v>G&amp;G PHARMACY</v>
      </c>
    </row>
    <row r="1075">
      <c r="H1075" s="25" t="str">
        <f>IFERROR(__xludf.DUMMYFUNCTION("""COMPUTED_VALUE"""),"GAHARWAR PHARMA")</f>
        <v>GAHARWAR PHARMA</v>
      </c>
    </row>
    <row r="1076">
      <c r="H1076" s="25" t="str">
        <f>IFERROR(__xludf.DUMMYFUNCTION("""COMPUTED_VALUE"""),"GALACUS HEALTHCARE")</f>
        <v>GALACUS HEALTHCARE</v>
      </c>
    </row>
    <row r="1077">
      <c r="H1077" s="25" t="str">
        <f>IFERROR(__xludf.DUMMYFUNCTION("""COMPUTED_VALUE"""),"Galcare Pharmaceutical Pvt Ltd")</f>
        <v>Galcare Pharmaceutical Pvt Ltd</v>
      </c>
    </row>
    <row r="1078">
      <c r="H1078" s="25" t="str">
        <f>IFERROR(__xludf.DUMMYFUNCTION("""COMPUTED_VALUE"""),"Galderma India Pvt Ltd")</f>
        <v>Galderma India Pvt Ltd</v>
      </c>
    </row>
    <row r="1079">
      <c r="H1079" s="25" t="str">
        <f>IFERROR(__xludf.DUMMYFUNCTION("""COMPUTED_VALUE"""),"Galpha Laboratories Ltd")</f>
        <v>Galpha Laboratories Ltd</v>
      </c>
    </row>
    <row r="1080">
      <c r="H1080" s="25" t="str">
        <f>IFERROR(__xludf.DUMMYFUNCTION("""COMPUTED_VALUE"""),"GALTON MEDICA")</f>
        <v>GALTON MEDICA</v>
      </c>
    </row>
    <row r="1081">
      <c r="H1081" s="25" t="str">
        <f>IFERROR(__xludf.DUMMYFUNCTION("""COMPUTED_VALUE"""),"GAMANOL 400")</f>
        <v>GAMANOL 400</v>
      </c>
    </row>
    <row r="1082">
      <c r="H1082" s="25" t="str">
        <f>IFERROR(__xludf.DUMMYFUNCTION("""COMPUTED_VALUE"""),"GAMBIA BIOTECH")</f>
        <v>GAMBIA BIOTECH</v>
      </c>
    </row>
    <row r="1083">
      <c r="H1083" s="25" t="str">
        <f>IFERROR(__xludf.DUMMYFUNCTION("""COMPUTED_VALUE"""),"GANDHI HERBAL PVT LTD")</f>
        <v>GANDHI HERBAL PVT LTD</v>
      </c>
    </row>
    <row r="1084">
      <c r="H1084" s="25" t="str">
        <f>IFERROR(__xludf.DUMMYFUNCTION("""COMPUTED_VALUE"""),"GARIMA HEALTHCARE")</f>
        <v>GARIMA HEALTHCARE</v>
      </c>
    </row>
    <row r="1085">
      <c r="H1085" s="25" t="str">
        <f>IFERROR(__xludf.DUMMYFUNCTION("""COMPUTED_VALUE"""),"Gary Pharmaceuticals Pvt Ltd")</f>
        <v>Gary Pharmaceuticals Pvt Ltd</v>
      </c>
    </row>
    <row r="1086">
      <c r="H1086" s="25" t="str">
        <f>IFERROR(__xludf.DUMMYFUNCTION("""COMPUTED_VALUE"""),"GATLE HEALTHCARE")</f>
        <v>GATLE HEALTHCARE</v>
      </c>
    </row>
    <row r="1087">
      <c r="H1087" s="25" t="str">
        <f>IFERROR(__xludf.DUMMYFUNCTION("""COMPUTED_VALUE"""),"GAURANG REMEDIES INDIA PVT LTD")</f>
        <v>GAURANG REMEDIES INDIA PVT LTD</v>
      </c>
    </row>
    <row r="1088">
      <c r="H1088" s="25" t="str">
        <f>IFERROR(__xludf.DUMMYFUNCTION("""COMPUTED_VALUE"""),"GAVIT")</f>
        <v>GAVIT</v>
      </c>
    </row>
    <row r="1089">
      <c r="H1089" s="25" t="str">
        <f>IFERROR(__xludf.DUMMYFUNCTION("""COMPUTED_VALUE"""),"GD PHRMACEUTICALS LTD")</f>
        <v>GD PHRMACEUTICALS LTD</v>
      </c>
    </row>
    <row r="1090">
      <c r="H1090" s="25" t="str">
        <f>IFERROR(__xludf.DUMMYFUNCTION("""COMPUTED_VALUE"""),"GE WIPRO")</f>
        <v>GE WIPRO</v>
      </c>
    </row>
    <row r="1091">
      <c r="H1091" s="25" t="str">
        <f>IFERROR(__xludf.DUMMYFUNCTION("""COMPUTED_VALUE"""),"GELNOVA LABORATORIES (INDIA) PVT LTD")</f>
        <v>GELNOVA LABORATORIES (INDIA) PVT LTD</v>
      </c>
    </row>
    <row r="1092">
      <c r="H1092" s="25" t="str">
        <f>IFERROR(__xludf.DUMMYFUNCTION("""COMPUTED_VALUE"""),"GELUK PHARMA P LTD")</f>
        <v>GELUK PHARMA P LTD</v>
      </c>
    </row>
    <row r="1093">
      <c r="H1093" s="25" t="str">
        <f>IFERROR(__xludf.DUMMYFUNCTION("""COMPUTED_VALUE"""),"GENESIS BIOTEC INC")</f>
        <v>GENESIS BIOTEC INC</v>
      </c>
    </row>
    <row r="1094">
      <c r="H1094" s="25" t="str">
        <f>IFERROR(__xludf.DUMMYFUNCTION("""COMPUTED_VALUE"""),"GENETIC PHARMA")</f>
        <v>GENETIC PHARMA</v>
      </c>
    </row>
    <row r="1095">
      <c r="H1095" s="25" t="str">
        <f>IFERROR(__xludf.DUMMYFUNCTION("""COMPUTED_VALUE"""),"GENEX PHARMA LIMITED")</f>
        <v>GENEX PHARMA LIMITED</v>
      </c>
    </row>
    <row r="1096">
      <c r="H1096" s="25" t="str">
        <f>IFERROR(__xludf.DUMMYFUNCTION("""COMPUTED_VALUE"""),"GENIAL HEALTHCARE")</f>
        <v>GENIAL HEALTHCARE</v>
      </c>
    </row>
    <row r="1097">
      <c r="H1097" s="25" t="str">
        <f>IFERROR(__xludf.DUMMYFUNCTION("""COMPUTED_VALUE"""),"GENIX PHARMA LTD")</f>
        <v>GENIX PHARMA LTD</v>
      </c>
    </row>
    <row r="1098">
      <c r="H1098" s="25" t="str">
        <f>IFERROR(__xludf.DUMMYFUNCTION("""COMPUTED_VALUE"""),"GENMAC")</f>
        <v>GENMAC</v>
      </c>
    </row>
    <row r="1099">
      <c r="H1099" s="25" t="str">
        <f>IFERROR(__xludf.DUMMYFUNCTION("""COMPUTED_VALUE"""),"Geno Pharmaceuticals Ltd")</f>
        <v>Geno Pharmaceuticals Ltd</v>
      </c>
    </row>
    <row r="1100">
      <c r="H1100" s="25" t="str">
        <f>IFERROR(__xludf.DUMMYFUNCTION("""COMPUTED_VALUE"""),"GENOTEK PHARMACEUTICALS")</f>
        <v>GENOTEK PHARMACEUTICALS</v>
      </c>
    </row>
    <row r="1101">
      <c r="H1101" s="25" t="str">
        <f>IFERROR(__xludf.DUMMYFUNCTION("""COMPUTED_VALUE"""),"GENZYME BIOSURGARY")</f>
        <v>GENZYME BIOSURGARY</v>
      </c>
    </row>
    <row r="1102">
      <c r="H1102" s="25" t="str">
        <f>IFERROR(__xludf.DUMMYFUNCTION("""COMPUTED_VALUE"""),"GEO LIFESCIENCES")</f>
        <v>GEO LIFESCIENCES</v>
      </c>
    </row>
    <row r="1103">
      <c r="H1103" s="25" t="str">
        <f>IFERROR(__xludf.DUMMYFUNCTION("""COMPUTED_VALUE"""),"Geo Pharma Pvt Ltd")</f>
        <v>Geo Pharma Pvt Ltd</v>
      </c>
    </row>
    <row r="1104">
      <c r="H1104" s="25" t="str">
        <f>IFERROR(__xludf.DUMMYFUNCTION("""COMPUTED_VALUE"""),"GEOFFROI LABS P LTD")</f>
        <v>GEOFFROI LABS P LTD</v>
      </c>
    </row>
    <row r="1105">
      <c r="H1105" s="25" t="str">
        <f>IFERROR(__xludf.DUMMYFUNCTION("""COMPUTED_VALUE"""),"GEOLIFE SCIENCES")</f>
        <v>GEOLIFE SCIENCES</v>
      </c>
    </row>
    <row r="1106">
      <c r="H1106" s="25" t="str">
        <f>IFERROR(__xludf.DUMMYFUNCTION("""COMPUTED_VALUE"""),"GERMAN HEALTHCARE PVT LTD")</f>
        <v>GERMAN HEALTHCARE PVT LTD</v>
      </c>
    </row>
    <row r="1107">
      <c r="H1107" s="25" t="str">
        <f>IFERROR(__xludf.DUMMYFUNCTION("""COMPUTED_VALUE"""),"German Remedies")</f>
        <v>German Remedies</v>
      </c>
    </row>
    <row r="1108">
      <c r="H1108" s="25" t="str">
        <f>IFERROR(__xludf.DUMMYFUNCTION("""COMPUTED_VALUE"""),"GERMAN REMEDIES (AEROFORCE)")</f>
        <v>GERMAN REMEDIES (AEROFORCE)</v>
      </c>
    </row>
    <row r="1109">
      <c r="H1109" s="25" t="str">
        <f>IFERROR(__xludf.DUMMYFUNCTION("""COMPUTED_VALUE"""),"GERMAN REMEDIES (GYNEXT)")</f>
        <v>GERMAN REMEDIES (GYNEXT)</v>
      </c>
    </row>
    <row r="1110">
      <c r="H1110" s="25" t="str">
        <f>IFERROR(__xludf.DUMMYFUNCTION("""COMPUTED_VALUE"""),"GERMAN REMEDIES (GYNOVA)")</f>
        <v>GERMAN REMEDIES (GYNOVA)</v>
      </c>
    </row>
    <row r="1111">
      <c r="H1111" s="25" t="str">
        <f>IFERROR(__xludf.DUMMYFUNCTION("""COMPUTED_VALUE"""),"GERMAN REMEDIES (MAIN)")</f>
        <v>GERMAN REMEDIES (MAIN)</v>
      </c>
    </row>
    <row r="1112">
      <c r="H1112" s="25" t="str">
        <f>IFERROR(__xludf.DUMMYFUNCTION("""COMPUTED_VALUE"""),"GERMAN REMEDIES (RESPICARE)")</f>
        <v>GERMAN REMEDIES (RESPICARE)</v>
      </c>
    </row>
    <row r="1113">
      <c r="H1113" s="25" t="str">
        <f>IFERROR(__xludf.DUMMYFUNCTION("""COMPUTED_VALUE"""),"GERMAN REMEDIES (ZESPIRA)")</f>
        <v>GERMAN REMEDIES (ZESPIRA)</v>
      </c>
    </row>
    <row r="1114">
      <c r="H1114" s="25" t="str">
        <f>IFERROR(__xludf.DUMMYFUNCTION("""COMPUTED_VALUE"""),"Gerrysun Pharmaceuticals Pvt Ltd")</f>
        <v>Gerrysun Pharmaceuticals Pvt Ltd</v>
      </c>
    </row>
    <row r="1115">
      <c r="H1115" s="25" t="str">
        <f>IFERROR(__xludf.DUMMYFUNCTION("""COMPUTED_VALUE"""),"GETRON PHARMACEUTICAL")</f>
        <v>GETRON PHARMACEUTICAL</v>
      </c>
    </row>
    <row r="1116">
      <c r="H1116" s="25" t="str">
        <f>IFERROR(__xludf.DUMMYFUNCTION("""COMPUTED_VALUE"""),"GHANDHI JAIN KARYALAYA")</f>
        <v>GHANDHI JAIN KARYALAYA</v>
      </c>
    </row>
    <row r="1117">
      <c r="H1117" s="25" t="str">
        <f>IFERROR(__xludf.DUMMYFUNCTION("""COMPUTED_VALUE"""),"GHL")</f>
        <v>GHL</v>
      </c>
    </row>
    <row r="1118">
      <c r="H1118" s="25" t="str">
        <f>IFERROR(__xludf.DUMMYFUNCTION("""COMPUTED_VALUE"""),"GIOCON PHARMA LTD.")</f>
        <v>GIOCON PHARMA LTD.</v>
      </c>
    </row>
    <row r="1119">
      <c r="H1119" s="25" t="str">
        <f>IFERROR(__xludf.DUMMYFUNCTION("""COMPUTED_VALUE"""),"GK BURMAN HERBALS")</f>
        <v>GK BURMAN HERBALS</v>
      </c>
    </row>
    <row r="1120">
      <c r="H1120" s="25" t="str">
        <f>IFERROR(__xludf.DUMMYFUNCTION("""COMPUTED_VALUE"""),"GK ENTERPRISES")</f>
        <v>GK ENTERPRISES</v>
      </c>
    </row>
    <row r="1121">
      <c r="H1121" s="25" t="str">
        <f>IFERROR(__xludf.DUMMYFUNCTION("""COMPUTED_VALUE"""),"GLAMDERMA INDIA PHARMACEUTICAL PRIVATE LIMITED")</f>
        <v>GLAMDERMA INDIA PHARMACEUTICAL PRIVATE LIMITED</v>
      </c>
    </row>
    <row r="1122">
      <c r="H1122" s="25" t="str">
        <f>IFERROR(__xludf.DUMMYFUNCTION("""COMPUTED_VALUE"""),"GLANZ HEALTHCARE")</f>
        <v>GLANZ HEALTHCARE</v>
      </c>
    </row>
    <row r="1123">
      <c r="H1123" s="25" t="str">
        <f>IFERROR(__xludf.DUMMYFUNCTION("""COMPUTED_VALUE"""),"GLAXO (1)")</f>
        <v>GLAXO (1)</v>
      </c>
    </row>
    <row r="1124">
      <c r="H1124" s="25" t="str">
        <f>IFERROR(__xludf.DUMMYFUNCTION("""COMPUTED_VALUE"""),"GLAXO (2)")</f>
        <v>GLAXO (2)</v>
      </c>
    </row>
    <row r="1125">
      <c r="H1125" s="25" t="str">
        <f>IFERROR(__xludf.DUMMYFUNCTION("""COMPUTED_VALUE"""),"GLAXO (3)")</f>
        <v>GLAXO (3)</v>
      </c>
    </row>
    <row r="1126">
      <c r="H1126" s="25" t="str">
        <f>IFERROR(__xludf.DUMMYFUNCTION("""COMPUTED_VALUE"""),"GLAXO (4)")</f>
        <v>GLAXO (4)</v>
      </c>
    </row>
    <row r="1127">
      <c r="H1127" s="25" t="str">
        <f>IFERROR(__xludf.DUMMYFUNCTION("""COMPUTED_VALUE"""),"GLAXO (5)")</f>
        <v>GLAXO (5)</v>
      </c>
    </row>
    <row r="1128">
      <c r="H1128" s="25" t="str">
        <f>IFERROR(__xludf.DUMMYFUNCTION("""COMPUTED_VALUE"""),"GLAXO (6)")</f>
        <v>GLAXO (6)</v>
      </c>
    </row>
    <row r="1129">
      <c r="H1129" s="25" t="str">
        <f>IFERROR(__xludf.DUMMYFUNCTION("""COMPUTED_VALUE"""),"GLAXO (7)")</f>
        <v>GLAXO (7)</v>
      </c>
    </row>
    <row r="1130">
      <c r="H1130" s="25" t="str">
        <f>IFERROR(__xludf.DUMMYFUNCTION("""COMPUTED_VALUE"""),"GLAXO (8)")</f>
        <v>GLAXO (8)</v>
      </c>
    </row>
    <row r="1131">
      <c r="H1131" s="25" t="str">
        <f>IFERROR(__xludf.DUMMYFUNCTION("""COMPUTED_VALUE"""),"GLAXO (BEECHEM)")</f>
        <v>GLAXO (BEECHEM)</v>
      </c>
    </row>
    <row r="1132">
      <c r="H1132" s="25" t="str">
        <f>IFERROR(__xludf.DUMMYFUNCTION("""COMPUTED_VALUE"""),"GLAXO (CONSUMER)")</f>
        <v>GLAXO (CONSUMER)</v>
      </c>
    </row>
    <row r="1133">
      <c r="H1133" s="25" t="str">
        <f>IFERROR(__xludf.DUMMYFUNCTION("""COMPUTED_VALUE"""),"GLAXO (CTC)")</f>
        <v>GLAXO (CTC)</v>
      </c>
    </row>
    <row r="1134">
      <c r="H1134" s="25" t="str">
        <f>IFERROR(__xludf.DUMMYFUNCTION("""COMPUTED_VALUE"""),"GLAXO (FORTIOR)")</f>
        <v>GLAXO (FORTIOR)</v>
      </c>
    </row>
    <row r="1135">
      <c r="H1135" s="25" t="str">
        <f>IFERROR(__xludf.DUMMYFUNCTION("""COMPUTED_VALUE"""),"GLAXO (NEUROSCIENCES)")</f>
        <v>GLAXO (NEUROSCIENCES)</v>
      </c>
    </row>
    <row r="1136">
      <c r="H1136" s="25" t="str">
        <f>IFERROR(__xludf.DUMMYFUNCTION("""COMPUTED_VALUE"""),"GLAXO (VACCINE)")</f>
        <v>GLAXO (VACCINE)</v>
      </c>
    </row>
    <row r="1137">
      <c r="H1137" s="25" t="str">
        <f>IFERROR(__xludf.DUMMYFUNCTION("""COMPUTED_VALUE"""),"Glaxo SmithKline Pharmaceuticals Ltd")</f>
        <v>Glaxo SmithKline Pharmaceuticals Ltd</v>
      </c>
    </row>
    <row r="1138">
      <c r="H1138" s="25" t="str">
        <f>IFERROR(__xludf.DUMMYFUNCTION("""COMPUTED_VALUE"""),"GLENMARK (CCD)")</f>
        <v>GLENMARK (CCD)</v>
      </c>
    </row>
    <row r="1139">
      <c r="H1139" s="25" t="str">
        <f>IFERROR(__xludf.DUMMYFUNCTION("""COMPUTED_VALUE"""),"GLENMARK (COSMOCARE)")</f>
        <v>GLENMARK (COSMOCARE)</v>
      </c>
    </row>
    <row r="1140">
      <c r="H1140" s="25" t="str">
        <f>IFERROR(__xludf.DUMMYFUNCTION("""COMPUTED_VALUE"""),"GLENMARK (CRITICAL CARE)")</f>
        <v>GLENMARK (CRITICAL CARE)</v>
      </c>
    </row>
    <row r="1141">
      <c r="H1141" s="25" t="str">
        <f>IFERROR(__xludf.DUMMYFUNCTION("""COMPUTED_VALUE"""),"GLENMARK (CV)")</f>
        <v>GLENMARK (CV)</v>
      </c>
    </row>
    <row r="1142">
      <c r="H1142" s="25" t="str">
        <f>IFERROR(__xludf.DUMMYFUNCTION("""COMPUTED_VALUE"""),"GLENMARK (DERMAX)")</f>
        <v>GLENMARK (DERMAX)</v>
      </c>
    </row>
    <row r="1143">
      <c r="H1143" s="25" t="str">
        <f>IFERROR(__xludf.DUMMYFUNCTION("""COMPUTED_VALUE"""),"GLENMARK (G&amp;G)")</f>
        <v>GLENMARK (G&amp;G)</v>
      </c>
    </row>
    <row r="1144">
      <c r="H1144" s="25" t="str">
        <f>IFERROR(__xludf.DUMMYFUNCTION("""COMPUTED_VALUE"""),"GLENMARK (GRACEWELL-SPECIALITIY)")</f>
        <v>GLENMARK (GRACEWELL-SPECIALITIY)</v>
      </c>
    </row>
    <row r="1145">
      <c r="H1145" s="25" t="str">
        <f>IFERROR(__xludf.DUMMYFUNCTION("""COMPUTED_VALUE"""),"GLENMARK (GRACEWELL)")</f>
        <v>GLENMARK (GRACEWELL)</v>
      </c>
    </row>
    <row r="1146">
      <c r="H1146" s="25" t="str">
        <f>IFERROR(__xludf.DUMMYFUNCTION("""COMPUTED_VALUE"""),"GLENMARK (HEALTHEON)")</f>
        <v>GLENMARK (HEALTHEON)</v>
      </c>
    </row>
    <row r="1147">
      <c r="H1147" s="25" t="str">
        <f>IFERROR(__xludf.DUMMYFUNCTION("""COMPUTED_VALUE"""),"GLENMARK (INTIGRACE)")</f>
        <v>GLENMARK (INTIGRACE)</v>
      </c>
    </row>
    <row r="1148">
      <c r="H1148" s="25" t="str">
        <f>IFERROR(__xludf.DUMMYFUNCTION("""COMPUTED_VALUE"""),"GLENMARK (MAGESTA)")</f>
        <v>GLENMARK (MAGESTA)</v>
      </c>
    </row>
    <row r="1149">
      <c r="H1149" s="25" t="str">
        <f>IFERROR(__xludf.DUMMYFUNCTION("""COMPUTED_VALUE"""),"GLENMARK (MILLIOUS)")</f>
        <v>GLENMARK (MILLIOUS)</v>
      </c>
    </row>
    <row r="1150">
      <c r="H1150" s="25" t="str">
        <f>IFERROR(__xludf.DUMMYFUNCTION("""COMPUTED_VALUE"""),"GLENMARK (PHARMA)")</f>
        <v>GLENMARK (PHARMA)</v>
      </c>
    </row>
    <row r="1151">
      <c r="H1151" s="25" t="str">
        <f>IFERROR(__xludf.DUMMYFUNCTION("""COMPUTED_VALUE"""),"GLENMARK (RESPICARE)")</f>
        <v>GLENMARK (RESPICARE)</v>
      </c>
    </row>
    <row r="1152">
      <c r="H1152" s="25" t="str">
        <f>IFERROR(__xludf.DUMMYFUNCTION("""COMPUTED_VALUE"""),"GLENMARK (RESPIRATORY)")</f>
        <v>GLENMARK (RESPIRATORY)</v>
      </c>
    </row>
    <row r="1153">
      <c r="H1153" s="25" t="str">
        <f>IFERROR(__xludf.DUMMYFUNCTION("""COMPUTED_VALUE"""),"GLENMARK (SKINNORA)")</f>
        <v>GLENMARK (SKINNORA)</v>
      </c>
    </row>
    <row r="1154">
      <c r="H1154" s="25" t="str">
        <f>IFERROR(__xludf.DUMMYFUNCTION("""COMPUTED_VALUE"""),"GLENMARK (ZOLTAN CARE)")</f>
        <v>GLENMARK (ZOLTAN CARE)</v>
      </c>
    </row>
    <row r="1155">
      <c r="H1155" s="25" t="str">
        <f>IFERROR(__xludf.DUMMYFUNCTION("""COMPUTED_VALUE"""),"GLENMARK (ZOLTAN)")</f>
        <v>GLENMARK (ZOLTAN)</v>
      </c>
    </row>
    <row r="1156">
      <c r="H1156" s="25" t="str">
        <f>IFERROR(__xludf.DUMMYFUNCTION("""COMPUTED_VALUE"""),"Glenmark Pharmaceuticals Ltd")</f>
        <v>Glenmark Pharmaceuticals Ltd</v>
      </c>
    </row>
    <row r="1157">
      <c r="H1157" s="25" t="str">
        <f>IFERROR(__xludf.DUMMYFUNCTION("""COMPUTED_VALUE"""),"Glenmark Pharmaceuticals Ltd (GENERIC)")</f>
        <v>Glenmark Pharmaceuticals Ltd (GENERIC)</v>
      </c>
    </row>
    <row r="1158">
      <c r="H1158" s="25" t="str">
        <f>IFERROR(__xludf.DUMMYFUNCTION("""COMPUTED_VALUE"""),"Glenmark Pharmaceuticals Ltd (SPECIALITY)")</f>
        <v>Glenmark Pharmaceuticals Ltd (SPECIALITY)</v>
      </c>
    </row>
    <row r="1159">
      <c r="H1159" s="25" t="str">
        <f>IFERROR(__xludf.DUMMYFUNCTION("""COMPUTED_VALUE"""),"GLISTER PHARMACEUTICALS")</f>
        <v>GLISTER PHARMACEUTICALS</v>
      </c>
    </row>
    <row r="1160">
      <c r="H1160" s="25" t="str">
        <f>IFERROR(__xludf.DUMMYFUNCTION("""COMPUTED_VALUE"""),"GLOBAL PHARMAHERB CARE")</f>
        <v>GLOBAL PHARMAHERB CARE</v>
      </c>
    </row>
    <row r="1161">
      <c r="H1161" s="25" t="str">
        <f>IFERROR(__xludf.DUMMYFUNCTION("""COMPUTED_VALUE"""),"GLOBIN PHARMACEUTICALS P LTD")</f>
        <v>GLOBIN PHARMACEUTICALS P LTD</v>
      </c>
    </row>
    <row r="1162">
      <c r="H1162" s="25" t="str">
        <f>IFERROR(__xludf.DUMMYFUNCTION("""COMPUTED_VALUE"""),"GLORIOUS HEATHCAR")</f>
        <v>GLORIOUS HEATHCAR</v>
      </c>
    </row>
    <row r="1163">
      <c r="H1163" s="25" t="str">
        <f>IFERROR(__xludf.DUMMYFUNCTION("""COMPUTED_VALUE"""),"Glow")</f>
        <v>Glow</v>
      </c>
    </row>
    <row r="1164">
      <c r="H1164" s="25" t="str">
        <f>IFERROR(__xludf.DUMMYFUNCTION("""COMPUTED_VALUE"""),"Glowderma Labs Pvt Ltd")</f>
        <v>Glowderma Labs Pvt Ltd</v>
      </c>
    </row>
    <row r="1165">
      <c r="H1165" s="25" t="str">
        <f>IFERROR(__xludf.DUMMYFUNCTION("""COMPUTED_VALUE"""),"GLS PHARMA")</f>
        <v>GLS PHARMA</v>
      </c>
    </row>
    <row r="1166">
      <c r="H1166" s="25" t="str">
        <f>IFERROR(__xludf.DUMMYFUNCTION("""COMPUTED_VALUE"""),"Gluconate Health Ltd")</f>
        <v>Gluconate Health Ltd</v>
      </c>
    </row>
    <row r="1167">
      <c r="H1167" s="25" t="str">
        <f>IFERROR(__xludf.DUMMYFUNCTION("""COMPUTED_VALUE"""),"GLUE BIOTECH")</f>
        <v>GLUE BIOTECH</v>
      </c>
    </row>
    <row r="1168">
      <c r="H1168" s="25" t="str">
        <f>IFERROR(__xludf.DUMMYFUNCTION("""COMPUTED_VALUE"""),"Glyco Remedies")</f>
        <v>Glyco Remedies</v>
      </c>
    </row>
    <row r="1169">
      <c r="H1169" s="25" t="str">
        <f>IFERROR(__xludf.DUMMYFUNCTION("""COMPUTED_VALUE"""),"GMH LABORATORIES")</f>
        <v>GMH LABORATORIES</v>
      </c>
    </row>
    <row r="1170">
      <c r="H1170" s="25" t="str">
        <f>IFERROR(__xludf.DUMMYFUNCTION("""COMPUTED_VALUE"""),"GNESIS ORGANICS")</f>
        <v>GNESIS ORGANICS</v>
      </c>
    </row>
    <row r="1171">
      <c r="H1171" s="25" t="str">
        <f>IFERROR(__xludf.DUMMYFUNCTION("""COMPUTED_VALUE"""),"Gnext Lab Pvt Ltd")</f>
        <v>Gnext Lab Pvt Ltd</v>
      </c>
    </row>
    <row r="1172">
      <c r="H1172" s="25" t="str">
        <f>IFERROR(__xludf.DUMMYFUNCTION("""COMPUTED_VALUE"""),"GNOVA BIOTECH")</f>
        <v>GNOVA BIOTECH</v>
      </c>
    </row>
    <row r="1173">
      <c r="H1173" s="25" t="str">
        <f>IFERROR(__xludf.DUMMYFUNCTION("""COMPUTED_VALUE"""),"GO-ISH REMEDIES LTD SOLAN")</f>
        <v>GO-ISH REMEDIES LTD SOLAN</v>
      </c>
    </row>
    <row r="1174">
      <c r="H1174" s="25" t="str">
        <f>IFERROR(__xludf.DUMMYFUNCTION("""COMPUTED_VALUE"""),"Goddres Pharmaceuticals")</f>
        <v>Goddres Pharmaceuticals</v>
      </c>
    </row>
    <row r="1175">
      <c r="H1175" s="25" t="str">
        <f>IFERROR(__xludf.DUMMYFUNCTION("""COMPUTED_VALUE"""),"Gold Line")</f>
        <v>Gold Line</v>
      </c>
    </row>
    <row r="1176">
      <c r="H1176" s="25" t="str">
        <f>IFERROR(__xludf.DUMMYFUNCTION("""COMPUTED_VALUE"""),"GOMTESH LABORATORIES")</f>
        <v>GOMTESH LABORATORIES</v>
      </c>
    </row>
    <row r="1177">
      <c r="H1177" s="25" t="str">
        <f>IFERROR(__xludf.DUMMYFUNCTION("""COMPUTED_VALUE"""),"GOOD HEALTH PVT LTD")</f>
        <v>GOOD HEALTH PVT LTD</v>
      </c>
    </row>
    <row r="1178">
      <c r="H1178" s="25" t="str">
        <f>IFERROR(__xludf.DUMMYFUNCTION("""COMPUTED_VALUE"""),"GOOD HEALTH PVT LTD")</f>
        <v>GOOD HEALTH PVT LTD</v>
      </c>
    </row>
    <row r="1179">
      <c r="H1179" s="25" t="str">
        <f>IFERROR(__xludf.DUMMYFUNCTION("""COMPUTED_VALUE"""),"GOPISH PHARMA LTD")</f>
        <v>GOPISH PHARMA LTD</v>
      </c>
    </row>
    <row r="1180">
      <c r="H1180" s="25" t="str">
        <f>IFERROR(__xludf.DUMMYFUNCTION("""COMPUTED_VALUE"""),"GPP PVT LTD")</f>
        <v>GPP PVT LTD</v>
      </c>
    </row>
    <row r="1181">
      <c r="H1181" s="25" t="str">
        <f>IFERROR(__xludf.DUMMYFUNCTION("""COMPUTED_VALUE"""),"GRACEDERMA HELATHCARE")</f>
        <v>GRACEDERMA HELATHCARE</v>
      </c>
    </row>
    <row r="1182">
      <c r="H1182" s="25" t="str">
        <f>IFERROR(__xludf.DUMMYFUNCTION("""COMPUTED_VALUE"""),"GRACEWELL HEALTHCARE")</f>
        <v>GRACEWELL HEALTHCARE</v>
      </c>
    </row>
    <row r="1183">
      <c r="H1183" s="25" t="str">
        <f>IFERROR(__xludf.DUMMYFUNCTION("""COMPUTED_VALUE"""),"GRAF Laboratories Pvt Ltd")</f>
        <v>GRAF Laboratories Pvt Ltd</v>
      </c>
    </row>
    <row r="1184">
      <c r="H1184" s="25" t="str">
        <f>IFERROR(__xludf.DUMMYFUNCTION("""COMPUTED_VALUE"""),"GRANDIX PHARMACEUTICAL")</f>
        <v>GRANDIX PHARMACEUTICAL</v>
      </c>
    </row>
    <row r="1185">
      <c r="H1185" s="25" t="str">
        <f>IFERROR(__xludf.DUMMYFUNCTION("""COMPUTED_VALUE"""),"GRAPSUM HEALTHCARE P LTD")</f>
        <v>GRAPSUM HEALTHCARE P LTD</v>
      </c>
    </row>
    <row r="1186">
      <c r="H1186" s="25" t="str">
        <f>IFERROR(__xludf.DUMMYFUNCTION("""COMPUTED_VALUE"""),"GRIFCON LIFE SCIENCES")</f>
        <v>GRIFCON LIFE SCIENCES</v>
      </c>
    </row>
    <row r="1187">
      <c r="H1187" s="25" t="str">
        <f>IFERROR(__xludf.DUMMYFUNCTION("""COMPUTED_VALUE"""),"GRINOLIFE CARE P LTD")</f>
        <v>GRINOLIFE CARE P LTD</v>
      </c>
    </row>
    <row r="1188">
      <c r="H1188" s="25" t="str">
        <f>IFERROR(__xludf.DUMMYFUNCTION("""COMPUTED_VALUE"""),"GRL GYNEXT")</f>
        <v>GRL GYNEXT</v>
      </c>
    </row>
    <row r="1189">
      <c r="H1189" s="25" t="str">
        <f>IFERROR(__xludf.DUMMYFUNCTION("""COMPUTED_VALUE"""),"GROUP PHARMA (DENTAL CARE)")</f>
        <v>GROUP PHARMA (DENTAL CARE)</v>
      </c>
    </row>
    <row r="1190">
      <c r="H1190" s="25" t="str">
        <f>IFERROR(__xludf.DUMMYFUNCTION("""COMPUTED_VALUE"""),"GROUP PHARMA (HEALTHCARE)")</f>
        <v>GROUP PHARMA (HEALTHCARE)</v>
      </c>
    </row>
    <row r="1191">
      <c r="H1191" s="25" t="str">
        <f>IFERROR(__xludf.DUMMYFUNCTION("""COMPUTED_VALUE"""),"Group Pharmaceuticals Ltd")</f>
        <v>Group Pharmaceuticals Ltd</v>
      </c>
    </row>
    <row r="1192">
      <c r="H1192" s="25" t="str">
        <f>IFERROR(__xludf.DUMMYFUNCTION("""COMPUTED_VALUE"""),"GROWELL VISION")</f>
        <v>GROWELL VISION</v>
      </c>
    </row>
    <row r="1193">
      <c r="H1193" s="25" t="str">
        <f>IFERROR(__xludf.DUMMYFUNCTION("""COMPUTED_VALUE"""),"GUFIC (CRITICARE)")</f>
        <v>GUFIC (CRITICARE)</v>
      </c>
    </row>
    <row r="1194">
      <c r="H1194" s="25" t="str">
        <f>IFERROR(__xludf.DUMMYFUNCTION("""COMPUTED_VALUE"""),"Gufic Bioscience Ltd")</f>
        <v>Gufic Bioscience Ltd</v>
      </c>
    </row>
    <row r="1195">
      <c r="H1195" s="25" t="str">
        <f>IFERROR(__xludf.DUMMYFUNCTION("""COMPUTED_VALUE"""),"GUJARAT LIQUI PHARMACAPS")</f>
        <v>GUJARAT LIQUI PHARMACAPS</v>
      </c>
    </row>
    <row r="1196">
      <c r="H1196" s="25" t="str">
        <f>IFERROR(__xludf.DUMMYFUNCTION("""COMPUTED_VALUE"""),"GUJARAT PHARMALAB PVT LTD")</f>
        <v>GUJARAT PHARMALAB PVT LTD</v>
      </c>
    </row>
    <row r="1197">
      <c r="H1197" s="25" t="str">
        <f>IFERROR(__xludf.DUMMYFUNCTION("""COMPUTED_VALUE"""),"Gujarat Terce Laboratories Ltd")</f>
        <v>Gujarat Terce Laboratories Ltd</v>
      </c>
    </row>
    <row r="1198">
      <c r="H1198" s="25" t="str">
        <f>IFERROR(__xludf.DUMMYFUNCTION("""COMPUTED_VALUE"""),"GURUKRIPA CONSUMER CARE")</f>
        <v>GURUKRIPA CONSUMER CARE</v>
      </c>
    </row>
    <row r="1199">
      <c r="H1199" s="25" t="str">
        <f>IFERROR(__xludf.DUMMYFUNCTION("""COMPUTED_VALUE"""),"GURUKUL KANGDI PHARMACY")</f>
        <v>GURUKUL KANGDI PHARMACY</v>
      </c>
    </row>
    <row r="1200">
      <c r="H1200" s="25" t="str">
        <f>IFERROR(__xludf.DUMMYFUNCTION("""COMPUTED_VALUE"""),"GYMEX PHARMACEUTICALS")</f>
        <v>GYMEX PHARMACEUTICALS</v>
      </c>
    </row>
    <row r="1201">
      <c r="H1201" s="25" t="str">
        <f>IFERROR(__xludf.DUMMYFUNCTION("""COMPUTED_VALUE"""),"GYNOFEM HEALTHCARE (CAREON)")</f>
        <v>GYNOFEM HEALTHCARE (CAREON)</v>
      </c>
    </row>
    <row r="1202">
      <c r="H1202" s="25" t="str">
        <f>IFERROR(__xludf.DUMMYFUNCTION("""COMPUTED_VALUE"""),"GYNOFEM HEALTHCARE PVT LTD")</f>
        <v>GYNOFEM HEALTHCARE PVT LTD</v>
      </c>
    </row>
    <row r="1203">
      <c r="H1203" s="25" t="str">
        <f>IFERROR(__xludf.DUMMYFUNCTION("""COMPUTED_VALUE"""),"GYNORAMA HEALTHCARE PVT LTD")</f>
        <v>GYNORAMA HEALTHCARE PVT LTD</v>
      </c>
    </row>
    <row r="1204">
      <c r="H1204" s="25" t="str">
        <f>IFERROR(__xludf.DUMMYFUNCTION("""COMPUTED_VALUE"""),"H AND CARE INCORP INDIA")</f>
        <v>H AND CARE INCORP INDIA</v>
      </c>
    </row>
    <row r="1205">
      <c r="H1205" s="25" t="str">
        <f>IFERROR(__xludf.DUMMYFUNCTION("""COMPUTED_VALUE"""),"H&amp;B")</f>
        <v>H&amp;B</v>
      </c>
    </row>
    <row r="1206">
      <c r="H1206" s="25" t="str">
        <f>IFERROR(__xludf.DUMMYFUNCTION("""COMPUTED_VALUE"""),"H&amp;H (Hegde and Hegde) (COSMECEUTICAL)")</f>
        <v>H&amp;H (Hegde and Hegde) (COSMECEUTICAL)</v>
      </c>
    </row>
    <row r="1207">
      <c r="H1207" s="25" t="str">
        <f>IFERROR(__xludf.DUMMYFUNCTION("""COMPUTED_VALUE"""),"H&amp;H (Hegde and Hegde) (DERMATOLOGY)")</f>
        <v>H&amp;H (Hegde and Hegde) (DERMATOLOGY)</v>
      </c>
    </row>
    <row r="1208">
      <c r="H1208" s="25" t="str">
        <f>IFERROR(__xludf.DUMMYFUNCTION("""COMPUTED_VALUE"""),"H&amp;H (Hegde and Hegde) (Pharmaceutical)")</f>
        <v>H&amp;H (Hegde and Hegde) (Pharmaceutical)</v>
      </c>
    </row>
    <row r="1209">
      <c r="H1209" s="25" t="str">
        <f>IFERROR(__xludf.DUMMYFUNCTION("""COMPUTED_VALUE"""),"H&amp;H (Hegde and Hegde) (WELLNESS)")</f>
        <v>H&amp;H (Hegde and Hegde) (WELLNESS)</v>
      </c>
    </row>
    <row r="1210">
      <c r="H1210" s="25" t="str">
        <f>IFERROR(__xludf.DUMMYFUNCTION("""COMPUTED_VALUE"""),"Hacks &amp; Slacks Healthcare")</f>
        <v>Hacks &amp; Slacks Healthcare</v>
      </c>
    </row>
    <row r="1211">
      <c r="H1211" s="25" t="str">
        <f>IFERROR(__xludf.DUMMYFUNCTION("""COMPUTED_VALUE"""),"HAITH PHARMACEUTICALS")</f>
        <v>HAITH PHARMACEUTICALS</v>
      </c>
    </row>
    <row r="1212">
      <c r="H1212" s="25" t="str">
        <f>IFERROR(__xludf.DUMMYFUNCTION("""COMPUTED_VALUE"""),"HALEDEW REMEDIES")</f>
        <v>HALEDEW REMEDIES</v>
      </c>
    </row>
    <row r="1213">
      <c r="H1213" s="25" t="str">
        <f>IFERROR(__xludf.DUMMYFUNCTION("""COMPUTED_VALUE"""),"HALEWOOD LABORATORIES PVT LTD")</f>
        <v>HALEWOOD LABORATORIES PVT LTD</v>
      </c>
    </row>
    <row r="1214">
      <c r="H1214" s="25" t="str">
        <f>IFERROR(__xludf.DUMMYFUNCTION("""COMPUTED_VALUE"""),"Hamdard Laboratories India")</f>
        <v>Hamdard Laboratories India</v>
      </c>
    </row>
    <row r="1215">
      <c r="H1215" s="25" t="str">
        <f>IFERROR(__xludf.DUMMYFUNCTION("""COMPUTED_VALUE"""),"HANNOR PHARMA PVT LTD")</f>
        <v>HANNOR PHARMA PVT LTD</v>
      </c>
    </row>
    <row r="1216">
      <c r="H1216" s="25" t="str">
        <f>IFERROR(__xludf.DUMMYFUNCTION("""COMPUTED_VALUE"""),"HANS CHEMICALS")</f>
        <v>HANS CHEMICALS</v>
      </c>
    </row>
    <row r="1217">
      <c r="H1217" s="25" t="str">
        <f>IFERROR(__xludf.DUMMYFUNCTION("""COMPUTED_VALUE"""),"HAPDCO")</f>
        <v>HAPDCO</v>
      </c>
    </row>
    <row r="1218">
      <c r="H1218" s="25" t="str">
        <f>IFERROR(__xludf.DUMMYFUNCTION("""COMPUTED_VALUE"""),"HAPPY PHARMA")</f>
        <v>HAPPY PHARMA</v>
      </c>
    </row>
    <row r="1219">
      <c r="H1219" s="25" t="str">
        <f>IFERROR(__xludf.DUMMYFUNCTION("""COMPUTED_VALUE"""),"HARBANSHRAM BHAGWANDAS")</f>
        <v>HARBANSHRAM BHAGWANDAS</v>
      </c>
    </row>
    <row r="1220">
      <c r="H1220" s="25" t="str">
        <f>IFERROR(__xludf.DUMMYFUNCTION("""COMPUTED_VALUE"""),"HARMATTAN LIFE SCIENCE")</f>
        <v>HARMATTAN LIFE SCIENCE</v>
      </c>
    </row>
    <row r="1221">
      <c r="H1221" s="25" t="str">
        <f>IFERROR(__xludf.DUMMYFUNCTION("""COMPUTED_VALUE"""),"HARMONY PHARMA")</f>
        <v>HARMONY PHARMA</v>
      </c>
    </row>
    <row r="1222">
      <c r="H1222" s="25" t="str">
        <f>IFERROR(__xludf.DUMMYFUNCTION("""COMPUTED_VALUE"""),"HARMONY PHARMA (GYN)")</f>
        <v>HARMONY PHARMA (GYN)</v>
      </c>
    </row>
    <row r="1223">
      <c r="H1223" s="25" t="str">
        <f>IFERROR(__xludf.DUMMYFUNCTION("""COMPUTED_VALUE"""),"HARSH AYURVED BHAVAN")</f>
        <v>HARSH AYURVED BHAVAN</v>
      </c>
    </row>
    <row r="1224">
      <c r="H1224" s="25" t="str">
        <f>IFERROR(__xludf.DUMMYFUNCTION("""COMPUTED_VALUE"""),"HARSON LABORATORIES P LTD")</f>
        <v>HARSON LABORATORIES P LTD</v>
      </c>
    </row>
    <row r="1225">
      <c r="H1225" s="25" t="str">
        <f>IFERROR(__xludf.DUMMYFUNCTION("""COMPUTED_VALUE"""),"HAUZ PHARMA P LTD")</f>
        <v>HAUZ PHARMA P LTD</v>
      </c>
    </row>
    <row r="1226">
      <c r="H1226" s="25" t="str">
        <f>IFERROR(__xludf.DUMMYFUNCTION("""COMPUTED_VALUE"""),"HAWABAN HARDE DEPOT")</f>
        <v>HAWABAN HARDE DEPOT</v>
      </c>
    </row>
    <row r="1227">
      <c r="H1227" s="25" t="str">
        <f>IFERROR(__xludf.DUMMYFUNCTION("""COMPUTED_VALUE"""),"HBC (ATRIA)")</f>
        <v>HBC (ATRIA)</v>
      </c>
    </row>
    <row r="1228">
      <c r="H1228" s="25" t="str">
        <f>IFERROR(__xludf.DUMMYFUNCTION("""COMPUTED_VALUE"""),"HBC (CARDIO)")</f>
        <v>HBC (CARDIO)</v>
      </c>
    </row>
    <row r="1229">
      <c r="H1229" s="25" t="str">
        <f>IFERROR(__xludf.DUMMYFUNCTION("""COMPUTED_VALUE"""),"HBC (DERMA)")</f>
        <v>HBC (DERMA)</v>
      </c>
    </row>
    <row r="1230">
      <c r="H1230" s="25" t="str">
        <f>IFERROR(__xludf.DUMMYFUNCTION("""COMPUTED_VALUE"""),"HBC (QURA)")</f>
        <v>HBC (QURA)</v>
      </c>
    </row>
    <row r="1231">
      <c r="H1231" s="25" t="str">
        <f>IFERROR(__xludf.DUMMYFUNCTION("""COMPUTED_VALUE"""),"HBC HEALTHCARE PVT LTD (NURA)")</f>
        <v>HBC HEALTHCARE PVT LTD (NURA)</v>
      </c>
    </row>
    <row r="1232">
      <c r="H1232" s="25" t="str">
        <f>IFERROR(__xludf.DUMMYFUNCTION("""COMPUTED_VALUE"""),"HBC Lifesciences Pvt Ltd")</f>
        <v>HBC Lifesciences Pvt Ltd</v>
      </c>
    </row>
    <row r="1233">
      <c r="H1233" s="25" t="str">
        <f>IFERROR(__xludf.DUMMYFUNCTION("""COMPUTED_VALUE"""),"HEAL ALL PHARMACETICALS")</f>
        <v>HEAL ALL PHARMACETICALS</v>
      </c>
    </row>
    <row r="1234">
      <c r="H1234" s="25" t="str">
        <f>IFERROR(__xludf.DUMMYFUNCTION("""COMPUTED_VALUE"""),"Heal India Laboratories")</f>
        <v>Heal India Laboratories</v>
      </c>
    </row>
    <row r="1235">
      <c r="H1235" s="25" t="str">
        <f>IFERROR(__xludf.DUMMYFUNCTION("""COMPUTED_VALUE"""),"HEALING PHARMA INDIA PVT LTD")</f>
        <v>HEALING PHARMA INDIA PVT LTD</v>
      </c>
    </row>
    <row r="1236">
      <c r="H1236" s="25" t="str">
        <f>IFERROR(__xludf.DUMMYFUNCTION("""COMPUTED_VALUE"""),"HEALTH BIOLOGICS")</f>
        <v>HEALTH BIOLOGICS</v>
      </c>
    </row>
    <row r="1237">
      <c r="H1237" s="25" t="str">
        <f>IFERROR(__xludf.DUMMYFUNCTION("""COMPUTED_VALUE"""),"Health Biomed Pharma")</f>
        <v>Health Biomed Pharma</v>
      </c>
    </row>
    <row r="1238">
      <c r="H1238" s="25" t="str">
        <f>IFERROR(__xludf.DUMMYFUNCTION("""COMPUTED_VALUE"""),"HEALTH BIOTECH")</f>
        <v>HEALTH BIOTECH</v>
      </c>
    </row>
    <row r="1239">
      <c r="H1239" s="25" t="str">
        <f>IFERROR(__xludf.DUMMYFUNCTION("""COMPUTED_VALUE"""),"Health Biotech Pvt Ltd")</f>
        <v>Health Biotech Pvt Ltd</v>
      </c>
    </row>
    <row r="1240">
      <c r="H1240" s="25" t="str">
        <f>IFERROR(__xludf.DUMMYFUNCTION("""COMPUTED_VALUE"""),"Health Care Formulations Pvt Ltd")</f>
        <v>Health Care Formulations Pvt Ltd</v>
      </c>
    </row>
    <row r="1241">
      <c r="H1241" s="25" t="str">
        <f>IFERROR(__xludf.DUMMYFUNCTION("""COMPUTED_VALUE"""),"Health Care Formulations Pvt. Ltd.")</f>
        <v>Health Care Formulations Pvt. Ltd.</v>
      </c>
    </row>
    <row r="1242">
      <c r="H1242" s="25" t="str">
        <f>IFERROR(__xludf.DUMMYFUNCTION("""COMPUTED_VALUE"""),"Health Guard (I) Pvt. Ltd.")</f>
        <v>Health Guard (I) Pvt. Ltd.</v>
      </c>
    </row>
    <row r="1243">
      <c r="H1243" s="25" t="str">
        <f>IFERROR(__xludf.DUMMYFUNCTION("""COMPUTED_VALUE"""),"HEALTH N U THERAPEUTICS PVT LTD")</f>
        <v>HEALTH N U THERAPEUTICS PVT LTD</v>
      </c>
    </row>
    <row r="1244">
      <c r="H1244" s="25" t="str">
        <f>IFERROR(__xludf.DUMMYFUNCTION("""COMPUTED_VALUE"""),"Health Plan")</f>
        <v>Health Plan</v>
      </c>
    </row>
    <row r="1245">
      <c r="H1245" s="25" t="str">
        <f>IFERROR(__xludf.DUMMYFUNCTION("""COMPUTED_VALUE"""),"HEALTHCARE HERBAL")</f>
        <v>HEALTHCARE HERBAL</v>
      </c>
    </row>
    <row r="1246">
      <c r="H1246" s="25" t="str">
        <f>IFERROR(__xludf.DUMMYFUNCTION("""COMPUTED_VALUE"""),"Healthkind Labs Pvt. Ltd.")</f>
        <v>Healthkind Labs Pvt. Ltd.</v>
      </c>
    </row>
    <row r="1247">
      <c r="H1247" s="25" t="str">
        <f>IFERROR(__xludf.DUMMYFUNCTION("""COMPUTED_VALUE"""),"HEILMITTEL PHARMA")</f>
        <v>HEILMITTEL PHARMA</v>
      </c>
    </row>
    <row r="1248">
      <c r="H1248" s="25" t="str">
        <f>IFERROR(__xludf.DUMMYFUNCTION("""COMPUTED_VALUE"""),"Heinz India Pvt Ltd")</f>
        <v>Heinz India Pvt Ltd</v>
      </c>
    </row>
    <row r="1249">
      <c r="H1249" s="25" t="str">
        <f>IFERROR(__xludf.DUMMYFUNCTION("""COMPUTED_VALUE"""),"HELAX HEALTHCARE P LTD")</f>
        <v>HELAX HEALTHCARE P LTD</v>
      </c>
    </row>
    <row r="1250">
      <c r="H1250" s="25" t="str">
        <f>IFERROR(__xludf.DUMMYFUNCTION("""COMPUTED_VALUE"""),"HELBREDE HEALTHCARE LTD")</f>
        <v>HELBREDE HEALTHCARE LTD</v>
      </c>
    </row>
    <row r="1251">
      <c r="H1251" s="25" t="str">
        <f>IFERROR(__xludf.DUMMYFUNCTION("""COMPUTED_VALUE"""),"HELIK PHARMACEUTICAL")</f>
        <v>HELIK PHARMACEUTICAL</v>
      </c>
    </row>
    <row r="1252">
      <c r="H1252" s="25" t="str">
        <f>IFERROR(__xludf.DUMMYFUNCTION("""COMPUTED_VALUE"""),"Helios Pharmaceuticals (GENERIC)")</f>
        <v>Helios Pharmaceuticals (GENERIC)</v>
      </c>
    </row>
    <row r="1253">
      <c r="H1253" s="25" t="str">
        <f>IFERROR(__xludf.DUMMYFUNCTION("""COMPUTED_VALUE"""),"HELLOBABY PVT LTD")</f>
        <v>HELLOBABY PVT LTD</v>
      </c>
    </row>
    <row r="1254">
      <c r="H1254" s="25" t="str">
        <f>IFERROR(__xludf.DUMMYFUNCTION("""COMPUTED_VALUE"""),"HEMRUS THEREPATICS PVT LTD")</f>
        <v>HEMRUS THEREPATICS PVT LTD</v>
      </c>
    </row>
    <row r="1255">
      <c r="H1255" s="25" t="str">
        <f>IFERROR(__xludf.DUMMYFUNCTION("""COMPUTED_VALUE"""),"HEPTAGON LIFESCIENCES PVT LTD")</f>
        <v>HEPTAGON LIFESCIENCES PVT LTD</v>
      </c>
    </row>
    <row r="1256">
      <c r="H1256" s="25" t="str">
        <f>IFERROR(__xludf.DUMMYFUNCTION("""COMPUTED_VALUE"""),"HERB EDGE HEALTH CARE PVT LTD")</f>
        <v>HERB EDGE HEALTH CARE PVT LTD</v>
      </c>
    </row>
    <row r="1257">
      <c r="H1257" s="25" t="str">
        <f>IFERROR(__xludf.DUMMYFUNCTION("""COMPUTED_VALUE"""),"HERBAL AYURVEDA &amp; RESEARCH CENTRE")</f>
        <v>HERBAL AYURVEDA &amp; RESEARCH CENTRE</v>
      </c>
    </row>
    <row r="1258">
      <c r="H1258" s="25" t="str">
        <f>IFERROR(__xludf.DUMMYFUNCTION("""COMPUTED_VALUE"""),"HERBAL GANGA")</f>
        <v>HERBAL GANGA</v>
      </c>
    </row>
    <row r="1259">
      <c r="H1259" s="25" t="str">
        <f>IFERROR(__xludf.DUMMYFUNCTION("""COMPUTED_VALUE"""),"HERBO CHEM")</f>
        <v>HERBO CHEM</v>
      </c>
    </row>
    <row r="1260">
      <c r="H1260" s="25" t="str">
        <f>IFERROR(__xludf.DUMMYFUNCTION("""COMPUTED_VALUE"""),"HERTZ BIOTECH")</f>
        <v>HERTZ BIOTECH</v>
      </c>
    </row>
    <row r="1261">
      <c r="H1261" s="25" t="str">
        <f>IFERROR(__xludf.DUMMYFUNCTION("""COMPUTED_VALUE"""),"Hetero Drugs Ltd")</f>
        <v>Hetero Drugs Ltd</v>
      </c>
    </row>
    <row r="1262">
      <c r="H1262" s="25" t="str">
        <f>IFERROR(__xludf.DUMMYFUNCTION("""COMPUTED_VALUE"""),"Hetero Drugs Ltd (DIASPA)")</f>
        <v>Hetero Drugs Ltd (DIASPA)</v>
      </c>
    </row>
    <row r="1263">
      <c r="H1263" s="25" t="str">
        <f>IFERROR(__xludf.DUMMYFUNCTION("""COMPUTED_VALUE"""),"Hetero Drugs Ltd (GENIX -HIV)")</f>
        <v>Hetero Drugs Ltd (GENIX -HIV)</v>
      </c>
    </row>
    <row r="1264">
      <c r="H1264" s="25" t="str">
        <f>IFERROR(__xludf.DUMMYFUNCTION("""COMPUTED_VALUE"""),"Hetero Drugs Ltd (GENIX)")</f>
        <v>Hetero Drugs Ltd (GENIX)</v>
      </c>
    </row>
    <row r="1265">
      <c r="H1265" s="25" t="str">
        <f>IFERROR(__xludf.DUMMYFUNCTION("""COMPUTED_VALUE"""),"Hetero Drugs Ltd (KRIS)")</f>
        <v>Hetero Drugs Ltd (KRIS)</v>
      </c>
    </row>
    <row r="1266">
      <c r="H1266" s="25" t="str">
        <f>IFERROR(__xludf.DUMMYFUNCTION("""COMPUTED_VALUE"""),"Hetero Drugs Ltd (MAIN)")</f>
        <v>Hetero Drugs Ltd (MAIN)</v>
      </c>
    </row>
    <row r="1267">
      <c r="H1267" s="25" t="str">
        <f>IFERROR(__xludf.DUMMYFUNCTION("""COMPUTED_VALUE"""),"Hetero Drugs Ltd (NEURO)")</f>
        <v>Hetero Drugs Ltd (NEURO)</v>
      </c>
    </row>
    <row r="1268">
      <c r="H1268" s="25" t="str">
        <f>IFERROR(__xludf.DUMMYFUNCTION("""COMPUTED_VALUE"""),"Hetero Drugs Ltd (SPECIALITY)")</f>
        <v>Hetero Drugs Ltd (SPECIALITY)</v>
      </c>
    </row>
    <row r="1269">
      <c r="H1269" s="25" t="str">
        <f>IFERROR(__xludf.DUMMYFUNCTION("""COMPUTED_VALUE"""),"Hetero Drugs Ltd (VIROLOGY)")</f>
        <v>Hetero Drugs Ltd (VIROLOGY)</v>
      </c>
    </row>
    <row r="1270">
      <c r="H1270" s="25" t="str">
        <f>IFERROR(__xludf.DUMMYFUNCTION("""COMPUTED_VALUE"""),"HETRO (FRENZA)")</f>
        <v>HETRO (FRENZA)</v>
      </c>
    </row>
    <row r="1271">
      <c r="H1271" s="25" t="str">
        <f>IFERROR(__xludf.DUMMYFUNCTION("""COMPUTED_VALUE"""),"HEXAGON NUTRITION")</f>
        <v>HEXAGON NUTRITION</v>
      </c>
    </row>
    <row r="1272">
      <c r="H1272" s="25" t="str">
        <f>IFERROR(__xludf.DUMMYFUNCTION("""COMPUTED_VALUE"""),"Hexagon Nutrition Pvt Ltd")</f>
        <v>Hexagon Nutrition Pvt Ltd</v>
      </c>
    </row>
    <row r="1273">
      <c r="H1273" s="25" t="str">
        <f>IFERROR(__xludf.DUMMYFUNCTION("""COMPUTED_VALUE"""),"Hi Tech Pharmaceuticals Pvt Ltd")</f>
        <v>Hi Tech Pharmaceuticals Pvt Ltd</v>
      </c>
    </row>
    <row r="1274">
      <c r="H1274" s="25" t="str">
        <f>IFERROR(__xludf.DUMMYFUNCTION("""COMPUTED_VALUE"""),"Hicare Pharma")</f>
        <v>Hicare Pharma</v>
      </c>
    </row>
    <row r="1275">
      <c r="H1275" s="25" t="str">
        <f>IFERROR(__xludf.DUMMYFUNCTION("""COMPUTED_VALUE"""),"HICKS")</f>
        <v>HICKS</v>
      </c>
    </row>
    <row r="1276">
      <c r="H1276" s="25" t="str">
        <f>IFERROR(__xludf.DUMMYFUNCTION("""COMPUTED_VALUE"""),"HIDUSTAN REMEDIES")</f>
        <v>HIDUSTAN REMEDIES</v>
      </c>
    </row>
    <row r="1277">
      <c r="H1277" s="25" t="str">
        <f>IFERROR(__xludf.DUMMYFUNCTION("""COMPUTED_VALUE"""),"HIGLANCE LABORATORIES")</f>
        <v>HIGLANCE LABORATORIES</v>
      </c>
    </row>
    <row r="1278">
      <c r="H1278" s="25" t="str">
        <f>IFERROR(__xludf.DUMMYFUNCTION("""COMPUTED_VALUE"""),"HIMALAYA (BABY CARE)")</f>
        <v>HIMALAYA (BABY CARE)</v>
      </c>
    </row>
    <row r="1279">
      <c r="H1279" s="25" t="str">
        <f>IFERROR(__xludf.DUMMYFUNCTION("""COMPUTED_VALUE"""),"HIMALAYA (PET CARE)")</f>
        <v>HIMALAYA (PET CARE)</v>
      </c>
    </row>
    <row r="1280">
      <c r="H1280" s="25" t="str">
        <f>IFERROR(__xludf.DUMMYFUNCTION("""COMPUTED_VALUE"""),"HIMALAYA (ZANDRA)")</f>
        <v>HIMALAYA (ZANDRA)</v>
      </c>
    </row>
    <row r="1281">
      <c r="H1281" s="25" t="str">
        <f>IFERROR(__xludf.DUMMYFUNCTION("""COMPUTED_VALUE"""),"HIMALAYA (ZEAL)")</f>
        <v>HIMALAYA (ZEAL)</v>
      </c>
    </row>
    <row r="1282">
      <c r="H1282" s="25" t="str">
        <f>IFERROR(__xludf.DUMMYFUNCTION("""COMPUTED_VALUE"""),"HIMALAYA (ZENITH)")</f>
        <v>HIMALAYA (ZENITH)</v>
      </c>
    </row>
    <row r="1283">
      <c r="H1283" s="25" t="str">
        <f>IFERROR(__xludf.DUMMYFUNCTION("""COMPUTED_VALUE"""),"HIMALAYA (ZINDEL)")</f>
        <v>HIMALAYA (ZINDEL)</v>
      </c>
    </row>
    <row r="1284">
      <c r="H1284" s="25" t="str">
        <f>IFERROR(__xludf.DUMMYFUNCTION("""COMPUTED_VALUE"""),"Himalaya Drug Company")</f>
        <v>Himalaya Drug Company</v>
      </c>
    </row>
    <row r="1285">
      <c r="H1285" s="25" t="str">
        <f>IFERROR(__xludf.DUMMYFUNCTION("""COMPUTED_VALUE"""),"HIMALAYAN MEDICARE PVT LTD")</f>
        <v>HIMALAYAN MEDICARE PVT LTD</v>
      </c>
    </row>
    <row r="1286">
      <c r="H1286" s="25" t="str">
        <f>IFERROR(__xludf.DUMMYFUNCTION("""COMPUTED_VALUE"""),"HIMANI")</f>
        <v>HIMANI</v>
      </c>
    </row>
    <row r="1287">
      <c r="H1287" s="25" t="str">
        <f>IFERROR(__xludf.DUMMYFUNCTION("""COMPUTED_VALUE"""),"HIMANSHU PHARMACEUTICALS P LTD")</f>
        <v>HIMANSHU PHARMACEUTICALS P LTD</v>
      </c>
    </row>
    <row r="1288">
      <c r="H1288" s="25" t="str">
        <f>IFERROR(__xludf.DUMMYFUNCTION("""COMPUTED_VALUE"""),"HIMEROS PHARMA")</f>
        <v>HIMEROS PHARMA</v>
      </c>
    </row>
    <row r="1289">
      <c r="H1289" s="25" t="str">
        <f>IFERROR(__xludf.DUMMYFUNCTION("""COMPUTED_VALUE"""),"HIND C&amp;C WORKS")</f>
        <v>HIND C&amp;C WORKS</v>
      </c>
    </row>
    <row r="1290">
      <c r="H1290" s="25" t="str">
        <f>IFERROR(__xludf.DUMMYFUNCTION("""COMPUTED_VALUE"""),"HIND CHEMICALS")</f>
        <v>HIND CHEMICALS</v>
      </c>
    </row>
    <row r="1291">
      <c r="H1291" s="25" t="str">
        <f>IFERROR(__xludf.DUMMYFUNCTION("""COMPUTED_VALUE"""),"HINDUKUSH BIOPRODUCTS PVT LTD (EMAAR)")</f>
        <v>HINDUKUSH BIOPRODUCTS PVT LTD (EMAAR)</v>
      </c>
    </row>
    <row r="1292">
      <c r="H1292" s="25" t="str">
        <f>IFERROR(__xludf.DUMMYFUNCTION("""COMPUTED_VALUE"""),"HINDUSTAN LATEX FAMILY PLANNING PROMOTION TRUST (HLFPPT)")</f>
        <v>HINDUSTAN LATEX FAMILY PLANNING PROMOTION TRUST (HLFPPT)</v>
      </c>
    </row>
    <row r="1293">
      <c r="H1293" s="25" t="str">
        <f>IFERROR(__xludf.DUMMYFUNCTION("""COMPUTED_VALUE"""),"Hindustan Latex Ltd")</f>
        <v>Hindustan Latex Ltd</v>
      </c>
    </row>
    <row r="1294">
      <c r="H1294" s="25" t="str">
        <f>IFERROR(__xludf.DUMMYFUNCTION("""COMPUTED_VALUE"""),"HINDUSTAN LIFESCIENCES")</f>
        <v>HINDUSTAN LIFESCIENCES</v>
      </c>
    </row>
    <row r="1295">
      <c r="H1295" s="25" t="str">
        <f>IFERROR(__xludf.DUMMYFUNCTION("""COMPUTED_VALUE"""),"HINDUSTAN MEDICARE")</f>
        <v>HINDUSTAN MEDICARE</v>
      </c>
    </row>
    <row r="1296">
      <c r="H1296" s="25" t="str">
        <f>IFERROR(__xludf.DUMMYFUNCTION("""COMPUTED_VALUE"""),"HINDUSTAN PHARMA")</f>
        <v>HINDUSTAN PHARMA</v>
      </c>
    </row>
    <row r="1297">
      <c r="H1297" s="25" t="str">
        <f>IFERROR(__xludf.DUMMYFUNCTION("""COMPUTED_VALUE"""),"HINDUSTAN SYRINGES AND MEDICAL DEVICES")</f>
        <v>HINDUSTAN SYRINGES AND MEDICAL DEVICES</v>
      </c>
    </row>
    <row r="1298">
      <c r="H1298" s="25" t="str">
        <f>IFERROR(__xludf.DUMMYFUNCTION("""COMPUTED_VALUE"""),"HINDUSTAN UNILEVER")</f>
        <v>HINDUSTAN UNILEVER</v>
      </c>
    </row>
    <row r="1299">
      <c r="H1299" s="25" t="str">
        <f>IFERROR(__xludf.DUMMYFUNCTION("""COMPUTED_VALUE"""),"Hindustan Unilever Ltd")</f>
        <v>Hindustan Unilever Ltd</v>
      </c>
    </row>
    <row r="1300">
      <c r="H1300" s="25" t="str">
        <f>IFERROR(__xludf.DUMMYFUNCTION("""COMPUTED_VALUE"""),"HINIKAM DRUGS AND PHARMACEUTICALS")</f>
        <v>HINIKAM DRUGS AND PHARMACEUTICALS</v>
      </c>
    </row>
    <row r="1301">
      <c r="H1301" s="25" t="str">
        <f>IFERROR(__xludf.DUMMYFUNCTION("""COMPUTED_VALUE"""),"HL")</f>
        <v>HL</v>
      </c>
    </row>
    <row r="1302">
      <c r="H1302" s="25" t="str">
        <f>IFERROR(__xludf.DUMMYFUNCTION("""COMPUTED_VALUE"""),"HL HEALTHCARE")</f>
        <v>HL HEALTHCARE</v>
      </c>
    </row>
    <row r="1303">
      <c r="H1303" s="25" t="str">
        <f>IFERROR(__xludf.DUMMYFUNCTION("""COMPUTED_VALUE"""),"HLL Lifecare Ltd")</f>
        <v>HLL Lifecare Ltd</v>
      </c>
    </row>
    <row r="1304">
      <c r="H1304" s="25" t="str">
        <f>IFERROR(__xludf.DUMMYFUNCTION("""COMPUTED_VALUE"""),"HMD LTD")</f>
        <v>HMD LTD</v>
      </c>
    </row>
    <row r="1305">
      <c r="H1305" s="25" t="str">
        <f>IFERROR(__xludf.DUMMYFUNCTION("""COMPUTED_VALUE"""),"HOECHEST")</f>
        <v>HOECHEST</v>
      </c>
    </row>
    <row r="1306">
      <c r="H1306" s="25" t="str">
        <f>IFERROR(__xludf.DUMMYFUNCTION("""COMPUTED_VALUE"""),"HOME REMEDIES")</f>
        <v>HOME REMEDIES</v>
      </c>
    </row>
    <row r="1307">
      <c r="H1307" s="25" t="str">
        <f>IFERROR(__xludf.DUMMYFUNCTION("""COMPUTED_VALUE"""),"HORIZON BIOCEUTICALS PVT LTD")</f>
        <v>HORIZON BIOCEUTICALS PVT LTD</v>
      </c>
    </row>
    <row r="1308">
      <c r="H1308" s="25" t="str">
        <f>IFERROR(__xludf.DUMMYFUNCTION("""COMPUTED_VALUE"""),"HORIZON MEDICAMENT")</f>
        <v>HORIZON MEDICAMENT</v>
      </c>
    </row>
    <row r="1309">
      <c r="H1309" s="25" t="str">
        <f>IFERROR(__xludf.DUMMYFUNCTION("""COMPUTED_VALUE"""),"HORIZON PHARMACEUTICALS")</f>
        <v>HORIZON PHARMACEUTICALS</v>
      </c>
    </row>
    <row r="1310">
      <c r="H1310" s="25" t="str">
        <f>IFERROR(__xludf.DUMMYFUNCTION("""COMPUTED_VALUE"""),"HORWEIZ PHARMACEUTICAL")</f>
        <v>HORWEIZ PHARMACEUTICAL</v>
      </c>
    </row>
    <row r="1311">
      <c r="H1311" s="25" t="str">
        <f>IFERROR(__xludf.DUMMYFUNCTION("""COMPUTED_VALUE"""),"HOYA LENS INDIA")</f>
        <v>HOYA LENS INDIA</v>
      </c>
    </row>
    <row r="1312">
      <c r="H1312" s="25" t="str">
        <f>IFERROR(__xludf.DUMMYFUNCTION("""COMPUTED_VALUE"""),"HP")</f>
        <v>HP</v>
      </c>
    </row>
    <row r="1313">
      <c r="H1313" s="25" t="str">
        <f>IFERROR(__xludf.DUMMYFUNCTION("""COMPUTED_VALUE"""),"HRI HEALTHCARE")</f>
        <v>HRI HEALTHCARE</v>
      </c>
    </row>
    <row r="1314">
      <c r="H1314" s="25" t="str">
        <f>IFERROR(__xludf.DUMMYFUNCTION("""COMPUTED_VALUE"""),"HSL")</f>
        <v>HSL</v>
      </c>
    </row>
    <row r="1315">
      <c r="H1315" s="25" t="str">
        <f>IFERROR(__xludf.DUMMYFUNCTION("""COMPUTED_VALUE"""),"HUMAN BIO ORGANIC")</f>
        <v>HUMAN BIO ORGANIC</v>
      </c>
    </row>
    <row r="1316">
      <c r="H1316" s="25" t="str">
        <f>IFERROR(__xludf.DUMMYFUNCTION("""COMPUTED_VALUE"""),"HUMAN HEALTH CARE")</f>
        <v>HUMAN HEALTH CARE</v>
      </c>
    </row>
    <row r="1317">
      <c r="H1317" s="25" t="str">
        <f>IFERROR(__xludf.DUMMYFUNCTION("""COMPUTED_VALUE"""),"HUMANBIO-LOGICAL PVT LTD")</f>
        <v>HUMANBIO-LOGICAL PVT LTD</v>
      </c>
    </row>
    <row r="1318">
      <c r="H1318" s="25" t="str">
        <f>IFERROR(__xludf.DUMMYFUNCTION("""COMPUTED_VALUE"""),"HUMMOCK PHARMACEUTICALS PVT LTD")</f>
        <v>HUMMOCK PHARMACEUTICALS PVT LTD</v>
      </c>
    </row>
    <row r="1319">
      <c r="H1319" s="25" t="str">
        <f>IFERROR(__xludf.DUMMYFUNCTION("""COMPUTED_VALUE"""),"HUMPS INDIA PVT LTD")</f>
        <v>HUMPS INDIA PVT LTD</v>
      </c>
    </row>
    <row r="1320">
      <c r="H1320" s="25" t="str">
        <f>IFERROR(__xludf.DUMMYFUNCTION("""COMPUTED_VALUE"""),"HYGEIA LABS")</f>
        <v>HYGEIA LABS</v>
      </c>
    </row>
    <row r="1321">
      <c r="H1321" s="25" t="str">
        <f>IFERROR(__xludf.DUMMYFUNCTION("""COMPUTED_VALUE"""),"HYGEIA LABS (H)")</f>
        <v>HYGEIA LABS (H)</v>
      </c>
    </row>
    <row r="1322">
      <c r="H1322" s="25" t="str">
        <f>IFERROR(__xludf.DUMMYFUNCTION("""COMPUTED_VALUE"""),"HYGIENIC RESEARCH INSTITUTE")</f>
        <v>HYGIENIC RESEARCH INSTITUTE</v>
      </c>
    </row>
    <row r="1323">
      <c r="H1323" s="25" t="str">
        <f>IFERROR(__xludf.DUMMYFUNCTION("""COMPUTED_VALUE"""),"HYMAX HEALTHCARE P LTD")</f>
        <v>HYMAX HEALTHCARE P LTD</v>
      </c>
    </row>
    <row r="1324">
      <c r="H1324" s="25" t="str">
        <f>IFERROR(__xludf.DUMMYFUNCTION("""COMPUTED_VALUE"""),"HYPATOS PHARMACEUTICALS PVT LTD")</f>
        <v>HYPATOS PHARMACEUTICALS PVT LTD</v>
      </c>
    </row>
    <row r="1325">
      <c r="H1325" s="25" t="str">
        <f>IFERROR(__xludf.DUMMYFUNCTION("""COMPUTED_VALUE"""),"HYPOLIN")</f>
        <v>HYPOLIN</v>
      </c>
    </row>
    <row r="1326">
      <c r="H1326" s="25" t="str">
        <f>IFERROR(__xludf.DUMMYFUNCTION("""COMPUTED_VALUE"""),"I CONNECT")</f>
        <v>I CONNECT</v>
      </c>
    </row>
    <row r="1327">
      <c r="H1327" s="25" t="str">
        <f>IFERROR(__xludf.DUMMYFUNCTION("""COMPUTED_VALUE"""),"IBLUE (GENERIC)")</f>
        <v>IBLUE (GENERIC)</v>
      </c>
    </row>
    <row r="1328">
      <c r="H1328" s="25" t="str">
        <f>IFERROR(__xludf.DUMMYFUNCTION("""COMPUTED_VALUE"""),"ICON HEALTH CARE")</f>
        <v>ICON HEALTH CARE</v>
      </c>
    </row>
    <row r="1329">
      <c r="H1329" s="25" t="str">
        <f>IFERROR(__xludf.DUMMYFUNCTION("""COMPUTED_VALUE"""),"Icon Life Sciences")</f>
        <v>Icon Life Sciences</v>
      </c>
    </row>
    <row r="1330">
      <c r="H1330" s="25" t="str">
        <f>IFERROR(__xludf.DUMMYFUNCTION("""COMPUTED_VALUE"""),"Icon Pharma &amp; Surgicals Pvt Ltd")</f>
        <v>Icon Pharma &amp; Surgicals Pvt Ltd</v>
      </c>
    </row>
    <row r="1331">
      <c r="H1331" s="25" t="str">
        <f>IFERROR(__xludf.DUMMYFUNCTION("""COMPUTED_VALUE"""),"Icpa Health Products Ltd")</f>
        <v>Icpa Health Products Ltd</v>
      </c>
    </row>
    <row r="1332">
      <c r="H1332" s="25" t="str">
        <f>IFERROR(__xludf.DUMMYFUNCTION("""COMPUTED_VALUE"""),"IIFA HEALTHCARE")</f>
        <v>IIFA HEALTHCARE</v>
      </c>
    </row>
    <row r="1333">
      <c r="H1333" s="25" t="str">
        <f>IFERROR(__xludf.DUMMYFUNCTION("""COMPUTED_VALUE"""),"Ikon Pharmachem Pvt Ltd")</f>
        <v>Ikon Pharmachem Pvt Ltd</v>
      </c>
    </row>
    <row r="1334">
      <c r="H1334" s="25" t="str">
        <f>IFERROR(__xludf.DUMMYFUNCTION("""COMPUTED_VALUE"""),"IKON REMEDIES")</f>
        <v>IKON REMEDIES</v>
      </c>
    </row>
    <row r="1335">
      <c r="H1335" s="25" t="str">
        <f>IFERROR(__xludf.DUMMYFUNCTION("""COMPUTED_VALUE"""),"IKON REMEDIES (GENERIC)")</f>
        <v>IKON REMEDIES (GENERIC)</v>
      </c>
    </row>
    <row r="1336">
      <c r="H1336" s="25" t="str">
        <f>IFERROR(__xludf.DUMMYFUNCTION("""COMPUTED_VALUE"""),"INAVARS BIOLOGICALS INC")</f>
        <v>INAVARS BIOLOGICALS INC</v>
      </c>
    </row>
    <row r="1337">
      <c r="H1337" s="25" t="str">
        <f>IFERROR(__xludf.DUMMYFUNCTION("""COMPUTED_VALUE"""),"INCEPTA PHARMACEUTICALS LTD")</f>
        <v>INCEPTA PHARMACEUTICALS LTD</v>
      </c>
    </row>
    <row r="1338">
      <c r="H1338" s="25" t="str">
        <f>IFERROR(__xludf.DUMMYFUNCTION("""COMPUTED_VALUE"""),"INCIPE PHARMACEUTICAL")</f>
        <v>INCIPE PHARMACEUTICAL</v>
      </c>
    </row>
    <row r="1339">
      <c r="H1339" s="25" t="str">
        <f>IFERROR(__xludf.DUMMYFUNCTION("""COMPUTED_VALUE"""),"IND RUSSIAN")</f>
        <v>IND RUSSIAN</v>
      </c>
    </row>
    <row r="1340">
      <c r="H1340" s="25" t="str">
        <f>IFERROR(__xludf.DUMMYFUNCTION("""COMPUTED_VALUE"""),"Ind Swift (CARDIOSWIFT)")</f>
        <v>Ind Swift (CARDIOSWIFT)</v>
      </c>
    </row>
    <row r="1341">
      <c r="H1341" s="25" t="str">
        <f>IFERROR(__xludf.DUMMYFUNCTION("""COMPUTED_VALUE"""),"Ind Swift (GYANOSWIFT)")</f>
        <v>Ind Swift (GYANOSWIFT)</v>
      </c>
    </row>
    <row r="1342">
      <c r="H1342" s="25" t="str">
        <f>IFERROR(__xludf.DUMMYFUNCTION("""COMPUTED_VALUE"""),"Ind Swift (MEGASWIFT)")</f>
        <v>Ind Swift (MEGASWIFT)</v>
      </c>
    </row>
    <row r="1343">
      <c r="H1343" s="25" t="str">
        <f>IFERROR(__xludf.DUMMYFUNCTION("""COMPUTED_VALUE"""),"Ind Swift (NEUTRAMATRIX)")</f>
        <v>Ind Swift (NEUTRAMATRIX)</v>
      </c>
    </row>
    <row r="1344">
      <c r="H1344" s="25" t="str">
        <f>IFERROR(__xludf.DUMMYFUNCTION("""COMPUTED_VALUE"""),"Ind Swift Laboratories (GENERIC)")</f>
        <v>Ind Swift Laboratories (GENERIC)</v>
      </c>
    </row>
    <row r="1345">
      <c r="H1345" s="25" t="str">
        <f>IFERROR(__xludf.DUMMYFUNCTION("""COMPUTED_VALUE"""),"Ind Swift Laboratories Ltd")</f>
        <v>Ind Swift Laboratories Ltd</v>
      </c>
    </row>
    <row r="1346">
      <c r="H1346" s="25" t="str">
        <f>IFERROR(__xludf.DUMMYFUNCTION("""COMPUTED_VALUE"""),"Indchemi Health Specialies Pvt Ltd")</f>
        <v>Indchemi Health Specialies Pvt Ltd</v>
      </c>
    </row>
    <row r="1347">
      <c r="H1347" s="25" t="str">
        <f>IFERROR(__xludf.DUMMYFUNCTION("""COMPUTED_VALUE"""),"Indi Pharma")</f>
        <v>Indi Pharma</v>
      </c>
    </row>
    <row r="1348">
      <c r="H1348" s="25" t="str">
        <f>IFERROR(__xludf.DUMMYFUNCTION("""COMPUTED_VALUE"""),"INDIABULLS (CRITICA)")</f>
        <v>INDIABULLS (CRITICA)</v>
      </c>
    </row>
    <row r="1349">
      <c r="H1349" s="25" t="str">
        <f>IFERROR(__xludf.DUMMYFUNCTION("""COMPUTED_VALUE"""),"INDIABULLS (CVD)")</f>
        <v>INDIABULLS (CVD)</v>
      </c>
    </row>
    <row r="1350">
      <c r="H1350" s="25" t="str">
        <f>IFERROR(__xludf.DUMMYFUNCTION("""COMPUTED_VALUE"""),"INDIABULLS (DERMANEX 1)")</f>
        <v>INDIABULLS (DERMANEX 1)</v>
      </c>
    </row>
    <row r="1351">
      <c r="H1351" s="25" t="str">
        <f>IFERROR(__xludf.DUMMYFUNCTION("""COMPUTED_VALUE"""),"INDIABULLS (DERMANEX 3)")</f>
        <v>INDIABULLS (DERMANEX 3)</v>
      </c>
    </row>
    <row r="1352">
      <c r="H1352" s="25" t="str">
        <f>IFERROR(__xludf.DUMMYFUNCTION("""COMPUTED_VALUE"""),"INDIABULLS (FEMINEX)")</f>
        <v>INDIABULLS (FEMINEX)</v>
      </c>
    </row>
    <row r="1353">
      <c r="H1353" s="25" t="str">
        <f>IFERROR(__xludf.DUMMYFUNCTION("""COMPUTED_VALUE"""),"INDIABULLS (INVICTA)")</f>
        <v>INDIABULLS (INVICTA)</v>
      </c>
    </row>
    <row r="1354">
      <c r="H1354" s="25" t="str">
        <f>IFERROR(__xludf.DUMMYFUNCTION("""COMPUTED_VALUE"""),"INDIABULLS (NEXPIRA)")</f>
        <v>INDIABULLS (NEXPIRA)</v>
      </c>
    </row>
    <row r="1355">
      <c r="H1355" s="25" t="str">
        <f>IFERROR(__xludf.DUMMYFUNCTION("""COMPUTED_VALUE"""),"INDIABULLS (PEDIA)")</f>
        <v>INDIABULLS (PEDIA)</v>
      </c>
    </row>
    <row r="1356">
      <c r="H1356" s="25" t="str">
        <f>IFERROR(__xludf.DUMMYFUNCTION("""COMPUTED_VALUE"""),"INDIABULLS (PHARMACEUTICAL)")</f>
        <v>INDIABULLS (PHARMACEUTICAL)</v>
      </c>
    </row>
    <row r="1357">
      <c r="H1357" s="25" t="str">
        <f>IFERROR(__xludf.DUMMYFUNCTION("""COMPUTED_VALUE"""),"INDIABULLS (PRIMA)")</f>
        <v>INDIABULLS (PRIMA)</v>
      </c>
    </row>
    <row r="1358">
      <c r="H1358" s="25" t="str">
        <f>IFERROR(__xludf.DUMMYFUNCTION("""COMPUTED_VALUE"""),"INDIABULLS (VESTA)")</f>
        <v>INDIABULLS (VESTA)</v>
      </c>
    </row>
    <row r="1359">
      <c r="H1359" s="25" t="str">
        <f>IFERROR(__xludf.DUMMYFUNCTION("""COMPUTED_VALUE"""),"INDIABULLS PHARMACEUTICAL")</f>
        <v>INDIABULLS PHARMACEUTICAL</v>
      </c>
    </row>
    <row r="1360">
      <c r="H1360" s="25" t="str">
        <f>IFERROR(__xludf.DUMMYFUNCTION("""COMPUTED_VALUE"""),"INDIAN CHEMICAL WORKS")</f>
        <v>INDIAN CHEMICAL WORKS</v>
      </c>
    </row>
    <row r="1361">
      <c r="H1361" s="25" t="str">
        <f>IFERROR(__xludf.DUMMYFUNCTION("""COMPUTED_VALUE"""),"Indian Immunologicals Ltd")</f>
        <v>Indian Immunologicals Ltd</v>
      </c>
    </row>
    <row r="1362">
      <c r="H1362" s="25" t="str">
        <f>IFERROR(__xludf.DUMMYFUNCTION("""COMPUTED_VALUE"""),"INDIAN TRADERS (OEP)")</f>
        <v>INDIAN TRADERS (OEP)</v>
      </c>
    </row>
    <row r="1363">
      <c r="H1363" s="25" t="str">
        <f>IFERROR(__xludf.DUMMYFUNCTION("""COMPUTED_VALUE"""),"Indica Laboratories Pvt Ltd")</f>
        <v>Indica Laboratories Pvt Ltd</v>
      </c>
    </row>
    <row r="1364">
      <c r="H1364" s="25" t="str">
        <f>IFERROR(__xludf.DUMMYFUNCTION("""COMPUTED_VALUE"""),"INDILINA PHARMACEUTICALS")</f>
        <v>INDILINA PHARMACEUTICALS</v>
      </c>
    </row>
    <row r="1365">
      <c r="H1365" s="25" t="str">
        <f>IFERROR(__xludf.DUMMYFUNCTION("""COMPUTED_VALUE"""),"Indkus Drugs &amp; Pharma Pvt. Ltd")</f>
        <v>Indkus Drugs &amp; Pharma Pvt. Ltd</v>
      </c>
    </row>
    <row r="1366">
      <c r="H1366" s="25" t="str">
        <f>IFERROR(__xludf.DUMMYFUNCTION("""COMPUTED_VALUE"""),"Indkus Drugs &amp; Pharma Pvt. Ltd.")</f>
        <v>Indkus Drugs &amp; Pharma Pvt. Ltd.</v>
      </c>
    </row>
    <row r="1367">
      <c r="H1367" s="25" t="str">
        <f>IFERROR(__xludf.DUMMYFUNCTION("""COMPUTED_VALUE"""),"INDOCO REMEDIES (WARREN-EXEL)")</f>
        <v>INDOCO REMEDIES (WARREN-EXEL)</v>
      </c>
    </row>
    <row r="1368">
      <c r="H1368" s="25" t="str">
        <f>IFERROR(__xludf.DUMMYFUNCTION("""COMPUTED_VALUE"""),"INDOCO REMEDIES (WARREN)")</f>
        <v>INDOCO REMEDIES (WARREN)</v>
      </c>
    </row>
    <row r="1369">
      <c r="H1369" s="25" t="str">
        <f>IFERROR(__xludf.DUMMYFUNCTION("""COMPUTED_VALUE"""),"Indoco Remedies Ltd")</f>
        <v>Indoco Remedies Ltd</v>
      </c>
    </row>
    <row r="1370">
      <c r="H1370" s="25" t="str">
        <f>IFERROR(__xludf.DUMMYFUNCTION("""COMPUTED_VALUE"""),"INDON HEALTHCARE LTD.")</f>
        <v>INDON HEALTHCARE LTD.</v>
      </c>
    </row>
    <row r="1371">
      <c r="H1371" s="25" t="str">
        <f>IFERROR(__xludf.DUMMYFUNCTION("""COMPUTED_VALUE"""),"INDORE MEDICINE HOUSE (COMMON)")</f>
        <v>INDORE MEDICINE HOUSE (COMMON)</v>
      </c>
    </row>
    <row r="1372">
      <c r="H1372" s="25" t="str">
        <f>IFERROR(__xludf.DUMMYFUNCTION("""COMPUTED_VALUE"""),"INDORE MEDICINE HOUSE (VETERINARY)")</f>
        <v>INDORE MEDICINE HOUSE (VETERINARY)</v>
      </c>
    </row>
    <row r="1373">
      <c r="H1373" s="25" t="str">
        <f>IFERROR(__xludf.DUMMYFUNCTION("""COMPUTED_VALUE"""),"INDOSS LIFE SCIENCES")</f>
        <v>INDOSS LIFE SCIENCES</v>
      </c>
    </row>
    <row r="1374">
      <c r="H1374" s="25" t="str">
        <f>IFERROR(__xludf.DUMMYFUNCTION("""COMPUTED_VALUE"""),"INDUS MEDITECH P LTD")</f>
        <v>INDUS MEDITECH P LTD</v>
      </c>
    </row>
    <row r="1375">
      <c r="H1375" s="25" t="str">
        <f>IFERROR(__xludf.DUMMYFUNCTION("""COMPUTED_VALUE"""),"INDUSKEN")</f>
        <v>INDUSKEN</v>
      </c>
    </row>
    <row r="1376">
      <c r="H1376" s="25" t="str">
        <f>IFERROR(__xludf.DUMMYFUNCTION("""COMPUTED_VALUE"""),"Infar (India) Ltd.")</f>
        <v>Infar (India) Ltd.</v>
      </c>
    </row>
    <row r="1377">
      <c r="H1377" s="25" t="str">
        <f>IFERROR(__xludf.DUMMYFUNCTION("""COMPUTED_VALUE"""),"INGA LABORATORIES")</f>
        <v>INGA LABORATORIES</v>
      </c>
    </row>
    <row r="1378">
      <c r="H1378" s="25" t="str">
        <f>IFERROR(__xludf.DUMMYFUNCTION("""COMPUTED_VALUE"""),"INGOLDSHIELD PHARMA")</f>
        <v>INGOLDSHIELD PHARMA</v>
      </c>
    </row>
    <row r="1379">
      <c r="H1379" s="25" t="str">
        <f>IFERROR(__xludf.DUMMYFUNCTION("""COMPUTED_VALUE"""),"INIZIA HEALTHCARE")</f>
        <v>INIZIA HEALTHCARE</v>
      </c>
    </row>
    <row r="1380">
      <c r="H1380" s="25" t="str">
        <f>IFERROR(__xludf.DUMMYFUNCTION("""COMPUTED_VALUE"""),"INIZIA HEALTHCARE (CENURA)")</f>
        <v>INIZIA HEALTHCARE (CENURA)</v>
      </c>
    </row>
    <row r="1381">
      <c r="H1381" s="25" t="str">
        <f>IFERROR(__xludf.DUMMYFUNCTION("""COMPUTED_VALUE"""),"INJAYS PHARMACEUTICALS P LTD")</f>
        <v>INJAYS PHARMACEUTICALS P LTD</v>
      </c>
    </row>
    <row r="1382">
      <c r="H1382" s="25" t="str">
        <f>IFERROR(__xludf.DUMMYFUNCTION("""COMPUTED_VALUE"""),"INJECT CARE PARENTERALS")</f>
        <v>INJECT CARE PARENTERALS</v>
      </c>
    </row>
    <row r="1383">
      <c r="H1383" s="25" t="str">
        <f>IFERROR(__xludf.DUMMYFUNCTION("""COMPUTED_VALUE"""),"INJECTO CAPTA PVT.LTD.")</f>
        <v>INJECTO CAPTA PVT.LTD.</v>
      </c>
    </row>
    <row r="1384">
      <c r="H1384" s="25" t="str">
        <f>IFERROR(__xludf.DUMMYFUNCTION("""COMPUTED_VALUE"""),"INNATE BIOTECH")</f>
        <v>INNATE BIOTECH</v>
      </c>
    </row>
    <row r="1385">
      <c r="H1385" s="25" t="str">
        <f>IFERROR(__xludf.DUMMYFUNCTION("""COMPUTED_VALUE"""),"INNOVA FORMULATION PVT LTD")</f>
        <v>INNOVA FORMULATION PVT LTD</v>
      </c>
    </row>
    <row r="1386">
      <c r="H1386" s="25" t="str">
        <f>IFERROR(__xludf.DUMMYFUNCTION("""COMPUTED_VALUE"""),"INNOVATIVE")</f>
        <v>INNOVATIVE</v>
      </c>
    </row>
    <row r="1387">
      <c r="H1387" s="25" t="str">
        <f>IFERROR(__xludf.DUMMYFUNCTION("""COMPUTED_VALUE"""),"Innovative Lifesciences")</f>
        <v>Innovative Lifesciences</v>
      </c>
    </row>
    <row r="1388">
      <c r="H1388" s="25" t="str">
        <f>IFERROR(__xludf.DUMMYFUNCTION("""COMPUTED_VALUE"""),"INNOVATIVE PHARMACEUTICALS (GENERIC)")</f>
        <v>INNOVATIVE PHARMACEUTICALS (GENERIC)</v>
      </c>
    </row>
    <row r="1389">
      <c r="H1389" s="25" t="str">
        <f>IFERROR(__xludf.DUMMYFUNCTION("""COMPUTED_VALUE"""),"INNOVCARE LIFESCIENCE (ALTIUS)")</f>
        <v>INNOVCARE LIFESCIENCE (ALTIUS)</v>
      </c>
    </row>
    <row r="1390">
      <c r="H1390" s="25" t="str">
        <f>IFERROR(__xludf.DUMMYFUNCTION("""COMPUTED_VALUE"""),"INNOVCARE LIFESCIENCES")</f>
        <v>INNOVCARE LIFESCIENCES</v>
      </c>
    </row>
    <row r="1391">
      <c r="H1391" s="25" t="str">
        <f>IFERROR(__xludf.DUMMYFUNCTION("""COMPUTED_VALUE"""),"INNOVEXIA LIFE SCIENCES")</f>
        <v>INNOVEXIA LIFE SCIENCES</v>
      </c>
    </row>
    <row r="1392">
      <c r="H1392" s="25" t="str">
        <f>IFERROR(__xludf.DUMMYFUNCTION("""COMPUTED_VALUE"""),"INNOVEXIA LIFE SCIENCES PVT LTD")</f>
        <v>INNOVEXIA LIFE SCIENCES PVT LTD</v>
      </c>
    </row>
    <row r="1393">
      <c r="H1393" s="25" t="str">
        <f>IFERROR(__xludf.DUMMYFUNCTION("""COMPUTED_VALUE"""),"INOWELL PHARMA (GYNEAC)")</f>
        <v>INOWELL PHARMA (GYNEAC)</v>
      </c>
    </row>
    <row r="1394">
      <c r="H1394" s="25" t="str">
        <f>IFERROR(__xludf.DUMMYFUNCTION("""COMPUTED_VALUE"""),"INSIGHT EYECARE")</f>
        <v>INSIGHT EYECARE</v>
      </c>
    </row>
    <row r="1395">
      <c r="H1395" s="25" t="str">
        <f>IFERROR(__xludf.DUMMYFUNCTION("""COMPUTED_VALUE"""),"INTAS (ADRINA)")</f>
        <v>INTAS (ADRINA)</v>
      </c>
    </row>
    <row r="1396">
      <c r="H1396" s="25" t="str">
        <f>IFERROR(__xludf.DUMMYFUNCTION("""COMPUTED_VALUE"""),"INTAS (ALAIRA)")</f>
        <v>INTAS (ALAIRA)</v>
      </c>
    </row>
    <row r="1397">
      <c r="H1397" s="25" t="str">
        <f>IFERROR(__xludf.DUMMYFUNCTION("""COMPUTED_VALUE"""),"INTAS (ALECTA)")</f>
        <v>INTAS (ALECTA)</v>
      </c>
    </row>
    <row r="1398">
      <c r="H1398" s="25" t="str">
        <f>IFERROR(__xludf.DUMMYFUNCTION("""COMPUTED_VALUE"""),"INTAS (ALERON)")</f>
        <v>INTAS (ALERON)</v>
      </c>
    </row>
    <row r="1399">
      <c r="H1399" s="25" t="str">
        <f>IFERROR(__xludf.DUMMYFUNCTION("""COMPUTED_VALUE"""),"INTAS (ALTIMA)")</f>
        <v>INTAS (ALTIMA)</v>
      </c>
    </row>
    <row r="1400">
      <c r="H1400" s="25" t="str">
        <f>IFERROR(__xludf.DUMMYFUNCTION("""COMPUTED_VALUE"""),"INTAS (ALTIS)")</f>
        <v>INTAS (ALTIS)</v>
      </c>
    </row>
    <row r="1401">
      <c r="H1401" s="25" t="str">
        <f>IFERROR(__xludf.DUMMYFUNCTION("""COMPUTED_VALUE"""),"INTAS (ANDRE)")</f>
        <v>INTAS (ANDRE)</v>
      </c>
    </row>
    <row r="1402">
      <c r="H1402" s="25" t="str">
        <f>IFERROR(__xludf.DUMMYFUNCTION("""COMPUTED_VALUE"""),"INTAS (AQUILA)")</f>
        <v>INTAS (AQUILA)</v>
      </c>
    </row>
    <row r="1403">
      <c r="H1403" s="25" t="str">
        <f>IFERROR(__xludf.DUMMYFUNCTION("""COMPUTED_VALUE"""),"INTAS (ARRON)")</f>
        <v>INTAS (ARRON)</v>
      </c>
    </row>
    <row r="1404">
      <c r="H1404" s="25" t="str">
        <f>IFERROR(__xludf.DUMMYFUNCTION("""COMPUTED_VALUE"""),"INTAS (ASPIRA)")</f>
        <v>INTAS (ASPIRA)</v>
      </c>
    </row>
    <row r="1405">
      <c r="H1405" s="25" t="str">
        <f>IFERROR(__xludf.DUMMYFUNCTION("""COMPUTED_VALUE"""),"INTAS (ASTERA)")</f>
        <v>INTAS (ASTERA)</v>
      </c>
    </row>
    <row r="1406">
      <c r="H1406" s="25" t="str">
        <f>IFERROR(__xludf.DUMMYFUNCTION("""COMPUTED_VALUE"""),"INTAS (AVANTA)")</f>
        <v>INTAS (AVANTA)</v>
      </c>
    </row>
    <row r="1407">
      <c r="H1407" s="25" t="str">
        <f>IFERROR(__xludf.DUMMYFUNCTION("""COMPUTED_VALUE"""),"INTAS (AVIOR)")</f>
        <v>INTAS (AVIOR)</v>
      </c>
    </row>
    <row r="1408">
      <c r="H1408" s="25" t="str">
        <f>IFERROR(__xludf.DUMMYFUNCTION("""COMPUTED_VALUE"""),"INTAS (AYOKKA)")</f>
        <v>INTAS (AYOKKA)</v>
      </c>
    </row>
    <row r="1409">
      <c r="H1409" s="25" t="str">
        <f>IFERROR(__xludf.DUMMYFUNCTION("""COMPUTED_VALUE"""),"INTAS (INARA)")</f>
        <v>INTAS (INARA)</v>
      </c>
    </row>
    <row r="1410">
      <c r="H1410" s="25" t="str">
        <f>IFERROR(__xludf.DUMMYFUNCTION("""COMPUTED_VALUE"""),"INTAS (NEPHROLOGY)")</f>
        <v>INTAS (NEPHROLOGY)</v>
      </c>
    </row>
    <row r="1411">
      <c r="H1411" s="25" t="str">
        <f>IFERROR(__xludf.DUMMYFUNCTION("""COMPUTED_VALUE"""),"INTAS (ONCOLOGY)")</f>
        <v>INTAS (ONCOLOGY)</v>
      </c>
    </row>
    <row r="1412">
      <c r="H1412" s="25" t="str">
        <f>IFERROR(__xludf.DUMMYFUNCTION("""COMPUTED_VALUE"""),"INTAS (OPTIMA)")</f>
        <v>INTAS (OPTIMA)</v>
      </c>
    </row>
    <row r="1413">
      <c r="H1413" s="25" t="str">
        <f>IFERROR(__xludf.DUMMYFUNCTION("""COMPUTED_VALUE"""),"INTAS (SPECIALITIES)")</f>
        <v>INTAS (SPECIALITIES)</v>
      </c>
    </row>
    <row r="1414">
      <c r="H1414" s="25" t="str">
        <f>IFERROR(__xludf.DUMMYFUNCTION("""COMPUTED_VALUE"""),"INTAS (SUPRIMA)")</f>
        <v>INTAS (SUPRIMA)</v>
      </c>
    </row>
    <row r="1415">
      <c r="H1415" s="25" t="str">
        <f>IFERROR(__xludf.DUMMYFUNCTION("""COMPUTED_VALUE"""),"INTAS (SURIVA)")</f>
        <v>INTAS (SURIVA)</v>
      </c>
    </row>
    <row r="1416">
      <c r="H1416" s="25" t="str">
        <f>IFERROR(__xludf.DUMMYFUNCTION("""COMPUTED_VALUE"""),"INTAS (SYBELLA)")</f>
        <v>INTAS (SYBELLA)</v>
      </c>
    </row>
    <row r="1417">
      <c r="H1417" s="25" t="str">
        <f>IFERROR(__xludf.DUMMYFUNCTION("""COMPUTED_VALUE"""),"INTAS (VECTOR)")</f>
        <v>INTAS (VECTOR)</v>
      </c>
    </row>
    <row r="1418">
      <c r="H1418" s="25" t="str">
        <f>IFERROR(__xludf.DUMMYFUNCTION("""COMPUTED_VALUE"""),"INTAS (VIVIA)")</f>
        <v>INTAS (VIVIA)</v>
      </c>
    </row>
    <row r="1419">
      <c r="H1419" s="25" t="str">
        <f>IFERROR(__xludf.DUMMYFUNCTION("""COMPUTED_VALUE"""),"INTAS (XENITH)")</f>
        <v>INTAS (XENITH)</v>
      </c>
    </row>
    <row r="1420">
      <c r="H1420" s="25" t="str">
        <f>IFERROR(__xludf.DUMMYFUNCTION("""COMPUTED_VALUE"""),"Intas Pharmaceuticals Ltd")</f>
        <v>Intas Pharmaceuticals Ltd</v>
      </c>
    </row>
    <row r="1421">
      <c r="H1421" s="25" t="str">
        <f>IFERROR(__xludf.DUMMYFUNCTION("""COMPUTED_VALUE"""),"Intas Pharmaceuticals Ltd (GENERIC)")</f>
        <v>Intas Pharmaceuticals Ltd (GENERIC)</v>
      </c>
    </row>
    <row r="1422">
      <c r="H1422" s="25" t="str">
        <f>IFERROR(__xludf.DUMMYFUNCTION("""COMPUTED_VALUE"""),"Integra Life Sciences (P) Ltd. (Alfa Igra Inc.)")</f>
        <v>Integra Life Sciences (P) Ltd. (Alfa Igra Inc.)</v>
      </c>
    </row>
    <row r="1423">
      <c r="H1423" s="25" t="str">
        <f>IFERROR(__xludf.DUMMYFUNCTION("""COMPUTED_VALUE"""),"Integra Life Sciences (P) Ltd. (Alfa Igra Inc.)
")</f>
        <v>Integra Life Sciences (P) Ltd. (Alfa Igra Inc.)
</v>
      </c>
    </row>
    <row r="1424">
      <c r="H1424" s="25" t="str">
        <f>IFERROR(__xludf.DUMMYFUNCTION("""COMPUTED_VALUE"""),"INTEGRAL LIFE SCIENCES")</f>
        <v>INTEGRAL LIFE SCIENCES</v>
      </c>
    </row>
    <row r="1425">
      <c r="H1425" s="25" t="str">
        <f>IFERROR(__xludf.DUMMYFUNCTION("""COMPUTED_VALUE"""),"INTEGRAL LIFE SCIENCES (SS)")</f>
        <v>INTEGRAL LIFE SCIENCES (SS)</v>
      </c>
    </row>
    <row r="1426">
      <c r="H1426" s="25" t="str">
        <f>IFERROR(__xludf.DUMMYFUNCTION("""COMPUTED_VALUE"""),"INTEGRATED LABORATORIES PVT LTD")</f>
        <v>INTEGRATED LABORATORIES PVT LTD</v>
      </c>
    </row>
    <row r="1427">
      <c r="H1427" s="25" t="str">
        <f>IFERROR(__xludf.DUMMYFUNCTION("""COMPUTED_VALUE"""),"INTELICURE LIFESCIENCES")</f>
        <v>INTELICURE LIFESCIENCES</v>
      </c>
    </row>
    <row r="1428">
      <c r="H1428" s="25" t="str">
        <f>IFERROR(__xludf.DUMMYFUNCTION("""COMPUTED_VALUE"""),"Intermed Pharma Pvt Ltd")</f>
        <v>Intermed Pharma Pvt Ltd</v>
      </c>
    </row>
    <row r="1429">
      <c r="H1429" s="25" t="str">
        <f>IFERROR(__xludf.DUMMYFUNCTION("""COMPUTED_VALUE"""),"Intra Labs India Pvt. Ltd")</f>
        <v>Intra Labs India Pvt. Ltd</v>
      </c>
    </row>
    <row r="1430">
      <c r="H1430" s="25" t="str">
        <f>IFERROR(__xludf.DUMMYFUNCTION("""COMPUTED_VALUE"""),"Intra Labs India Pvt. Ltd. (Intra Life)")</f>
        <v>Intra Labs India Pvt. Ltd. (Intra Life)</v>
      </c>
    </row>
    <row r="1431">
      <c r="H1431" s="25" t="str">
        <f>IFERROR(__xludf.DUMMYFUNCTION("""COMPUTED_VALUE"""),"Intra Labs India Pvt. Ltd. (Inventure)")</f>
        <v>Intra Labs India Pvt. Ltd. (Inventure)</v>
      </c>
    </row>
    <row r="1432">
      <c r="H1432" s="25" t="str">
        <f>IFERROR(__xludf.DUMMYFUNCTION("""COMPUTED_VALUE"""),"Intra Life (Doxis Laboratories)")</f>
        <v>Intra Life (Doxis Laboratories)</v>
      </c>
    </row>
    <row r="1433">
      <c r="H1433" s="25" t="str">
        <f>IFERROR(__xludf.DUMMYFUNCTION("""COMPUTED_VALUE"""),"INVEN PHARMACEUTICALS PVT LTD")</f>
        <v>INVEN PHARMACEUTICALS PVT LTD</v>
      </c>
    </row>
    <row r="1434">
      <c r="H1434" s="25" t="str">
        <f>IFERROR(__xludf.DUMMYFUNCTION("""COMPUTED_VALUE"""),"INVENTIVE (GENERIC)")</f>
        <v>INVENTIVE (GENERIC)</v>
      </c>
    </row>
    <row r="1435">
      <c r="H1435" s="25" t="str">
        <f>IFERROR(__xludf.DUMMYFUNCTION("""COMPUTED_VALUE"""),"Invida India Pvt. Ltd.")</f>
        <v>Invida India Pvt. Ltd.</v>
      </c>
    </row>
    <row r="1436">
      <c r="H1436" s="25" t="str">
        <f>IFERROR(__xludf.DUMMYFUNCTION("""COMPUTED_VALUE"""),"INVISCUS LIFE SCIENCES")</f>
        <v>INVISCUS LIFE SCIENCES</v>
      </c>
    </row>
    <row r="1437">
      <c r="H1437" s="25" t="str">
        <f>IFERROR(__xludf.DUMMYFUNCTION("""COMPUTED_VALUE"""),"Invision Medi Sciences Pvt. Ltd")</f>
        <v>Invision Medi Sciences Pvt. Ltd</v>
      </c>
    </row>
    <row r="1438">
      <c r="H1438" s="25" t="str">
        <f>IFERROR(__xludf.DUMMYFUNCTION("""COMPUTED_VALUE"""),"Invomed Cotab Pvt. Ltd")</f>
        <v>Invomed Cotab Pvt. Ltd</v>
      </c>
    </row>
    <row r="1439">
      <c r="H1439" s="25" t="str">
        <f>IFERROR(__xludf.DUMMYFUNCTION("""COMPUTED_VALUE"""),"ION HEALTHCARE")</f>
        <v>ION HEALTHCARE</v>
      </c>
    </row>
    <row r="1440">
      <c r="H1440" s="25" t="str">
        <f>IFERROR(__xludf.DUMMYFUNCTION("""COMPUTED_VALUE"""),"IPC HEALTHCARE PVT LTD")</f>
        <v>IPC HEALTHCARE PVT LTD</v>
      </c>
    </row>
    <row r="1441">
      <c r="H1441" s="25" t="str">
        <f>IFERROR(__xludf.DUMMYFUNCTION("""COMPUTED_VALUE"""),"IPCA (1)")</f>
        <v>IPCA (1)</v>
      </c>
    </row>
    <row r="1442">
      <c r="H1442" s="25" t="str">
        <f>IFERROR(__xludf.DUMMYFUNCTION("""COMPUTED_VALUE"""),"IPCA (2)")</f>
        <v>IPCA (2)</v>
      </c>
    </row>
    <row r="1443">
      <c r="H1443" s="25" t="str">
        <f>IFERROR(__xludf.DUMMYFUNCTION("""COMPUTED_VALUE"""),"IPCA (3C)")</f>
        <v>IPCA (3C)</v>
      </c>
    </row>
    <row r="1444">
      <c r="H1444" s="25" t="str">
        <f>IFERROR(__xludf.DUMMYFUNCTION("""COMPUTED_VALUE"""),"IPCA (3D)")</f>
        <v>IPCA (3D)</v>
      </c>
    </row>
    <row r="1445">
      <c r="H1445" s="25" t="str">
        <f>IFERROR(__xludf.DUMMYFUNCTION("""COMPUTED_VALUE"""),"IPCA (ACTIVA)")</f>
        <v>IPCA (ACTIVA)</v>
      </c>
    </row>
    <row r="1446">
      <c r="H1446" s="25" t="str">
        <f>IFERROR(__xludf.DUMMYFUNCTION("""COMPUTED_VALUE"""),"IPCA (BIONOVA  ACE)")</f>
        <v>IPCA (BIONOVA  ACE)</v>
      </c>
    </row>
    <row r="1447">
      <c r="H1447" s="25" t="str">
        <f>IFERROR(__xludf.DUMMYFUNCTION("""COMPUTED_VALUE"""),"IPCA (BIONOVA ACE)")</f>
        <v>IPCA (BIONOVA ACE)</v>
      </c>
    </row>
    <row r="1448">
      <c r="H1448" s="25" t="str">
        <f>IFERROR(__xludf.DUMMYFUNCTION("""COMPUTED_VALUE"""),"IPCA (BIONOVA SPECIALITY)")</f>
        <v>IPCA (BIONOVA SPECIALITY)</v>
      </c>
    </row>
    <row r="1449">
      <c r="H1449" s="25" t="str">
        <f>IFERROR(__xludf.DUMMYFUNCTION("""COMPUTED_VALUE"""),"IPCA (BIONOVA)")</f>
        <v>IPCA (BIONOVA)</v>
      </c>
    </row>
    <row r="1450">
      <c r="H1450" s="25" t="str">
        <f>IFERROR(__xludf.DUMMYFUNCTION("""COMPUTED_VALUE"""),"IPCA (DYNAMIX)")</f>
        <v>IPCA (DYNAMIX)</v>
      </c>
    </row>
    <row r="1451">
      <c r="H1451" s="25" t="str">
        <f>IFERROR(__xludf.DUMMYFUNCTION("""COMPUTED_VALUE"""),"IPCA (HYQ)")</f>
        <v>IPCA (HYQ)</v>
      </c>
    </row>
    <row r="1452">
      <c r="H1452" s="25" t="str">
        <f>IFERROR(__xludf.DUMMYFUNCTION("""COMPUTED_VALUE"""),"IPCA (INNOVA)")</f>
        <v>IPCA (INNOVA)</v>
      </c>
    </row>
    <row r="1453">
      <c r="H1453" s="25" t="str">
        <f>IFERROR(__xludf.DUMMYFUNCTION("""COMPUTED_VALUE"""),"IPCA (INTIMA)")</f>
        <v>IPCA (INTIMA)</v>
      </c>
    </row>
    <row r="1454">
      <c r="H1454" s="25" t="str">
        <f>IFERROR(__xludf.DUMMYFUNCTION("""COMPUTED_VALUE"""),"IPCA (IPM)")</f>
        <v>IPCA (IPM)</v>
      </c>
    </row>
    <row r="1455">
      <c r="H1455" s="25" t="str">
        <f>IFERROR(__xludf.DUMMYFUNCTION("""COMPUTED_VALUE"""),"IPCA (OPTIMA)")</f>
        <v>IPCA (OPTIMA)</v>
      </c>
    </row>
    <row r="1456">
      <c r="H1456" s="25" t="str">
        <f>IFERROR(__xludf.DUMMYFUNCTION("""COMPUTED_VALUE"""),"IPCA (PHARMA NEXT)")</f>
        <v>IPCA (PHARMA NEXT)</v>
      </c>
    </row>
    <row r="1457">
      <c r="H1457" s="25" t="str">
        <f>IFERROR(__xludf.DUMMYFUNCTION("""COMPUTED_VALUE"""),"IPCA (PHARMA)")</f>
        <v>IPCA (PHARMA)</v>
      </c>
    </row>
    <row r="1458">
      <c r="H1458" s="25" t="str">
        <f>IFERROR(__xludf.DUMMYFUNCTION("""COMPUTED_VALUE"""),"IPCA (URO SPECIALITY)")</f>
        <v>IPCA (URO SPECIALITY)</v>
      </c>
    </row>
    <row r="1459">
      <c r="H1459" s="25" t="str">
        <f>IFERROR(__xludf.DUMMYFUNCTION("""COMPUTED_VALUE"""),"IPCA (URO)")</f>
        <v>IPCA (URO)</v>
      </c>
    </row>
    <row r="1460">
      <c r="H1460" s="25" t="str">
        <f>IFERROR(__xludf.DUMMYFUNCTION("""COMPUTED_VALUE"""),"Ipca Laboratories Ltd")</f>
        <v>Ipca Laboratories Ltd</v>
      </c>
    </row>
    <row r="1461">
      <c r="H1461" s="25" t="str">
        <f>IFERROR(__xludf.DUMMYFUNCTION("""COMPUTED_VALUE"""),"Ipsa Labs Pvt Ltd")</f>
        <v>Ipsa Labs Pvt Ltd</v>
      </c>
    </row>
    <row r="1462">
      <c r="H1462" s="25" t="str">
        <f>IFERROR(__xludf.DUMMYFUNCTION("""COMPUTED_VALUE"""),"IQL HEALTHCARE P LTD")</f>
        <v>IQL HEALTHCARE P LTD</v>
      </c>
    </row>
    <row r="1463">
      <c r="H1463" s="25" t="str">
        <f>IFERROR(__xludf.DUMMYFUNCTION("""COMPUTED_VALUE"""),"ISCON")</f>
        <v>ISCON</v>
      </c>
    </row>
    <row r="1464">
      <c r="H1464" s="25" t="str">
        <f>IFERROR(__xludf.DUMMYFUNCTION("""COMPUTED_VALUE"""),"ISCON LIFE SCIENCES")</f>
        <v>ISCON LIFE SCIENCES</v>
      </c>
    </row>
    <row r="1465">
      <c r="H1465" s="25" t="str">
        <f>IFERROR(__xludf.DUMMYFUNCTION("""COMPUTED_VALUE"""),"ISHAVARNI HEALTHCARE PVT LTD")</f>
        <v>ISHAVARNI HEALTHCARE PVT LTD</v>
      </c>
    </row>
    <row r="1466">
      <c r="H1466" s="25" t="str">
        <f>IFERROR(__xludf.DUMMYFUNCTION("""COMPUTED_VALUE"""),"ISIS Pharmaceuticals")</f>
        <v>ISIS Pharmaceuticals</v>
      </c>
    </row>
    <row r="1467">
      <c r="H1467" s="25" t="str">
        <f>IFERROR(__xludf.DUMMYFUNCTION("""COMPUTED_VALUE"""),"ISKON REMEDIES, SIRMOR")</f>
        <v>ISKON REMEDIES, SIRMOR</v>
      </c>
    </row>
    <row r="1468">
      <c r="H1468" s="25" t="str">
        <f>IFERROR(__xludf.DUMMYFUNCTION("""COMPUTED_VALUE"""),"ITC LIMITED")</f>
        <v>ITC LIMITED</v>
      </c>
    </row>
    <row r="1469">
      <c r="H1469" s="25" t="str">
        <f>IFERROR(__xludf.DUMMYFUNCTION("""COMPUTED_VALUE"""),"IZAR HEALTHCARE")</f>
        <v>IZAR HEALTHCARE</v>
      </c>
    </row>
    <row r="1470">
      <c r="H1470" s="25" t="str">
        <f>IFERROR(__xludf.DUMMYFUNCTION("""COMPUTED_VALUE"""),"J and J Dechane Pvt Ltd")</f>
        <v>J and J Dechane Pvt Ltd</v>
      </c>
    </row>
    <row r="1471">
      <c r="H1471" s="25" t="str">
        <f>IFERROR(__xludf.DUMMYFUNCTION("""COMPUTED_VALUE"""),"J L Morison India Ltd")</f>
        <v>J L Morison India Ltd</v>
      </c>
    </row>
    <row r="1472">
      <c r="H1472" s="25" t="str">
        <f>IFERROR(__xludf.DUMMYFUNCTION("""COMPUTED_VALUE"""),"J M REMEDIES SOLAN")</f>
        <v>J M REMEDIES SOLAN</v>
      </c>
    </row>
    <row r="1473">
      <c r="H1473" s="25" t="str">
        <f>IFERROR(__xludf.DUMMYFUNCTION("""COMPUTED_VALUE"""),"J&amp;J BABY")</f>
        <v>J&amp;J BABY</v>
      </c>
    </row>
    <row r="1474">
      <c r="H1474" s="25" t="str">
        <f>IFERROR(__xludf.DUMMYFUNCTION("""COMPUTED_VALUE"""),"JABS BIOTECH")</f>
        <v>JABS BIOTECH</v>
      </c>
    </row>
    <row r="1475">
      <c r="H1475" s="25" t="str">
        <f>IFERROR(__xludf.DUMMYFUNCTION("""COMPUTED_VALUE"""),"JAGAT PHARMA")</f>
        <v>JAGAT PHARMA</v>
      </c>
    </row>
    <row r="1476">
      <c r="H1476" s="25" t="str">
        <f>IFERROR(__xludf.DUMMYFUNCTION("""COMPUTED_VALUE"""),"Jagdale Lifesciences")</f>
        <v>Jagdale Lifesciences</v>
      </c>
    </row>
    <row r="1477">
      <c r="H1477" s="25" t="str">
        <f>IFERROR(__xludf.DUMMYFUNCTION("""COMPUTED_VALUE"""),"JAGRAVE HERBAL PRODUCTS")</f>
        <v>JAGRAVE HERBAL PRODUCTS</v>
      </c>
    </row>
    <row r="1478">
      <c r="H1478" s="25" t="str">
        <f>IFERROR(__xludf.DUMMYFUNCTION("""COMPUTED_VALUE"""),"Jagsonpal Pharmaceuticals Ltd")</f>
        <v>Jagsonpal Pharmaceuticals Ltd</v>
      </c>
    </row>
    <row r="1479">
      <c r="H1479" s="25" t="str">
        <f>IFERROR(__xludf.DUMMYFUNCTION("""COMPUTED_VALUE"""),"JAIN GROUP PHARMACEUTICALS")</f>
        <v>JAIN GROUP PHARMACEUTICALS</v>
      </c>
    </row>
    <row r="1480">
      <c r="H1480" s="25" t="str">
        <f>IFERROR(__xludf.DUMMYFUNCTION("""COMPUTED_VALUE"""),"JAINSON BIOTECH")</f>
        <v>JAINSON BIOTECH</v>
      </c>
    </row>
    <row r="1481">
      <c r="H1481" s="25" t="str">
        <f>IFERROR(__xludf.DUMMYFUNCTION("""COMPUTED_VALUE"""),"JAINSON CHEMICALS")</f>
        <v>JAINSON CHEMICALS</v>
      </c>
    </row>
    <row r="1482">
      <c r="H1482" s="25" t="str">
        <f>IFERROR(__xludf.DUMMYFUNCTION("""COMPUTED_VALUE"""),"JAIWIK BIOTEK")</f>
        <v>JAIWIK BIOTEK</v>
      </c>
    </row>
    <row r="1483">
      <c r="H1483" s="25" t="str">
        <f>IFERROR(__xludf.DUMMYFUNCTION("""COMPUTED_VALUE"""),"JAMNA PHARMACEUTICALS")</f>
        <v>JAMNA PHARMACEUTICALS</v>
      </c>
    </row>
    <row r="1484">
      <c r="H1484" s="25" t="str">
        <f>IFERROR(__xludf.DUMMYFUNCTION("""COMPUTED_VALUE"""),"JAMSONS LABORTORIES")</f>
        <v>JAMSONS LABORTORIES</v>
      </c>
    </row>
    <row r="1485">
      <c r="H1485" s="25" t="str">
        <f>IFERROR(__xludf.DUMMYFUNCTION("""COMPUTED_VALUE"""),"JAMUWAY PHARMACEUTICALS")</f>
        <v>JAMUWAY PHARMACEUTICALS</v>
      </c>
    </row>
    <row r="1486">
      <c r="H1486" s="25" t="str">
        <f>IFERROR(__xludf.DUMMYFUNCTION("""COMPUTED_VALUE"""),"JANKEM LIFE SCIENCE")</f>
        <v>JANKEM LIFE SCIENCE</v>
      </c>
    </row>
    <row r="1487">
      <c r="H1487" s="25" t="str">
        <f>IFERROR(__xludf.DUMMYFUNCTION("""COMPUTED_VALUE"""),"JANMARK PHARMA LTD")</f>
        <v>JANMARK PHARMA LTD</v>
      </c>
    </row>
    <row r="1488">
      <c r="H1488" s="25" t="str">
        <f>IFERROR(__xludf.DUMMYFUNCTION("""COMPUTED_VALUE"""),"JANMERCH")</f>
        <v>JANMERCH</v>
      </c>
    </row>
    <row r="1489">
      <c r="H1489" s="25" t="str">
        <f>IFERROR(__xludf.DUMMYFUNCTION("""COMPUTED_VALUE"""),"JANTEC PHARMA")</f>
        <v>JANTEC PHARMA</v>
      </c>
    </row>
    <row r="1490">
      <c r="H1490" s="25" t="str">
        <f>IFERROR(__xludf.DUMMYFUNCTION("""COMPUTED_VALUE"""),"JANUS BIOTECH P LTD")</f>
        <v>JANUS BIOTECH P LTD</v>
      </c>
    </row>
    <row r="1491">
      <c r="H1491" s="25" t="str">
        <f>IFERROR(__xludf.DUMMYFUNCTION("""COMPUTED_VALUE"""),"JARUN PHARMACEUTICALS")</f>
        <v>JARUN PHARMACEUTICALS</v>
      </c>
    </row>
    <row r="1492">
      <c r="H1492" s="25" t="str">
        <f>IFERROR(__xludf.DUMMYFUNCTION("""COMPUTED_VALUE"""),"JASCO NUTRI FOODS")</f>
        <v>JASCO NUTRI FOODS</v>
      </c>
    </row>
    <row r="1493">
      <c r="H1493" s="25" t="str">
        <f>IFERROR(__xludf.DUMMYFUNCTION("""COMPUTED_VALUE"""),"JASVIC LABORATORIES ROORKE")</f>
        <v>JASVIC LABORATORIES ROORKE</v>
      </c>
    </row>
    <row r="1494">
      <c r="H1494" s="25" t="str">
        <f>IFERROR(__xludf.DUMMYFUNCTION("""COMPUTED_VALUE"""),"Jawa Pharmaceuticals (I) Pvt. Ltd")</f>
        <v>Jawa Pharmaceuticals (I) Pvt. Ltd</v>
      </c>
    </row>
    <row r="1495">
      <c r="H1495" s="25" t="str">
        <f>IFERROR(__xludf.DUMMYFUNCTION("""COMPUTED_VALUE"""),"JAY ELL HEALTHCARE P LTD")</f>
        <v>JAY ELL HEALTHCARE P LTD</v>
      </c>
    </row>
    <row r="1496">
      <c r="H1496" s="25" t="str">
        <f>IFERROR(__xludf.DUMMYFUNCTION("""COMPUTED_VALUE"""),"JAY HEALTHCARE")</f>
        <v>JAY HEALTHCARE</v>
      </c>
    </row>
    <row r="1497">
      <c r="H1497" s="25" t="str">
        <f>IFERROR(__xludf.DUMMYFUNCTION("""COMPUTED_VALUE"""),"JAY LIFECARE")</f>
        <v>JAY LIFECARE</v>
      </c>
    </row>
    <row r="1498">
      <c r="H1498" s="25" t="str">
        <f>IFERROR(__xludf.DUMMYFUNCTION("""COMPUTED_VALUE"""),"JAY SHREE PHARMACEUTICALS")</f>
        <v>JAY SHREE PHARMACEUTICALS</v>
      </c>
    </row>
    <row r="1499">
      <c r="H1499" s="25" t="str">
        <f>IFERROR(__xludf.DUMMYFUNCTION("""COMPUTED_VALUE"""),"JAYSHREE PHARMACEUTICALS")</f>
        <v>JAYSHREE PHARMACEUTICALS</v>
      </c>
    </row>
    <row r="1500">
      <c r="H1500" s="25" t="str">
        <f>IFERROR(__xludf.DUMMYFUNCTION("""COMPUTED_VALUE"""),"JB Chemicals (DENTA)")</f>
        <v>JB Chemicals (DENTA)</v>
      </c>
    </row>
    <row r="1501">
      <c r="H1501" s="25" t="str">
        <f>IFERROR(__xludf.DUMMYFUNCTION("""COMPUTED_VALUE"""),"JB CHEMICALS (NEPHRO-URO)")</f>
        <v>JB CHEMICALS (NEPHRO-URO)</v>
      </c>
    </row>
    <row r="1502">
      <c r="H1502" s="25" t="str">
        <f>IFERROR(__xludf.DUMMYFUNCTION("""COMPUTED_VALUE"""),"JB Chemicals &amp; Pharmaceuticals Ltd")</f>
        <v>JB Chemicals &amp; Pharmaceuticals Ltd</v>
      </c>
    </row>
    <row r="1503">
      <c r="H1503" s="25" t="str">
        <f>IFERROR(__xludf.DUMMYFUNCTION("""COMPUTED_VALUE"""),"JB REMEDIES P LTD")</f>
        <v>JB REMEDIES P LTD</v>
      </c>
    </row>
    <row r="1504">
      <c r="H1504" s="25" t="str">
        <f>IFERROR(__xludf.DUMMYFUNCTION("""COMPUTED_VALUE"""),"JEEVAN JYOTI")</f>
        <v>JEEVAN JYOTI</v>
      </c>
    </row>
    <row r="1505">
      <c r="H1505" s="25" t="str">
        <f>IFERROR(__xludf.DUMMYFUNCTION("""COMPUTED_VALUE"""),"Jenburkt Pharmaceuticals Ltd")</f>
        <v>Jenburkt Pharmaceuticals Ltd</v>
      </c>
    </row>
    <row r="1506">
      <c r="H1506" s="25" t="str">
        <f>IFERROR(__xludf.DUMMYFUNCTION("""COMPUTED_VALUE"""),"JENOME BIOPHAR")</f>
        <v>JENOME BIOPHAR</v>
      </c>
    </row>
    <row r="1507">
      <c r="H1507" s="25" t="str">
        <f>IFERROR(__xludf.DUMMYFUNCTION("""COMPUTED_VALUE"""),"JHAWAR PHARMACY")</f>
        <v>JHAWAR PHARMACY</v>
      </c>
    </row>
    <row r="1508">
      <c r="H1508" s="25" t="str">
        <f>IFERROR(__xludf.DUMMYFUNCTION("""COMPUTED_VALUE"""),"JINESH PHARMA (OSP)")</f>
        <v>JINESH PHARMA (OSP)</v>
      </c>
    </row>
    <row r="1509">
      <c r="H1509" s="25" t="str">
        <f>IFERROR(__xludf.DUMMYFUNCTION("""COMPUTED_VALUE"""),"JIVYANA HEALTH CARE P LTD")</f>
        <v>JIVYANA HEALTH CARE P LTD</v>
      </c>
    </row>
    <row r="1510">
      <c r="H1510" s="25" t="str">
        <f>IFERROR(__xludf.DUMMYFUNCTION("""COMPUTED_VALUE"""),"JIWADAYA NETRAPRA")</f>
        <v>JIWADAYA NETRAPRA</v>
      </c>
    </row>
    <row r="1511">
      <c r="H1511" s="25" t="str">
        <f>IFERROR(__xludf.DUMMYFUNCTION("""COMPUTED_VALUE"""),"JK ANSELL P LTD")</f>
        <v>JK ANSELL P LTD</v>
      </c>
    </row>
    <row r="1512">
      <c r="H1512" s="25" t="str">
        <f>IFERROR(__xludf.DUMMYFUNCTION("""COMPUTED_VALUE"""),"JNSON")</f>
        <v>JNSON</v>
      </c>
    </row>
    <row r="1513">
      <c r="H1513" s="25" t="str">
        <f>IFERROR(__xludf.DUMMYFUNCTION("""COMPUTED_VALUE"""),"John Biotech Pvt Ltd")</f>
        <v>John Biotech Pvt Ltd</v>
      </c>
    </row>
    <row r="1514">
      <c r="H1514" s="25" t="str">
        <f>IFERROR(__xludf.DUMMYFUNCTION("""COMPUTED_VALUE"""),"JOHNLEE PHARMACEUTICALS PVT LTD")</f>
        <v>JOHNLEE PHARMACEUTICALS PVT LTD</v>
      </c>
    </row>
    <row r="1515">
      <c r="H1515" s="25" t="str">
        <f>IFERROR(__xludf.DUMMYFUNCTION("""COMPUTED_VALUE"""),"Johnson &amp; Johnson")</f>
        <v>Johnson &amp; Johnson</v>
      </c>
    </row>
    <row r="1516">
      <c r="H1516" s="25" t="str">
        <f>IFERROR(__xludf.DUMMYFUNCTION("""COMPUTED_VALUE"""),"JOHNSON &amp; JOHNSON (CONSUMER)")</f>
        <v>JOHNSON &amp; JOHNSON (CONSUMER)</v>
      </c>
    </row>
    <row r="1517">
      <c r="H1517" s="25" t="str">
        <f>IFERROR(__xludf.DUMMYFUNCTION("""COMPUTED_VALUE"""),"JOHNSON &amp; JOHNSON (DERMA)")</f>
        <v>JOHNSON &amp; JOHNSON (DERMA)</v>
      </c>
    </row>
    <row r="1518">
      <c r="H1518" s="25" t="str">
        <f>IFERROR(__xludf.DUMMYFUNCTION("""COMPUTED_VALUE"""),"JOHNSON &amp; JOHNSON (ETHNOR)")</f>
        <v>JOHNSON &amp; JOHNSON (ETHNOR)</v>
      </c>
    </row>
    <row r="1519">
      <c r="H1519" s="25" t="str">
        <f>IFERROR(__xludf.DUMMYFUNCTION("""COMPUTED_VALUE"""),"JOHNSON &amp; JOHNSON (HOSPITAL)")</f>
        <v>JOHNSON &amp; JOHNSON (HOSPITAL)</v>
      </c>
    </row>
    <row r="1520">
      <c r="H1520" s="25" t="str">
        <f>IFERROR(__xludf.DUMMYFUNCTION("""COMPUTED_VALUE"""),"JOHNSON &amp; JOHNSON (MASS MARKET)")</f>
        <v>JOHNSON &amp; JOHNSON (MASS MARKET)</v>
      </c>
    </row>
    <row r="1521">
      <c r="H1521" s="25" t="str">
        <f>IFERROR(__xludf.DUMMYFUNCTION("""COMPUTED_VALUE"""),"JOHNSON &amp; JOHNSON (METABOLIX)")</f>
        <v>JOHNSON &amp; JOHNSON (METABOLIX)</v>
      </c>
    </row>
    <row r="1522">
      <c r="H1522" s="25" t="str">
        <f>IFERROR(__xludf.DUMMYFUNCTION("""COMPUTED_VALUE"""),"JOLLY HEALTH CARE")</f>
        <v>JOLLY HEALTH CARE</v>
      </c>
    </row>
    <row r="1523">
      <c r="H1523" s="25" t="str">
        <f>IFERROR(__xludf.DUMMYFUNCTION("""COMPUTED_VALUE"""),"JOYCARE LIFE SCIENCES")</f>
        <v>JOYCARE LIFE SCIENCES</v>
      </c>
    </row>
    <row r="1524">
      <c r="H1524" s="25" t="str">
        <f>IFERROR(__xludf.DUMMYFUNCTION("""COMPUTED_VALUE"""),"JOYEAPCE HEALTHCARE")</f>
        <v>JOYEAPCE HEALTHCARE</v>
      </c>
    </row>
    <row r="1525">
      <c r="H1525" s="25" t="str">
        <f>IFERROR(__xludf.DUMMYFUNCTION("""COMPUTED_VALUE"""),"Jubilant Life Sciences")</f>
        <v>Jubilant Life Sciences</v>
      </c>
    </row>
    <row r="1526">
      <c r="H1526" s="25" t="str">
        <f>IFERROR(__xludf.DUMMYFUNCTION("""COMPUTED_VALUE"""),"Juggat Pharma")</f>
        <v>Juggat Pharma</v>
      </c>
    </row>
    <row r="1527">
      <c r="H1527" s="25" t="str">
        <f>IFERROR(__xludf.DUMMYFUNCTION("""COMPUTED_VALUE"""),"Jupiter Pharmaceutical Ltd")</f>
        <v>Jupiter Pharmaceutical Ltd</v>
      </c>
    </row>
    <row r="1528">
      <c r="H1528" s="25" t="str">
        <f>IFERROR(__xludf.DUMMYFUNCTION("""COMPUTED_VALUE"""),"JUPITER PHARMACEUTICALS (Ayurvedic)")</f>
        <v>JUPITER PHARMACEUTICALS (Ayurvedic)</v>
      </c>
    </row>
    <row r="1529">
      <c r="H1529" s="25" t="str">
        <f>IFERROR(__xludf.DUMMYFUNCTION("""COMPUTED_VALUE"""),"JUPIVEN PHARMA PVT LTD")</f>
        <v>JUPIVEN PHARMA PVT LTD</v>
      </c>
    </row>
    <row r="1530">
      <c r="H1530" s="25" t="str">
        <f>IFERROR(__xludf.DUMMYFUNCTION("""COMPUTED_VALUE"""),"JUVENOR PHARMACEUTICALS INC")</f>
        <v>JUVENOR PHARMACEUTICALS INC</v>
      </c>
    </row>
    <row r="1531">
      <c r="H1531" s="25" t="str">
        <f>IFERROR(__xludf.DUMMYFUNCTION("""COMPUTED_VALUE"""),"JVJ PHARMACEUTICALS P LTD")</f>
        <v>JVJ PHARMACEUTICALS P LTD</v>
      </c>
    </row>
    <row r="1532">
      <c r="H1532" s="25" t="str">
        <f>IFERROR(__xludf.DUMMYFUNCTION("""COMPUTED_VALUE"""),"JVS")</f>
        <v>JVS</v>
      </c>
    </row>
    <row r="1533">
      <c r="H1533" s="25" t="str">
        <f>IFERROR(__xludf.DUMMYFUNCTION("""COMPUTED_VALUE"""),"JYOTHI")</f>
        <v>JYOTHI</v>
      </c>
    </row>
    <row r="1534">
      <c r="H1534" s="25" t="str">
        <f>IFERROR(__xludf.DUMMYFUNCTION("""COMPUTED_VALUE"""),"JYOTI HERBS (INDIA) P LTD")</f>
        <v>JYOTI HERBS (INDIA) P LTD</v>
      </c>
    </row>
    <row r="1535">
      <c r="H1535" s="25" t="str">
        <f>IFERROR(__xludf.DUMMYFUNCTION("""COMPUTED_VALUE"""),"K BIO HEARBS")</f>
        <v>K BIO HEARBS</v>
      </c>
    </row>
    <row r="1536">
      <c r="H1536" s="25" t="str">
        <f>IFERROR(__xludf.DUMMYFUNCTION("""COMPUTED_VALUE"""),"KABRA DRUGS LTD")</f>
        <v>KABRA DRUGS LTD</v>
      </c>
    </row>
    <row r="1537">
      <c r="H1537" s="25" t="str">
        <f>IFERROR(__xludf.DUMMYFUNCTION("""COMPUTED_VALUE"""),"KAIYNAAT &amp; SABROZ")</f>
        <v>KAIYNAAT &amp; SABROZ</v>
      </c>
    </row>
    <row r="1538">
      <c r="H1538" s="25" t="str">
        <f>IFERROR(__xludf.DUMMYFUNCTION("""COMPUTED_VALUE"""),"KAMAL &amp; SONS")</f>
        <v>KAMAL &amp; SONS</v>
      </c>
    </row>
    <row r="1539">
      <c r="H1539" s="25" t="str">
        <f>IFERROR(__xludf.DUMMYFUNCTION("""COMPUTED_VALUE"""),"KANAM LATEX PVT LTD")</f>
        <v>KANAM LATEX PVT LTD</v>
      </c>
    </row>
    <row r="1540">
      <c r="H1540" s="25" t="str">
        <f>IFERROR(__xludf.DUMMYFUNCTION("""COMPUTED_VALUE"""),"KAPIRET LIFESCIENCES")</f>
        <v>KAPIRET LIFESCIENCES</v>
      </c>
    </row>
    <row r="1541">
      <c r="H1541" s="25" t="str">
        <f>IFERROR(__xludf.DUMMYFUNCTION("""COMPUTED_VALUE"""),"KARAM INDUSTRIES")</f>
        <v>KARAM INDUSTRIES</v>
      </c>
    </row>
    <row r="1542">
      <c r="H1542" s="25" t="str">
        <f>IFERROR(__xludf.DUMMYFUNCTION("""COMPUTED_VALUE"""),"KARNANI PHARMA")</f>
        <v>KARNANI PHARMA</v>
      </c>
    </row>
    <row r="1543">
      <c r="H1543" s="25" t="str">
        <f>IFERROR(__xludf.DUMMYFUNCTION("""COMPUTED_VALUE"""),"Karnataka Antibiotics &amp; Pharmaceuticals Ltd")</f>
        <v>Karnataka Antibiotics &amp; Pharmaceuticals Ltd</v>
      </c>
    </row>
    <row r="1544">
      <c r="H1544" s="25" t="str">
        <f>IFERROR(__xludf.DUMMYFUNCTION("""COMPUTED_VALUE"""),"KAVYA HEALTHCARE")</f>
        <v>KAVYA HEALTHCARE</v>
      </c>
    </row>
    <row r="1545">
      <c r="H1545" s="25" t="str">
        <f>IFERROR(__xludf.DUMMYFUNCTION("""COMPUTED_VALUE"""),"KAYTEE")</f>
        <v>KAYTEE</v>
      </c>
    </row>
    <row r="1546">
      <c r="H1546" s="25" t="str">
        <f>IFERROR(__xludf.DUMMYFUNCTION("""COMPUTED_VALUE"""),"KD CHEM-PHARMA")</f>
        <v>KD CHEM-PHARMA</v>
      </c>
    </row>
    <row r="1547">
      <c r="H1547" s="25" t="str">
        <f>IFERROR(__xludf.DUMMYFUNCTION("""COMPUTED_VALUE"""),"KEDRION BIOPHARMA")</f>
        <v>KEDRION BIOPHARMA</v>
      </c>
    </row>
    <row r="1548">
      <c r="H1548" s="25" t="str">
        <f>IFERROR(__xludf.DUMMYFUNCTION("""COMPUTED_VALUE"""),"Kee Pharma")</f>
        <v>Kee Pharma</v>
      </c>
    </row>
    <row r="1549">
      <c r="H1549" s="25" t="str">
        <f>IFERROR(__xludf.DUMMYFUNCTION("""COMPUTED_VALUE"""),"KENN PHARMACEUTICALS PVT LTD
")</f>
        <v>KENN PHARMACEUTICALS PVT LTD
</v>
      </c>
    </row>
    <row r="1550">
      <c r="H1550" s="25" t="str">
        <f>IFERROR(__xludf.DUMMYFUNCTION("""COMPUTED_VALUE"""),"KENT PHARMACEUTICALS")</f>
        <v>KENT PHARMACEUTICALS</v>
      </c>
    </row>
    <row r="1551">
      <c r="H1551" s="25" t="str">
        <f>IFERROR(__xludf.DUMMYFUNCTION("""COMPUTED_VALUE"""),"KENTOSSA PHARMACEUTICAL")</f>
        <v>KENTOSSA PHARMACEUTICAL</v>
      </c>
    </row>
    <row r="1552">
      <c r="H1552" s="25" t="str">
        <f>IFERROR(__xludf.DUMMYFUNCTION("""COMPUTED_VALUE"""),"KENTRECK LABORATORIES")</f>
        <v>KENTRECK LABORATORIES</v>
      </c>
    </row>
    <row r="1553">
      <c r="H1553" s="25" t="str">
        <f>IFERROR(__xludf.DUMMYFUNCTION("""COMPUTED_VALUE"""),"KEPLER (DERMA)")</f>
        <v>KEPLER (DERMA)</v>
      </c>
    </row>
    <row r="1554">
      <c r="H1554" s="25" t="str">
        <f>IFERROR(__xludf.DUMMYFUNCTION("""COMPUTED_VALUE"""),"KEPLER (SKIN INFINITY)")</f>
        <v>KEPLER (SKIN INFINITY)</v>
      </c>
    </row>
    <row r="1555">
      <c r="H1555" s="25" t="str">
        <f>IFERROR(__xludf.DUMMYFUNCTION("""COMPUTED_VALUE"""),"KEPLER HEALTHCARE")</f>
        <v>KEPLER HEALTHCARE</v>
      </c>
    </row>
    <row r="1556">
      <c r="H1556" s="25" t="str">
        <f>IFERROR(__xludf.DUMMYFUNCTION("""COMPUTED_VALUE"""),"KERMOUNT")</f>
        <v>KERMOUNT</v>
      </c>
    </row>
    <row r="1557">
      <c r="H1557" s="25" t="str">
        <f>IFERROR(__xludf.DUMMYFUNCTION("""COMPUTED_VALUE"""),"KEVENTIS HEALTHCARE (KEVENTIS)")</f>
        <v>KEVENTIS HEALTHCARE (KEVENTIS)</v>
      </c>
    </row>
    <row r="1558">
      <c r="H1558" s="25" t="str">
        <f>IFERROR(__xludf.DUMMYFUNCTION("""COMPUTED_VALUE"""),"KEYA CORPORATION")</f>
        <v>KEYA CORPORATION</v>
      </c>
    </row>
    <row r="1559">
      <c r="H1559" s="25" t="str">
        <f>IFERROR(__xludf.DUMMYFUNCTION("""COMPUTED_VALUE"""),"KEYA PHARMAWIN")</f>
        <v>KEYA PHARMAWIN</v>
      </c>
    </row>
    <row r="1560">
      <c r="H1560" s="25" t="str">
        <f>IFERROR(__xludf.DUMMYFUNCTION("""COMPUTED_VALUE"""),"KG PHARMA")</f>
        <v>KG PHARMA</v>
      </c>
    </row>
    <row r="1561">
      <c r="H1561" s="25" t="str">
        <f>IFERROR(__xludf.DUMMYFUNCTION("""COMPUTED_VALUE"""),"KHANDELWAL LABORATORIES (GENERIC)")</f>
        <v>KHANDELWAL LABORATORIES (GENERIC)</v>
      </c>
    </row>
    <row r="1562">
      <c r="H1562" s="25" t="str">
        <f>IFERROR(__xludf.DUMMYFUNCTION("""COMPUTED_VALUE"""),"Khandelwal Laboratories Pvt Ltd")</f>
        <v>Khandelwal Laboratories Pvt Ltd</v>
      </c>
    </row>
    <row r="1563">
      <c r="H1563" s="25" t="str">
        <f>IFERROR(__xludf.DUMMYFUNCTION("""COMPUTED_VALUE"""),"KHONA CHEMICAL WORKS")</f>
        <v>KHONA CHEMICAL WORKS</v>
      </c>
    </row>
    <row r="1564">
      <c r="H1564" s="25" t="str">
        <f>IFERROR(__xludf.DUMMYFUNCTION("""COMPUTED_VALUE"""),"Kinedex Healthcare Pvt Ltd")</f>
        <v>Kinedex Healthcare Pvt Ltd</v>
      </c>
    </row>
    <row r="1565">
      <c r="H1565" s="25" t="str">
        <f>IFERROR(__xludf.DUMMYFUNCTION("""COMPUTED_VALUE"""),"KINESIS BIOCARE")</f>
        <v>KINESIS BIOCARE</v>
      </c>
    </row>
    <row r="1566">
      <c r="H1566" s="25" t="str">
        <f>IFERROR(__xludf.DUMMYFUNCTION("""COMPUTED_VALUE"""),"KINJAL BIOTECH PVT LTD")</f>
        <v>KINJAL BIOTECH PVT LTD</v>
      </c>
    </row>
    <row r="1567">
      <c r="H1567" s="25" t="str">
        <f>IFERROR(__xludf.DUMMYFUNCTION("""COMPUTED_VALUE"""),"KIRI LABORATORIES")</f>
        <v>KIRI LABORATORIES</v>
      </c>
    </row>
    <row r="1568">
      <c r="H1568" s="25" t="str">
        <f>IFERROR(__xludf.DUMMYFUNCTION("""COMPUTED_VALUE"""),"Kivi Labs (DERMA)")</f>
        <v>Kivi Labs (DERMA)</v>
      </c>
    </row>
    <row r="1569">
      <c r="H1569" s="25" t="str">
        <f>IFERROR(__xludf.DUMMYFUNCTION("""COMPUTED_VALUE"""),"Kivi Labs (ENDURA)")</f>
        <v>Kivi Labs (ENDURA)</v>
      </c>
    </row>
    <row r="1570">
      <c r="H1570" s="25" t="str">
        <f>IFERROR(__xludf.DUMMYFUNCTION("""COMPUTED_VALUE"""),"Kivi Labs (MAIN)")</f>
        <v>Kivi Labs (MAIN)</v>
      </c>
    </row>
    <row r="1571">
      <c r="H1571" s="25" t="str">
        <f>IFERROR(__xludf.DUMMYFUNCTION("""COMPUTED_VALUE"""),"Kivi Labs Ltd")</f>
        <v>Kivi Labs Ltd</v>
      </c>
    </row>
    <row r="1572">
      <c r="H1572" s="25" t="str">
        <f>IFERROR(__xludf.DUMMYFUNCTION("""COMPUTED_VALUE"""),"KIVILIFE HEALTHCARE (CNS)")</f>
        <v>KIVILIFE HEALTHCARE (CNS)</v>
      </c>
    </row>
    <row r="1573">
      <c r="H1573" s="25" t="str">
        <f>IFERROR(__xludf.DUMMYFUNCTION("""COMPUTED_VALUE"""),"KLAR SEHEN")</f>
        <v>KLAR SEHEN</v>
      </c>
    </row>
    <row r="1574">
      <c r="H1574" s="25" t="str">
        <f>IFERROR(__xludf.DUMMYFUNCTION("""COMPUTED_VALUE"""),"KLM (PEDI)")</f>
        <v>KLM (PEDI)</v>
      </c>
    </row>
    <row r="1575">
      <c r="H1575" s="25" t="str">
        <f>IFERROR(__xludf.DUMMYFUNCTION("""COMPUTED_VALUE"""),"KLM Laboratories (COSMO)")</f>
        <v>KLM Laboratories (COSMO)</v>
      </c>
    </row>
    <row r="1576">
      <c r="H1576" s="25" t="str">
        <f>IFERROR(__xludf.DUMMYFUNCTION("""COMPUTED_VALUE"""),"KLM Laboratories (DERMA)")</f>
        <v>KLM Laboratories (DERMA)</v>
      </c>
    </row>
    <row r="1577">
      <c r="H1577" s="25" t="str">
        <f>IFERROR(__xludf.DUMMYFUNCTION("""COMPUTED_VALUE"""),"KLM LABORATORIES (EYE CARE)")</f>
        <v>KLM LABORATORIES (EYE CARE)</v>
      </c>
    </row>
    <row r="1578">
      <c r="H1578" s="25" t="str">
        <f>IFERROR(__xludf.DUMMYFUNCTION("""COMPUTED_VALUE"""),"KLM LABORATORIES (ORTHO)")</f>
        <v>KLM LABORATORIES (ORTHO)</v>
      </c>
    </row>
    <row r="1579">
      <c r="H1579" s="25" t="str">
        <f>IFERROR(__xludf.DUMMYFUNCTION("""COMPUTED_VALUE"""),"KLM Laboratories Pvt Ltd")</f>
        <v>KLM Laboratories Pvt Ltd</v>
      </c>
    </row>
    <row r="1580">
      <c r="H1580" s="25" t="str">
        <f>IFERROR(__xludf.DUMMYFUNCTION("""COMPUTED_VALUE"""),"KMS Health Center Pvt Ltd")</f>
        <v>KMS Health Center Pvt Ltd</v>
      </c>
    </row>
    <row r="1581">
      <c r="H1581" s="25" t="str">
        <f>IFERROR(__xludf.DUMMYFUNCTION("""COMPUTED_VALUE"""),"KN BIOTECH")</f>
        <v>KN BIOTECH</v>
      </c>
    </row>
    <row r="1582">
      <c r="H1582" s="25" t="str">
        <f>IFERROR(__xludf.DUMMYFUNCTION("""COMPUTED_VALUE"""),"Knoll Pharmaceuticals Ltd")</f>
        <v>Knoll Pharmaceuticals Ltd</v>
      </c>
    </row>
    <row r="1583">
      <c r="H1583" s="25" t="str">
        <f>IFERROR(__xludf.DUMMYFUNCTION("""COMPUTED_VALUE"""),"Knoll Pharmaceuticals Ltd (GENERIC)")</f>
        <v>Knoll Pharmaceuticals Ltd (GENERIC)</v>
      </c>
    </row>
    <row r="1584">
      <c r="H1584" s="25" t="str">
        <f>IFERROR(__xludf.DUMMYFUNCTION("""COMPUTED_VALUE"""),"KNOVIQ LIFESCIENCES")</f>
        <v>KNOVIQ LIFESCIENCES</v>
      </c>
    </row>
    <row r="1585">
      <c r="H1585" s="25" t="str">
        <f>IFERROR(__xludf.DUMMYFUNCTION("""COMPUTED_VALUE"""),"KONTEST CHEMICALS")</f>
        <v>KONTEST CHEMICALS</v>
      </c>
    </row>
    <row r="1586">
      <c r="H1586" s="25" t="str">
        <f>IFERROR(__xludf.DUMMYFUNCTION("""COMPUTED_VALUE"""),"KONVERGE HEALTHCARE")</f>
        <v>KONVERGE HEALTHCARE</v>
      </c>
    </row>
    <row r="1587">
      <c r="H1587" s="25" t="str">
        <f>IFERROR(__xludf.DUMMYFUNCTION("""COMPUTED_VALUE"""),"KOPRAN")</f>
        <v>KOPRAN</v>
      </c>
    </row>
    <row r="1588">
      <c r="H1588" s="25" t="str">
        <f>IFERROR(__xludf.DUMMYFUNCTION("""COMPUTED_VALUE"""),"Koye Pharmaceuticals (CAIR)")</f>
        <v>Koye Pharmaceuticals (CAIR)</v>
      </c>
    </row>
    <row r="1589">
      <c r="H1589" s="25" t="str">
        <f>IFERROR(__xludf.DUMMYFUNCTION("""COMPUTED_VALUE"""),"Koye Pharmaceuticals (CARDIO)")</f>
        <v>Koye Pharmaceuticals (CARDIO)</v>
      </c>
    </row>
    <row r="1590">
      <c r="H1590" s="25" t="str">
        <f>IFERROR(__xludf.DUMMYFUNCTION("""COMPUTED_VALUE"""),"Koye Pharmaceuticals (GYNO)")</f>
        <v>Koye Pharmaceuticals (GYNO)</v>
      </c>
    </row>
    <row r="1591">
      <c r="H1591" s="25" t="str">
        <f>IFERROR(__xludf.DUMMYFUNCTION("""COMPUTED_VALUE"""),"Koye Pharmaceuticals (MAIN)")</f>
        <v>Koye Pharmaceuticals (MAIN)</v>
      </c>
    </row>
    <row r="1592">
      <c r="H1592" s="25" t="str">
        <f>IFERROR(__xludf.DUMMYFUNCTION("""COMPUTED_VALUE"""),"Koye Pharmaceuticals (ORIGYN)")</f>
        <v>Koye Pharmaceuticals (ORIGYN)</v>
      </c>
    </row>
    <row r="1593">
      <c r="H1593" s="25" t="str">
        <f>IFERROR(__xludf.DUMMYFUNCTION("""COMPUTED_VALUE"""),"koye Pharmaceuticals (OTC)")</f>
        <v>koye Pharmaceuticals (OTC)</v>
      </c>
    </row>
    <row r="1594">
      <c r="H1594" s="25" t="str">
        <f>IFERROR(__xludf.DUMMYFUNCTION("""COMPUTED_VALUE"""),"Koye Pharmaceuticals Pvt ltd")</f>
        <v>Koye Pharmaceuticals Pvt ltd</v>
      </c>
    </row>
    <row r="1595">
      <c r="H1595" s="25" t="str">
        <f>IFERROR(__xludf.DUMMYFUNCTION("""COMPUTED_VALUE"""),"KR ENTERPRISES")</f>
        <v>KR ENTERPRISES</v>
      </c>
    </row>
    <row r="1596">
      <c r="H1596" s="25" t="str">
        <f>IFERROR(__xludf.DUMMYFUNCTION("""COMPUTED_VALUE"""),"KR INDO GERMAN")</f>
        <v>KR INDO GERMAN</v>
      </c>
    </row>
    <row r="1597">
      <c r="H1597" s="25" t="str">
        <f>IFERROR(__xludf.DUMMYFUNCTION("""COMPUTED_VALUE"""),"KRAFT INDIA FOOD LTD")</f>
        <v>KRAFT INDIA FOOD LTD</v>
      </c>
    </row>
    <row r="1598">
      <c r="H1598" s="25" t="str">
        <f>IFERROR(__xludf.DUMMYFUNCTION("""COMPUTED_VALUE"""),"KREIOS PHARMA")</f>
        <v>KREIOS PHARMA</v>
      </c>
    </row>
    <row r="1599">
      <c r="H1599" s="25" t="str">
        <f>IFERROR(__xludf.DUMMYFUNCTION("""COMPUTED_VALUE"""),"KRISHLAR PHARMACEUTICALS")</f>
        <v>KRISHLAR PHARMACEUTICALS</v>
      </c>
    </row>
    <row r="1600">
      <c r="H1600" s="25" t="str">
        <f>IFERROR(__xludf.DUMMYFUNCTION("""COMPUTED_VALUE"""),"KRISHNA MANFACTURING COMPANY")</f>
        <v>KRISHNA MANFACTURING COMPANY</v>
      </c>
    </row>
    <row r="1601">
      <c r="H1601" s="25" t="str">
        <f>IFERROR(__xludf.DUMMYFUNCTION("""COMPUTED_VALUE"""),"KSHIPRA HEALTH SOLUTIONS")</f>
        <v>KSHIPRA HEALTH SOLUTIONS</v>
      </c>
    </row>
    <row r="1602">
      <c r="H1602" s="25" t="str">
        <f>IFERROR(__xludf.DUMMYFUNCTION("""COMPUTED_VALUE"""),"KUDOS")</f>
        <v>KUDOS</v>
      </c>
    </row>
    <row r="1603">
      <c r="H1603" s="25" t="str">
        <f>IFERROR(__xludf.DUMMYFUNCTION("""COMPUTED_VALUE"""),"KUNNATH PHARMACEUTICALS")</f>
        <v>KUNNATH PHARMACEUTICALS</v>
      </c>
    </row>
    <row r="1604">
      <c r="H1604" s="25" t="str">
        <f>IFERROR(__xludf.DUMMYFUNCTION("""COMPUTED_VALUE"""),"KUSUM HEALTHCARE PVT LTD")</f>
        <v>KUSUM HEALTHCARE PVT LTD</v>
      </c>
    </row>
    <row r="1605">
      <c r="H1605" s="25" t="str">
        <f>IFERROR(__xludf.DUMMYFUNCTION("""COMPUTED_VALUE"""),"KWALITY PHARMACEUTICALS LTD")</f>
        <v>KWALITY PHARMACEUTICALS LTD</v>
      </c>
    </row>
    <row r="1606">
      <c r="H1606" s="25" t="str">
        <f>IFERROR(__xludf.DUMMYFUNCTION("""COMPUTED_VALUE"""),"KWIK HEALTHCARE")</f>
        <v>KWIK HEALTHCARE</v>
      </c>
    </row>
    <row r="1607">
      <c r="H1607" s="25" t="str">
        <f>IFERROR(__xludf.DUMMYFUNCTION("""COMPUTED_VALUE"""),"L AND V PHARMA")</f>
        <v>L AND V PHARMA</v>
      </c>
    </row>
    <row r="1608">
      <c r="H1608" s="25" t="str">
        <f>IFERROR(__xludf.DUMMYFUNCTION("""COMPUTED_VALUE"""),"L V LIFE SCIENCE SOLAN")</f>
        <v>L V LIFE SCIENCE SOLAN</v>
      </c>
    </row>
    <row r="1609">
      <c r="H1609" s="25" t="str">
        <f>IFERROR(__xludf.DUMMYFUNCTION("""COMPUTED_VALUE"""),"L'AMAR HEALTHCARE")</f>
        <v>L'AMAR HEALTHCARE</v>
      </c>
    </row>
    <row r="1610">
      <c r="H1610" s="25" t="str">
        <f>IFERROR(__xludf.DUMMYFUNCTION("""COMPUTED_VALUE"""),"L&amp;T PHARMA")</f>
        <v>L&amp;T PHARMA</v>
      </c>
    </row>
    <row r="1611">
      <c r="H1611" s="25" t="str">
        <f>IFERROR(__xludf.DUMMYFUNCTION("""COMPUTED_VALUE"""),"LA MED INDIA")</f>
        <v>LA MED INDIA</v>
      </c>
    </row>
    <row r="1612">
      <c r="H1612" s="25" t="str">
        <f>IFERROR(__xludf.DUMMYFUNCTION("""COMPUTED_VALUE"""),"LA PENSER LIFE SCIENCES")</f>
        <v>LA PENSER LIFE SCIENCES</v>
      </c>
    </row>
    <row r="1613">
      <c r="H1613" s="25" t="str">
        <f>IFERROR(__xludf.DUMMYFUNCTION("""COMPUTED_VALUE"""),"LA PIEL BIOTECH P LTD")</f>
        <v>LA PIEL BIOTECH P LTD</v>
      </c>
    </row>
    <row r="1614">
      <c r="H1614" s="25" t="str">
        <f>IFERROR(__xludf.DUMMYFUNCTION("""COMPUTED_VALUE"""),"LA PRISTINE BIOCEUTICALS P LTD")</f>
        <v>LA PRISTINE BIOCEUTICALS P LTD</v>
      </c>
    </row>
    <row r="1615">
      <c r="H1615" s="25" t="str">
        <f>IFERROR(__xludf.DUMMYFUNCTION("""COMPUTED_VALUE"""),"LA RENON (CARDIO METABOLIC)")</f>
        <v>LA RENON (CARDIO METABOLIC)</v>
      </c>
    </row>
    <row r="1616">
      <c r="H1616" s="25" t="str">
        <f>IFERROR(__xludf.DUMMYFUNCTION("""COMPUTED_VALUE"""),"LA RENON (CNS-1)")</f>
        <v>LA RENON (CNS-1)</v>
      </c>
    </row>
    <row r="1617">
      <c r="H1617" s="25" t="str">
        <f>IFERROR(__xludf.DUMMYFUNCTION("""COMPUTED_VALUE"""),"LA RENON (CNS-2)")</f>
        <v>LA RENON (CNS-2)</v>
      </c>
    </row>
    <row r="1618">
      <c r="H1618" s="25" t="str">
        <f>IFERROR(__xludf.DUMMYFUNCTION("""COMPUTED_VALUE"""),"LA RENON (CRITICAL CARE)")</f>
        <v>LA RENON (CRITICAL CARE)</v>
      </c>
    </row>
    <row r="1619">
      <c r="H1619" s="25" t="str">
        <f>IFERROR(__xludf.DUMMYFUNCTION("""COMPUTED_VALUE"""),"LA RENON (GYNAECOLOGY)")</f>
        <v>LA RENON (GYNAECOLOGY)</v>
      </c>
    </row>
    <row r="1620">
      <c r="H1620" s="25" t="str">
        <f>IFERROR(__xludf.DUMMYFUNCTION("""COMPUTED_VALUE"""),"LA RENON (KIRRUS)")</f>
        <v>LA RENON (KIRRUS)</v>
      </c>
    </row>
    <row r="1621">
      <c r="H1621" s="25" t="str">
        <f>IFERROR(__xludf.DUMMYFUNCTION("""COMPUTED_VALUE"""),"LA RENON (LAUREATE)")</f>
        <v>LA RENON (LAUREATE)</v>
      </c>
    </row>
    <row r="1622">
      <c r="H1622" s="25" t="str">
        <f>IFERROR(__xludf.DUMMYFUNCTION("""COMPUTED_VALUE"""),"LA RENON (NEPHRO)")</f>
        <v>LA RENON (NEPHRO)</v>
      </c>
    </row>
    <row r="1623">
      <c r="H1623" s="25" t="str">
        <f>IFERROR(__xludf.DUMMYFUNCTION("""COMPUTED_VALUE"""),"LA RENON (ULTRA)")</f>
        <v>LA RENON (ULTRA)</v>
      </c>
    </row>
    <row r="1624">
      <c r="H1624" s="25" t="str">
        <f>IFERROR(__xludf.DUMMYFUNCTION("""COMPUTED_VALUE"""),"LA RENON (UROLOGY)")</f>
        <v>LA RENON (UROLOGY)</v>
      </c>
    </row>
    <row r="1625">
      <c r="H1625" s="25" t="str">
        <f>IFERROR(__xludf.DUMMYFUNCTION("""COMPUTED_VALUE"""),"La Renon Healthcare Pvt Ltd")</f>
        <v>La Renon Healthcare Pvt Ltd</v>
      </c>
    </row>
    <row r="1626">
      <c r="H1626" s="25" t="str">
        <f>IFERROR(__xludf.DUMMYFUNCTION("""COMPUTED_VALUE"""),"LA VELLA HEALTHCARE")</f>
        <v>LA VELLA HEALTHCARE</v>
      </c>
    </row>
    <row r="1627">
      <c r="H1627" s="25" t="str">
        <f>IFERROR(__xludf.DUMMYFUNCTION("""COMPUTED_VALUE"""),"LA-MED")</f>
        <v>LA-MED</v>
      </c>
    </row>
    <row r="1628">
      <c r="H1628" s="25" t="str">
        <f>IFERROR(__xludf.DUMMYFUNCTION("""COMPUTED_VALUE"""),"Laborate (GENERIC)")</f>
        <v>Laborate (GENERIC)</v>
      </c>
    </row>
    <row r="1629">
      <c r="H1629" s="25" t="str">
        <f>IFERROR(__xludf.DUMMYFUNCTION("""COMPUTED_VALUE"""),"LABORATE PHARMA")</f>
        <v>LABORATE PHARMA</v>
      </c>
    </row>
    <row r="1630">
      <c r="H1630" s="25" t="str">
        <f>IFERROR(__xludf.DUMMYFUNCTION("""COMPUTED_VALUE"""),"LABORATE PHARMACEUTICALS INDIA LTD")</f>
        <v>LABORATE PHARMACEUTICALS INDIA LTD</v>
      </c>
    </row>
    <row r="1631">
      <c r="H1631" s="25" t="str">
        <f>IFERROR(__xludf.DUMMYFUNCTION("""COMPUTED_VALUE"""),"LACELLE")</f>
        <v>LACELLE</v>
      </c>
    </row>
    <row r="1632">
      <c r="H1632" s="25" t="str">
        <f>IFERROR(__xludf.DUMMYFUNCTION("""COMPUTED_VALUE"""),"LAKSHYA")</f>
        <v>LAKSHYA</v>
      </c>
    </row>
    <row r="1633">
      <c r="H1633" s="25" t="str">
        <f>IFERROR(__xludf.DUMMYFUNCTION("""COMPUTED_VALUE"""),"LALIT PHARMACY")</f>
        <v>LALIT PHARMACY</v>
      </c>
    </row>
    <row r="1634">
      <c r="H1634" s="25" t="str">
        <f>IFERROR(__xludf.DUMMYFUNCTION("""COMPUTED_VALUE"""),"LARK LABORATORIES LTD")</f>
        <v>LARK LABORATORIES LTD</v>
      </c>
    </row>
    <row r="1635">
      <c r="H1635" s="25" t="str">
        <f>IFERROR(__xludf.DUMMYFUNCTION("""COMPUTED_VALUE"""),"LAUREL LIFE SCIENCE")</f>
        <v>LAUREL LIFE SCIENCE</v>
      </c>
    </row>
    <row r="1636">
      <c r="H1636" s="25" t="str">
        <f>IFERROR(__xludf.DUMMYFUNCTION("""COMPUTED_VALUE"""),"Laxian Incorporation")</f>
        <v>Laxian Incorporation</v>
      </c>
    </row>
    <row r="1637">
      <c r="H1637" s="25" t="str">
        <f>IFERROR(__xludf.DUMMYFUNCTION("""COMPUTED_VALUE"""),"LAXIAN PHARMACEUTICALS")</f>
        <v>LAXIAN PHARMACEUTICALS</v>
      </c>
    </row>
    <row r="1638">
      <c r="H1638" s="25" t="str">
        <f>IFERROR(__xludf.DUMMYFUNCTION("""COMPUTED_VALUE"""),"LAXMI DISTIBUTORS")</f>
        <v>LAXMI DISTIBUTORS</v>
      </c>
    </row>
    <row r="1639">
      <c r="H1639" s="25" t="str">
        <f>IFERROR(__xludf.DUMMYFUNCTION("""COMPUTED_VALUE"""),"LAXMI DRUG HOUSE (OTHER GENERAL PRODUCTS)")</f>
        <v>LAXMI DRUG HOUSE (OTHER GENERAL PRODUCTS)</v>
      </c>
    </row>
    <row r="1640">
      <c r="H1640" s="25" t="str">
        <f>IFERROR(__xludf.DUMMYFUNCTION("""COMPUTED_VALUE"""),"LAXO MEDICARE PVT LTD")</f>
        <v>LAXO MEDICARE PVT LTD</v>
      </c>
    </row>
    <row r="1641">
      <c r="H1641" s="25" t="str">
        <f>IFERROR(__xludf.DUMMYFUNCTION("""COMPUTED_VALUE"""),"LE-VANZA PHARMA PVT LTD")</f>
        <v>LE-VANZA PHARMA PVT LTD</v>
      </c>
    </row>
    <row r="1642">
      <c r="H1642" s="25" t="str">
        <f>IFERROR(__xludf.DUMMYFUNCTION("""COMPUTED_VALUE"""),"LEAD CARE INTERNATIONAL")</f>
        <v>LEAD CARE INTERNATIONAL</v>
      </c>
    </row>
    <row r="1643">
      <c r="H1643" s="25" t="str">
        <f>IFERROR(__xludf.DUMMYFUNCTION("""COMPUTED_VALUE"""),"LEADERS HEALTHCARE LTD")</f>
        <v>LEADERS HEALTHCARE LTD</v>
      </c>
    </row>
    <row r="1644">
      <c r="H1644" s="25" t="str">
        <f>IFERROR(__xludf.DUMMYFUNCTION("""COMPUTED_VALUE"""),"LEBEN LABORATORIES PVT LTD")</f>
        <v>LEBEN LABORATORIES PVT LTD</v>
      </c>
    </row>
    <row r="1645">
      <c r="H1645" s="25" t="str">
        <f>IFERROR(__xludf.DUMMYFUNCTION("""COMPUTED_VALUE"""),"LEDERLE PHARMA")</f>
        <v>LEDERLE PHARMA</v>
      </c>
    </row>
    <row r="1646">
      <c r="H1646" s="25" t="str">
        <f>IFERROR(__xludf.DUMMYFUNCTION("""COMPUTED_VALUE"""),"LEE BENZ LIFESCIENCES")</f>
        <v>LEE BENZ LIFESCIENCES</v>
      </c>
    </row>
    <row r="1647">
      <c r="H1647" s="25" t="str">
        <f>IFERROR(__xludf.DUMMYFUNCTION("""COMPUTED_VALUE"""),"LEEFORD (COSMIC)")</f>
        <v>LEEFORD (COSMIC)</v>
      </c>
    </row>
    <row r="1648">
      <c r="H1648" s="25" t="str">
        <f>IFERROR(__xludf.DUMMYFUNCTION("""COMPUTED_VALUE"""),"LEEFORD (GENERIC)")</f>
        <v>LEEFORD (GENERIC)</v>
      </c>
    </row>
    <row r="1649">
      <c r="H1649" s="25" t="str">
        <f>IFERROR(__xludf.DUMMYFUNCTION("""COMPUTED_VALUE"""),"LEEFORD (HEALTHCARE)")</f>
        <v>LEEFORD (HEALTHCARE)</v>
      </c>
    </row>
    <row r="1650">
      <c r="H1650" s="25" t="str">
        <f>IFERROR(__xludf.DUMMYFUNCTION("""COMPUTED_VALUE"""),"LEEFORD (WELLNESS)")</f>
        <v>LEEFORD (WELLNESS)</v>
      </c>
    </row>
    <row r="1651">
      <c r="H1651" s="25" t="str">
        <f>IFERROR(__xludf.DUMMYFUNCTION("""COMPUTED_VALUE"""),"LEESUN PHARMACEUTICALS")</f>
        <v>LEESUN PHARMACEUTICALS</v>
      </c>
    </row>
    <row r="1652">
      <c r="H1652" s="25" t="str">
        <f>IFERROR(__xludf.DUMMYFUNCTION("""COMPUTED_VALUE"""),"LENVANIB 10MG")</f>
        <v>LENVANIB 10MG</v>
      </c>
    </row>
    <row r="1653">
      <c r="H1653" s="25" t="str">
        <f>IFERROR(__xludf.DUMMYFUNCTION("""COMPUTED_VALUE"""),"LENVANIB 4MG")</f>
        <v>LENVANIB 4MG</v>
      </c>
    </row>
    <row r="1654">
      <c r="H1654" s="25" t="str">
        <f>IFERROR(__xludf.DUMMYFUNCTION("""COMPUTED_VALUE"""),"LEO CHEMICALS")</f>
        <v>LEO CHEMICALS</v>
      </c>
    </row>
    <row r="1655">
      <c r="H1655" s="25" t="str">
        <f>IFERROR(__xludf.DUMMYFUNCTION("""COMPUTED_VALUE"""),"LEO FORMULATION P LTD")</f>
        <v>LEO FORMULATION P LTD</v>
      </c>
    </row>
    <row r="1656">
      <c r="H1656" s="25" t="str">
        <f>IFERROR(__xludf.DUMMYFUNCTION("""COMPUTED_VALUE"""),"LEXA LABS")</f>
        <v>LEXA LABS</v>
      </c>
    </row>
    <row r="1657">
      <c r="H1657" s="25" t="str">
        <f>IFERROR(__xludf.DUMMYFUNCTION("""COMPUTED_VALUE"""),"LEZAA BIOTECH")</f>
        <v>LEZAA BIOTECH</v>
      </c>
    </row>
    <row r="1658">
      <c r="H1658" s="25" t="str">
        <f>IFERROR(__xludf.DUMMYFUNCTION("""COMPUTED_VALUE"""),"LEZAPIN MD")</f>
        <v>LEZAPIN MD</v>
      </c>
    </row>
    <row r="1659">
      <c r="H1659" s="25" t="str">
        <f>IFERROR(__xludf.DUMMYFUNCTION("""COMPUTED_VALUE"""),"LG Lifesciences")</f>
        <v>LG Lifesciences</v>
      </c>
    </row>
    <row r="1660">
      <c r="H1660" s="25" t="str">
        <f>IFERROR(__xludf.DUMMYFUNCTION("""COMPUTED_VALUE"""),"LIFE LINE BIOTECH LTD")</f>
        <v>LIFE LINE BIOTECH LTD</v>
      </c>
    </row>
    <row r="1661">
      <c r="H1661" s="25" t="str">
        <f>IFERROR(__xludf.DUMMYFUNCTION("""COMPUTED_VALUE"""),"LIFE MEDICARE &amp; BIOTECH PVT.LT")</f>
        <v>LIFE MEDICARE &amp; BIOTECH PVT.LT</v>
      </c>
    </row>
    <row r="1662">
      <c r="H1662" s="25" t="str">
        <f>IFERROR(__xludf.DUMMYFUNCTION("""COMPUTED_VALUE"""),"LIFE PHARMACEUTICALS PVT LTD")</f>
        <v>LIFE PHARMACEUTICALS PVT LTD</v>
      </c>
    </row>
    <row r="1663">
      <c r="H1663" s="25" t="str">
        <f>IFERROR(__xludf.DUMMYFUNCTION("""COMPUTED_VALUE"""),"LIFECARE NEURO PRODUCTS LTD")</f>
        <v>LIFECARE NEURO PRODUCTS LTD</v>
      </c>
    </row>
    <row r="1664">
      <c r="H1664" s="25" t="str">
        <f>IFERROR(__xludf.DUMMYFUNCTION("""COMPUTED_VALUE"""),"LIFEGATE REMEDIES")</f>
        <v>LIFEGATE REMEDIES</v>
      </c>
    </row>
    <row r="1665">
      <c r="H1665" s="25" t="str">
        <f>IFERROR(__xludf.DUMMYFUNCTION("""COMPUTED_VALUE"""),"LIFEKYOR PHARMA")</f>
        <v>LIFEKYOR PHARMA</v>
      </c>
    </row>
    <row r="1666">
      <c r="H1666" s="25" t="str">
        <f>IFERROR(__xludf.DUMMYFUNCTION("""COMPUTED_VALUE"""),"LIFESOL MEDICAL LIMITED")</f>
        <v>LIFESOL MEDICAL LIMITED</v>
      </c>
    </row>
    <row r="1667">
      <c r="H1667" s="25" t="str">
        <f>IFERROR(__xludf.DUMMYFUNCTION("""COMPUTED_VALUE"""),"LIFEZ")</f>
        <v>LIFEZ</v>
      </c>
    </row>
    <row r="1668">
      <c r="H1668" s="25" t="str">
        <f>IFERROR(__xludf.DUMMYFUNCTION("""COMPUTED_VALUE"""),"LIFT LIFE BIOTECH")</f>
        <v>LIFT LIFE BIOTECH</v>
      </c>
    </row>
    <row r="1669">
      <c r="H1669" s="25" t="str">
        <f>IFERROR(__xludf.DUMMYFUNCTION("""COMPUTED_VALUE"""),"LIKAMEDA PHARMACEUTICALS PVT LTD")</f>
        <v>LIKAMEDA PHARMACEUTICALS PVT LTD</v>
      </c>
    </row>
    <row r="1670">
      <c r="H1670" s="25" t="str">
        <f>IFERROR(__xludf.DUMMYFUNCTION("""COMPUTED_VALUE"""),"LILANIA MEDICORP (INDIA) P LTD")</f>
        <v>LILANIA MEDICORP (INDIA) P LTD</v>
      </c>
    </row>
    <row r="1671">
      <c r="H1671" s="25" t="str">
        <f>IFERROR(__xludf.DUMMYFUNCTION("""COMPUTED_VALUE"""),"LIMBIC LIFE SCIENCES P LTD")</f>
        <v>LIMBIC LIFE SCIENCES P LTD</v>
      </c>
    </row>
    <row r="1672">
      <c r="H1672" s="25" t="str">
        <f>IFERROR(__xludf.DUMMYFUNCTION("""COMPUTED_VALUE"""),"LINCOLN (LORDS)")</f>
        <v>LINCOLN (LORDS)</v>
      </c>
    </row>
    <row r="1673">
      <c r="H1673" s="25" t="str">
        <f>IFERROR(__xludf.DUMMYFUNCTION("""COMPUTED_VALUE"""),"LINCOLN (TERESA)")</f>
        <v>LINCOLN (TERESA)</v>
      </c>
    </row>
    <row r="1674">
      <c r="H1674" s="25" t="str">
        <f>IFERROR(__xludf.DUMMYFUNCTION("""COMPUTED_VALUE"""),"Lincoln Pharmaceuticals Ltd")</f>
        <v>Lincoln Pharmaceuticals Ltd</v>
      </c>
    </row>
    <row r="1675">
      <c r="H1675" s="25" t="str">
        <f>IFERROR(__xludf.DUMMYFUNCTION("""COMPUTED_VALUE"""),"LINGDAO HEALTHCARE")</f>
        <v>LINGDAO HEALTHCARE</v>
      </c>
    </row>
    <row r="1676">
      <c r="H1676" s="25" t="str">
        <f>IFERROR(__xludf.DUMMYFUNCTION("""COMPUTED_VALUE"""),"LINK PHARMA")</f>
        <v>LINK PHARMA</v>
      </c>
    </row>
    <row r="1677">
      <c r="H1677" s="25" t="str">
        <f>IFERROR(__xludf.DUMMYFUNCTION("""COMPUTED_VALUE"""),"Linux Laboratories")</f>
        <v>Linux Laboratories</v>
      </c>
    </row>
    <row r="1678">
      <c r="H1678" s="25" t="str">
        <f>IFERROR(__xludf.DUMMYFUNCTION("""COMPUTED_VALUE"""),"LION BRAND")</f>
        <v>LION BRAND</v>
      </c>
    </row>
    <row r="1679">
      <c r="H1679" s="25" t="str">
        <f>IFERROR(__xludf.DUMMYFUNCTION("""COMPUTED_VALUE"""),"LIP PINK")</f>
        <v>LIP PINK</v>
      </c>
    </row>
    <row r="1680">
      <c r="H1680" s="25" t="str">
        <f>IFERROR(__xludf.DUMMYFUNCTION("""COMPUTED_VALUE"""),"ListApp Technologies")</f>
        <v>ListApp Technologies</v>
      </c>
    </row>
    <row r="1681">
      <c r="H1681" s="25" t="str">
        <f>IFERROR(__xludf.DUMMYFUNCTION("""COMPUTED_VALUE"""),"LITAKA PHARMACEUTICALS LTD")</f>
        <v>LITAKA PHARMACEUTICALS LTD</v>
      </c>
    </row>
    <row r="1682">
      <c r="H1682" s="25" t="str">
        <f>IFERROR(__xludf.DUMMYFUNCTION("""COMPUTED_VALUE"""),"LITTLE ANGEL")</f>
        <v>LITTLE ANGEL</v>
      </c>
    </row>
    <row r="1683">
      <c r="H1683" s="25" t="str">
        <f>IFERROR(__xludf.DUMMYFUNCTION("""COMPUTED_VALUE"""),"Little Greave Pharmaceuticals Pvt. Ltd.")</f>
        <v>Little Greave Pharmaceuticals Pvt. Ltd.</v>
      </c>
    </row>
    <row r="1684">
      <c r="H1684" s="25" t="str">
        <f>IFERROR(__xludf.DUMMYFUNCTION("""COMPUTED_VALUE"""),"Liva Healthcare Ltd")</f>
        <v>Liva Healthcare Ltd</v>
      </c>
    </row>
    <row r="1685">
      <c r="H1685" s="25" t="str">
        <f>IFERROR(__xludf.DUMMYFUNCTION("""COMPUTED_VALUE"""),"LIVEON HEALTHCARE")</f>
        <v>LIVEON HEALTHCARE</v>
      </c>
    </row>
    <row r="1686">
      <c r="H1686" s="25" t="str">
        <f>IFERROR(__xludf.DUMMYFUNCTION("""COMPUTED_VALUE"""),"LIWEL HEALTHCARE")</f>
        <v>LIWEL HEALTHCARE</v>
      </c>
    </row>
    <row r="1687">
      <c r="H1687" s="25" t="str">
        <f>IFERROR(__xludf.DUMMYFUNCTION("""COMPUTED_VALUE"""),"LOK BETA PHARMACEUTICAL")</f>
        <v>LOK BETA PHARMACEUTICAL</v>
      </c>
    </row>
    <row r="1688">
      <c r="H1688" s="25" t="str">
        <f>IFERROR(__xludf.DUMMYFUNCTION("""COMPUTED_VALUE"""),"LORDS")</f>
        <v>LORDS</v>
      </c>
    </row>
    <row r="1689">
      <c r="H1689" s="25" t="str">
        <f>IFERROR(__xludf.DUMMYFUNCTION("""COMPUTED_VALUE"""),"LOTUS NUTRATECH")</f>
        <v>LOTUS NUTRATECH</v>
      </c>
    </row>
    <row r="1690">
      <c r="H1690" s="25" t="str">
        <f>IFERROR(__xludf.DUMMYFUNCTION("""COMPUTED_VALUE"""),"LOUIES LIFE SCIENCES")</f>
        <v>LOUIES LIFE SCIENCES</v>
      </c>
    </row>
    <row r="1691">
      <c r="H1691" s="25" t="str">
        <f>IFERROR(__xludf.DUMMYFUNCTION("""COMPUTED_VALUE"""),"LT&amp;T PHARMA PVT LTD")</f>
        <v>LT&amp;T PHARMA PVT LTD</v>
      </c>
    </row>
    <row r="1692">
      <c r="H1692" s="25" t="str">
        <f>IFERROR(__xludf.DUMMYFUNCTION("""COMPUTED_VALUE"""),"LUCIFER AND HESPER (INDIA) PVT LTD")</f>
        <v>LUCIFER AND HESPER (INDIA) PVT LTD</v>
      </c>
    </row>
    <row r="1693">
      <c r="H1693" s="25" t="str">
        <f>IFERROR(__xludf.DUMMYFUNCTION("""COMPUTED_VALUE"""),"LUCO HEALTHCARE")</f>
        <v>LUCO HEALTHCARE</v>
      </c>
    </row>
    <row r="1694">
      <c r="H1694" s="25" t="str">
        <f>IFERROR(__xludf.DUMMYFUNCTION("""COMPUTED_VALUE"""),"LUNARIA LIFE SCIENCE")</f>
        <v>LUNARIA LIFE SCIENCE</v>
      </c>
    </row>
    <row r="1695">
      <c r="H1695" s="25" t="str">
        <f>IFERROR(__xludf.DUMMYFUNCTION("""COMPUTED_VALUE"""),"Lundbeck India Pvt Ltd")</f>
        <v>Lundbeck India Pvt Ltd</v>
      </c>
    </row>
    <row r="1696">
      <c r="H1696" s="25" t="str">
        <f>IFERROR(__xludf.DUMMYFUNCTION("""COMPUTED_VALUE"""),"LUPIN (ASCENDER)")</f>
        <v>LUPIN (ASCENDER)</v>
      </c>
    </row>
    <row r="1697">
      <c r="H1697" s="25" t="str">
        <f>IFERROR(__xludf.DUMMYFUNCTION("""COMPUTED_VALUE"""),"LUPIN (ASPIRA)")</f>
        <v>LUPIN (ASPIRA)</v>
      </c>
    </row>
    <row r="1698">
      <c r="H1698" s="25" t="str">
        <f>IFERROR(__xludf.DUMMYFUNCTION("""COMPUTED_VALUE"""),"LUPIN (BLUE EYES)")</f>
        <v>LUPIN (BLUE EYES)</v>
      </c>
    </row>
    <row r="1699">
      <c r="H1699" s="25" t="str">
        <f>IFERROR(__xludf.DUMMYFUNCTION("""COMPUTED_VALUE"""),"LUPIN (DERMA)")</f>
        <v>LUPIN (DERMA)</v>
      </c>
    </row>
    <row r="1700">
      <c r="H1700" s="25" t="str">
        <f>IFERROR(__xludf.DUMMYFUNCTION("""COMPUTED_VALUE"""),"LUPIN (DIABETES CARE)")</f>
        <v>LUPIN (DIABETES CARE)</v>
      </c>
    </row>
    <row r="1701">
      <c r="H1701" s="25" t="str">
        <f>IFERROR(__xludf.DUMMYFUNCTION("""COMPUTED_VALUE"""),"LUPIN (ENDEAVOUR)")</f>
        <v>LUPIN (ENDEAVOUR)</v>
      </c>
    </row>
    <row r="1702">
      <c r="H1702" s="25" t="str">
        <f>IFERROR(__xludf.DUMMYFUNCTION("""COMPUTED_VALUE"""),"LUPIN (FEMINA)")</f>
        <v>LUPIN (FEMINA)</v>
      </c>
    </row>
    <row r="1703">
      <c r="H1703" s="25" t="str">
        <f>IFERROR(__xludf.DUMMYFUNCTION("""COMPUTED_VALUE"""),"LUPIN (FORMICA)")</f>
        <v>LUPIN (FORMICA)</v>
      </c>
    </row>
    <row r="1704">
      <c r="H1704" s="25" t="str">
        <f>IFERROR(__xludf.DUMMYFUNCTION("""COMPUTED_VALUE"""),"LUPIN (GENERIC)")</f>
        <v>LUPIN (GENERIC)</v>
      </c>
    </row>
    <row r="1705">
      <c r="H1705" s="25" t="str">
        <f>IFERROR(__xludf.DUMMYFUNCTION("""COMPUTED_VALUE"""),"LUPIN (IKONIC)")</f>
        <v>LUPIN (IKONIC)</v>
      </c>
    </row>
    <row r="1706">
      <c r="H1706" s="25" t="str">
        <f>IFERROR(__xludf.DUMMYFUNCTION("""COMPUTED_VALUE"""),"LUPIN (LIFE)")</f>
        <v>LUPIN (LIFE)</v>
      </c>
    </row>
    <row r="1707">
      <c r="H1707" s="25" t="str">
        <f>IFERROR(__xludf.DUMMYFUNCTION("""COMPUTED_VALUE"""),"LUPIN (MAXTER)")</f>
        <v>LUPIN (MAXTER)</v>
      </c>
    </row>
    <row r="1708">
      <c r="H1708" s="25" t="str">
        <f>IFERROR(__xludf.DUMMYFUNCTION("""COMPUTED_VALUE"""),"LUPIN (METABOLICS)")</f>
        <v>LUPIN (METABOLICS)</v>
      </c>
    </row>
    <row r="1709">
      <c r="H1709" s="25" t="str">
        <f>IFERROR(__xludf.DUMMYFUNCTION("""COMPUTED_VALUE"""),"LUPIN (MIND VISION)")</f>
        <v>LUPIN (MIND VISION)</v>
      </c>
    </row>
    <row r="1710">
      <c r="H1710" s="25" t="str">
        <f>IFERROR(__xludf.DUMMYFUNCTION("""COMPUTED_VALUE"""),"LUPIN (NEPHRO)")</f>
        <v>LUPIN (NEPHRO)</v>
      </c>
    </row>
    <row r="1711">
      <c r="H1711" s="25" t="str">
        <f>IFERROR(__xludf.DUMMYFUNCTION("""COMPUTED_VALUE"""),"LUPIN (PHOENIX)")</f>
        <v>LUPIN (PHOENIX)</v>
      </c>
    </row>
    <row r="1712">
      <c r="H1712" s="25" t="str">
        <f>IFERROR(__xludf.DUMMYFUNCTION("""COMPUTED_VALUE"""),"LUPIN (PINACALLE)")</f>
        <v>LUPIN (PINACALLE)</v>
      </c>
    </row>
    <row r="1713">
      <c r="H1713" s="25" t="str">
        <f>IFERROR(__xludf.DUMMYFUNCTION("""COMPUTED_VALUE"""),"LUPIN (PINNACLE CVN)")</f>
        <v>LUPIN (PINNACLE CVN)</v>
      </c>
    </row>
    <row r="1714">
      <c r="H1714" s="25" t="str">
        <f>IFERROR(__xludf.DUMMYFUNCTION("""COMPUTED_VALUE"""),"LUPIN (PRIMUSO)")</f>
        <v>LUPIN (PRIMUSO)</v>
      </c>
    </row>
    <row r="1715">
      <c r="H1715" s="25" t="str">
        <f>IFERROR(__xludf.DUMMYFUNCTION("""COMPUTED_VALUE"""),"LUPIN (RESPIRA-SPECIALITY)")</f>
        <v>LUPIN (RESPIRA-SPECIALITY)</v>
      </c>
    </row>
    <row r="1716">
      <c r="H1716" s="25" t="str">
        <f>IFERROR(__xludf.DUMMYFUNCTION("""COMPUTED_VALUE"""),"LUPIN (RESPIRA)")</f>
        <v>LUPIN (RESPIRA)</v>
      </c>
    </row>
    <row r="1717">
      <c r="H1717" s="25" t="str">
        <f>IFERROR(__xludf.DUMMYFUNCTION("""COMPUTED_VALUE"""),"LUPIN (STELLAR)")</f>
        <v>LUPIN (STELLAR)</v>
      </c>
    </row>
    <row r="1718">
      <c r="H1718" s="25" t="str">
        <f>IFERROR(__xludf.DUMMYFUNCTION("""COMPUTED_VALUE"""),"LUPIN (SYNOX)")</f>
        <v>LUPIN (SYNOX)</v>
      </c>
    </row>
    <row r="1719">
      <c r="H1719" s="25" t="str">
        <f>IFERROR(__xludf.DUMMYFUNCTION("""COMPUTED_VALUE"""),"LUPIN (TB)")</f>
        <v>LUPIN (TB)</v>
      </c>
    </row>
    <row r="1720">
      <c r="H1720" s="25" t="str">
        <f>IFERROR(__xludf.DUMMYFUNCTION("""COMPUTED_VALUE"""),"Lupin Ltd")</f>
        <v>Lupin Ltd</v>
      </c>
    </row>
    <row r="1721">
      <c r="H1721" s="25" t="str">
        <f>IFERROR(__xludf.DUMMYFUNCTION("""COMPUTED_VALUE"""),"LUSAN PHARMACEUTICALS")</f>
        <v>LUSAN PHARMACEUTICALS</v>
      </c>
    </row>
    <row r="1722">
      <c r="H1722" s="25" t="str">
        <f>IFERROR(__xludf.DUMMYFUNCTION("""COMPUTED_VALUE"""),"LUVIA LIFESCIENCES")</f>
        <v>LUVIA LIFESCIENCES</v>
      </c>
    </row>
    <row r="1723">
      <c r="H1723" s="25" t="str">
        <f>IFERROR(__xludf.DUMMYFUNCTION("""COMPUTED_VALUE"""),"LYCON HEALTHCARE PVT LTD")</f>
        <v>LYCON HEALTHCARE PVT LTD</v>
      </c>
    </row>
    <row r="1724">
      <c r="H1724" s="25" t="str">
        <f>IFERROR(__xludf.DUMMYFUNCTION("""COMPUTED_VALUE"""),"LYKA LABS LTD")</f>
        <v>LYKA LABS LTD</v>
      </c>
    </row>
    <row r="1725">
      <c r="H1725" s="25" t="str">
        <f>IFERROR(__xludf.DUMMYFUNCTION("""COMPUTED_VALUE"""),"LYRA LABORATORIES PVT LTD")</f>
        <v>LYRA LABORATORIES PVT LTD</v>
      </c>
    </row>
    <row r="1726">
      <c r="H1726" s="25" t="str">
        <f>IFERROR(__xludf.DUMMYFUNCTION("""COMPUTED_VALUE"""),"LYSTEN GLOBAL PHARMACEUTICAL")</f>
        <v>LYSTEN GLOBAL PHARMACEUTICAL</v>
      </c>
    </row>
    <row r="1727">
      <c r="H1727" s="25" t="str">
        <f>IFERROR(__xludf.DUMMYFUNCTION("""COMPUTED_VALUE"""),"M &amp; M PHARMA")</f>
        <v>M &amp; M PHARMA</v>
      </c>
    </row>
    <row r="1728">
      <c r="H1728" s="25" t="str">
        <f>IFERROR(__xludf.DUMMYFUNCTION("""COMPUTED_VALUE"""),"M H JAVERIAN N SONS")</f>
        <v>M H JAVERIAN N SONS</v>
      </c>
    </row>
    <row r="1729">
      <c r="H1729" s="25" t="str">
        <f>IFERROR(__xludf.DUMMYFUNCTION("""COMPUTED_VALUE"""),"MAA CHAMUNDA HEALTHCARE")</f>
        <v>MAA CHAMUNDA HEALTHCARE</v>
      </c>
    </row>
    <row r="1730">
      <c r="H1730" s="25" t="str">
        <f>IFERROR(__xludf.DUMMYFUNCTION("""COMPUTED_VALUE"""),"MAAN PHARMACEUTICAL LTD")</f>
        <v>MAAN PHARMACEUTICAL LTD</v>
      </c>
    </row>
    <row r="1731">
      <c r="H1731" s="25" t="str">
        <f>IFERROR(__xludf.DUMMYFUNCTION("""COMPUTED_VALUE"""),"MACELODS (CV)")</f>
        <v>MACELODS (CV)</v>
      </c>
    </row>
    <row r="1732">
      <c r="H1732" s="25" t="str">
        <f>IFERROR(__xludf.DUMMYFUNCTION("""COMPUTED_VALUE"""),"MACFORD PHARMACEUTICALS")</f>
        <v>MACFORD PHARMACEUTICALS</v>
      </c>
    </row>
    <row r="1733">
      <c r="H1733" s="25" t="str">
        <f>IFERROR(__xludf.DUMMYFUNCTION("""COMPUTED_VALUE"""),"MACIN'S PHARMA")</f>
        <v>MACIN'S PHARMA</v>
      </c>
    </row>
    <row r="1734">
      <c r="H1734" s="25" t="str">
        <f>IFERROR(__xludf.DUMMYFUNCTION("""COMPUTED_VALUE"""),"MACLEODS (ACCUPHAR)")</f>
        <v>MACLEODS (ACCUPHAR)</v>
      </c>
    </row>
    <row r="1735">
      <c r="H1735" s="25" t="str">
        <f>IFERROR(__xludf.DUMMYFUNCTION("""COMPUTED_VALUE"""),"MACLEODS (AEROMAC)")</f>
        <v>MACLEODS (AEROMAC)</v>
      </c>
    </row>
    <row r="1736">
      <c r="H1736" s="25" t="str">
        <f>IFERROR(__xludf.DUMMYFUNCTION("""COMPUTED_VALUE"""),"MACLEODS (GEN CARE)")</f>
        <v>MACLEODS (GEN CARE)</v>
      </c>
    </row>
    <row r="1737">
      <c r="H1737" s="25" t="str">
        <f>IFERROR(__xludf.DUMMYFUNCTION("""COMPUTED_VALUE"""),"MACLEODS (MACPHAR)")</f>
        <v>MACLEODS (MACPHAR)</v>
      </c>
    </row>
    <row r="1738">
      <c r="H1738" s="25" t="str">
        <f>IFERROR(__xludf.DUMMYFUNCTION("""COMPUTED_VALUE"""),"MACLEODS (OSTEVA)")</f>
        <v>MACLEODS (OSTEVA)</v>
      </c>
    </row>
    <row r="1739">
      <c r="H1739" s="25" t="str">
        <f>IFERROR(__xludf.DUMMYFUNCTION("""COMPUTED_VALUE"""),"MACLEODS (OXALIS)")</f>
        <v>MACLEODS (OXALIS)</v>
      </c>
    </row>
    <row r="1740">
      <c r="H1740" s="25" t="str">
        <f>IFERROR(__xludf.DUMMYFUNCTION("""COMPUTED_VALUE"""),"MACLEODS (PROCARE-AHT)")</f>
        <v>MACLEODS (PROCARE-AHT)</v>
      </c>
    </row>
    <row r="1741">
      <c r="H1741" s="25" t="str">
        <f>IFERROR(__xludf.DUMMYFUNCTION("""COMPUTED_VALUE"""),"MACLEODS (PROCARE-AHT2)")</f>
        <v>MACLEODS (PROCARE-AHT2)</v>
      </c>
    </row>
    <row r="1742">
      <c r="H1742" s="25" t="str">
        <f>IFERROR(__xludf.DUMMYFUNCTION("""COMPUTED_VALUE"""),"MACLEODS (PROCARE-CV)")</f>
        <v>MACLEODS (PROCARE-CV)</v>
      </c>
    </row>
    <row r="1743">
      <c r="H1743" s="25" t="str">
        <f>IFERROR(__xludf.DUMMYFUNCTION("""COMPUTED_VALUE"""),"MACLEODS (TB CARE)")</f>
        <v>MACLEODS (TB CARE)</v>
      </c>
    </row>
    <row r="1744">
      <c r="H1744" s="25" t="str">
        <f>IFERROR(__xludf.DUMMYFUNCTION("""COMPUTED_VALUE"""),"MACLEODS PHARMA (MAIN)")</f>
        <v>MACLEODS PHARMA (MAIN)</v>
      </c>
    </row>
    <row r="1745">
      <c r="H1745" s="25" t="str">
        <f>IFERROR(__xludf.DUMMYFUNCTION("""COMPUTED_VALUE"""),"Macleods Pharmaceuticals Pvt Ltd")</f>
        <v>Macleods Pharmaceuticals Pvt Ltd</v>
      </c>
    </row>
    <row r="1746">
      <c r="H1746" s="25" t="str">
        <f>IFERROR(__xludf.DUMMYFUNCTION("""COMPUTED_VALUE"""),"MACLIFE BIOTECH P LTD")</f>
        <v>MACLIFE BIOTECH P LTD</v>
      </c>
    </row>
    <row r="1747">
      <c r="H1747" s="25" t="str">
        <f>IFERROR(__xludf.DUMMYFUNCTION("""COMPUTED_VALUE"""),"MACLOEDS (PROCARE-HD)")</f>
        <v>MACLOEDS (PROCARE-HD)</v>
      </c>
    </row>
    <row r="1748">
      <c r="H1748" s="25" t="str">
        <f>IFERROR(__xludf.DUMMYFUNCTION("""COMPUTED_VALUE"""),"MACLOWIN LIFE SCIENCE")</f>
        <v>MACLOWIN LIFE SCIENCE</v>
      </c>
    </row>
    <row r="1749">
      <c r="H1749" s="25" t="str">
        <f>IFERROR(__xludf.DUMMYFUNCTION("""COMPUTED_VALUE"""),"MACPHAR REMEDIES")</f>
        <v>MACPHAR REMEDIES</v>
      </c>
    </row>
    <row r="1750">
      <c r="H1750" s="25" t="str">
        <f>IFERROR(__xludf.DUMMYFUNCTION("""COMPUTED_VALUE"""),"MACTEC LIFE SCIENCES")</f>
        <v>MACTEC LIFE SCIENCES</v>
      </c>
    </row>
    <row r="1751">
      <c r="H1751" s="25" t="str">
        <f>IFERROR(__xludf.DUMMYFUNCTION("""COMPUTED_VALUE"""),"MACWELL PHARMACEUTICALS")</f>
        <v>MACWELL PHARMACEUTICALS</v>
      </c>
    </row>
    <row r="1752">
      <c r="H1752" s="25" t="str">
        <f>IFERROR(__xludf.DUMMYFUNCTION("""COMPUTED_VALUE"""),"MACWIN PHARMACEUTICALS PVT LTD")</f>
        <v>MACWIN PHARMACEUTICALS PVT LTD</v>
      </c>
    </row>
    <row r="1753">
      <c r="H1753" s="25" t="str">
        <f>IFERROR(__xludf.DUMMYFUNCTION("""COMPUTED_VALUE"""),"MADBRIS LIFESCIENCES PVT LTD")</f>
        <v>MADBRIS LIFESCIENCES PVT LTD</v>
      </c>
    </row>
    <row r="1754">
      <c r="H1754" s="25" t="str">
        <f>IFERROR(__xludf.DUMMYFUNCTION("""COMPUTED_VALUE"""),"MADHU TRADERS")</f>
        <v>MADHU TRADERS</v>
      </c>
    </row>
    <row r="1755">
      <c r="H1755" s="25" t="str">
        <f>IFERROR(__xludf.DUMMYFUNCTION("""COMPUTED_VALUE"""),"MAESTROS MEDILINE SYSTEMS LIMITED")</f>
        <v>MAESTROS MEDILINE SYSTEMS LIMITED</v>
      </c>
    </row>
    <row r="1756">
      <c r="H1756" s="25" t="str">
        <f>IFERROR(__xludf.DUMMYFUNCTION("""COMPUTED_VALUE"""),"MAGMA ALLIANZ")</f>
        <v>MAGMA ALLIANZ</v>
      </c>
    </row>
    <row r="1757">
      <c r="H1757" s="25" t="str">
        <f>IFERROR(__xludf.DUMMYFUNCTION("""COMPUTED_VALUE"""),"Maharishi Ayurveda Products Pvt Ltd")</f>
        <v>Maharishi Ayurveda Products Pvt Ltd</v>
      </c>
    </row>
    <row r="1758">
      <c r="H1758" s="25" t="str">
        <f>IFERROR(__xludf.DUMMYFUNCTION("""COMPUTED_VALUE"""),"MAHARSHI BADRI PHARMACEUTICALS")</f>
        <v>MAHARSHI BADRI PHARMACEUTICALS</v>
      </c>
    </row>
    <row r="1759">
      <c r="H1759" s="25" t="str">
        <f>IFERROR(__xludf.DUMMYFUNCTION("""COMPUTED_VALUE"""),"MAHESHWARI FARMACEUTICAL LTD")</f>
        <v>MAHESHWARI FARMACEUTICAL LTD</v>
      </c>
    </row>
    <row r="1760">
      <c r="H1760" s="25" t="str">
        <f>IFERROR(__xludf.DUMMYFUNCTION("""COMPUTED_VALUE"""),"MAKERS LABORATORIES LTD")</f>
        <v>MAKERS LABORATORIES LTD</v>
      </c>
    </row>
    <row r="1761">
      <c r="H1761" s="25" t="str">
        <f>IFERROR(__xludf.DUMMYFUNCTION("""COMPUTED_VALUE"""),"MAKEWELL PHARMACEUTICAL")</f>
        <v>MAKEWELL PHARMACEUTICAL</v>
      </c>
    </row>
    <row r="1762">
      <c r="H1762" s="25" t="str">
        <f>IFERROR(__xludf.DUMMYFUNCTION("""COMPUTED_VALUE"""),"MAKIN LABORATORIES PVT LTD")</f>
        <v>MAKIN LABORATORIES PVT LTD</v>
      </c>
    </row>
    <row r="1763">
      <c r="H1763" s="25" t="str">
        <f>IFERROR(__xludf.DUMMYFUNCTION("""COMPUTED_VALUE"""),"MAKSUN BIOTECH P LTD")</f>
        <v>MAKSUN BIOTECH P LTD</v>
      </c>
    </row>
    <row r="1764">
      <c r="H1764" s="25" t="str">
        <f>IFERROR(__xludf.DUMMYFUNCTION("""COMPUTED_VALUE"""),"MAMTA PHARMACEUTICALS PVT LTD")</f>
        <v>MAMTA PHARMACEUTICALS PVT LTD</v>
      </c>
    </row>
    <row r="1765">
      <c r="H1765" s="25" t="str">
        <f>IFERROR(__xludf.DUMMYFUNCTION("""COMPUTED_VALUE"""),"MAN SERVE PHARMA")</f>
        <v>MAN SERVE PHARMA</v>
      </c>
    </row>
    <row r="1766">
      <c r="H1766" s="25" t="str">
        <f>IFERROR(__xludf.DUMMYFUNCTION("""COMPUTED_VALUE"""),"MANCARE LABS PVT LTD")</f>
        <v>MANCARE LABS PVT LTD</v>
      </c>
    </row>
    <row r="1767">
      <c r="H1767" s="25" t="str">
        <f>IFERROR(__xludf.DUMMYFUNCTION("""COMPUTED_VALUE"""),"MANEESH HEALTH CARE")</f>
        <v>MANEESH HEALTH CARE</v>
      </c>
    </row>
    <row r="1768">
      <c r="H1768" s="25" t="str">
        <f>IFERROR(__xludf.DUMMYFUNCTION("""COMPUTED_VALUE"""),"Maneesh Pharmaceuticals")</f>
        <v>Maneesh Pharmaceuticals</v>
      </c>
    </row>
    <row r="1769">
      <c r="H1769" s="25" t="str">
        <f>IFERROR(__xludf.DUMMYFUNCTION("""COMPUTED_VALUE"""),"MANKIND (3D)")</f>
        <v>MANKIND (3D)</v>
      </c>
    </row>
    <row r="1770">
      <c r="H1770" s="25" t="str">
        <f>IFERROR(__xludf.DUMMYFUNCTION("""COMPUTED_VALUE"""),"MANKIND (ASPIRA)")</f>
        <v>MANKIND (ASPIRA)</v>
      </c>
    </row>
    <row r="1771">
      <c r="H1771" s="25" t="str">
        <f>IFERROR(__xludf.DUMMYFUNCTION("""COMPUTED_VALUE"""),"MANKIND (CEREBRIS)")</f>
        <v>MANKIND (CEREBRIS)</v>
      </c>
    </row>
    <row r="1772">
      <c r="H1772" s="25" t="str">
        <f>IFERROR(__xludf.DUMMYFUNCTION("""COMPUTED_VALUE"""),"MANKIND (CURIS)")</f>
        <v>MANKIND (CURIS)</v>
      </c>
    </row>
    <row r="1773">
      <c r="H1773" s="25" t="str">
        <f>IFERROR(__xludf.DUMMYFUNCTION("""COMPUTED_VALUE"""),"MANKIND (DISCOVERY)")</f>
        <v>MANKIND (DISCOVERY)</v>
      </c>
    </row>
    <row r="1774">
      <c r="H1774" s="25" t="str">
        <f>IFERROR(__xludf.DUMMYFUNCTION("""COMPUTED_VALUE"""),"MANKIND (FUTURE)")</f>
        <v>MANKIND (FUTURE)</v>
      </c>
    </row>
    <row r="1775">
      <c r="H1775" s="25" t="str">
        <f>IFERROR(__xludf.DUMMYFUNCTION("""COMPUTED_VALUE"""),"MANKIND (GENERIC-AMAZING)")</f>
        <v>MANKIND (GENERIC-AMAZING)</v>
      </c>
    </row>
    <row r="1776">
      <c r="H1776" s="25" t="str">
        <f>IFERROR(__xludf.DUMMYFUNCTION("""COMPUTED_VALUE"""),"MANKIND (GENERIC)")</f>
        <v>MANKIND (GENERIC)</v>
      </c>
    </row>
    <row r="1777">
      <c r="H1777" s="25" t="str">
        <f>IFERROR(__xludf.DUMMYFUNCTION("""COMPUTED_VALUE"""),"MANKIND (GRAVITAS)")</f>
        <v>MANKIND (GRAVITAS)</v>
      </c>
    </row>
    <row r="1778">
      <c r="H1778" s="25" t="str">
        <f>IFERROR(__xludf.DUMMYFUNCTION("""COMPUTED_VALUE"""),"MANKIND (LIFESTAR-1)")</f>
        <v>MANKIND (LIFESTAR-1)</v>
      </c>
    </row>
    <row r="1779">
      <c r="H1779" s="25" t="str">
        <f>IFERROR(__xludf.DUMMYFUNCTION("""COMPUTED_VALUE"""),"MANKIND (LIFESTAR-2)")</f>
        <v>MANKIND (LIFESTAR-2)</v>
      </c>
    </row>
    <row r="1780">
      <c r="H1780" s="25" t="str">
        <f>IFERROR(__xludf.DUMMYFUNCTION("""COMPUTED_VALUE"""),"MANKIND (MAGNET)")</f>
        <v>MANKIND (MAGNET)</v>
      </c>
    </row>
    <row r="1781">
      <c r="H1781" s="25" t="str">
        <f>IFERROR(__xludf.DUMMYFUNCTION("""COMPUTED_VALUE"""),"MANKIND (MAIN)")</f>
        <v>MANKIND (MAIN)</v>
      </c>
    </row>
    <row r="1782">
      <c r="H1782" s="25" t="str">
        <f>IFERROR(__xludf.DUMMYFUNCTION("""COMPUTED_VALUE"""),"MANKIND (NOBELIS)")</f>
        <v>MANKIND (NOBELIS)</v>
      </c>
    </row>
    <row r="1783">
      <c r="H1783" s="25" t="str">
        <f>IFERROR(__xludf.DUMMYFUNCTION("""COMPUTED_VALUE"""),"MANKIND (OCULARIS)")</f>
        <v>MANKIND (OCULARIS)</v>
      </c>
    </row>
    <row r="1784">
      <c r="H1784" s="25" t="str">
        <f>IFERROR(__xludf.DUMMYFUNCTION("""COMPUTED_VALUE"""),"MANKIND (PRIME)")</f>
        <v>MANKIND (PRIME)</v>
      </c>
    </row>
    <row r="1785">
      <c r="H1785" s="25" t="str">
        <f>IFERROR(__xludf.DUMMYFUNCTION("""COMPUTED_VALUE"""),"MANKIND (SPECIAL)")</f>
        <v>MANKIND (SPECIAL)</v>
      </c>
    </row>
    <row r="1786">
      <c r="H1786" s="25" t="str">
        <f>IFERROR(__xludf.DUMMYFUNCTION("""COMPUTED_VALUE"""),"MANKIND (ZESTEVA)")</f>
        <v>MANKIND (ZESTEVA)</v>
      </c>
    </row>
    <row r="1787">
      <c r="H1787" s="25" t="str">
        <f>IFERROR(__xludf.DUMMYFUNCTION("""COMPUTED_VALUE"""),"Mankind Pharma Ltd")</f>
        <v>Mankind Pharma Ltd</v>
      </c>
    </row>
    <row r="1788">
      <c r="H1788" s="25" t="str">
        <f>IFERROR(__xludf.DUMMYFUNCTION("""COMPUTED_VALUE"""),"MANTIS REMEDIES")</f>
        <v>MANTIS REMEDIES</v>
      </c>
    </row>
    <row r="1789">
      <c r="H1789" s="25" t="str">
        <f>IFERROR(__xludf.DUMMYFUNCTION("""COMPUTED_VALUE"""),"MANTRA PHARMACEUTICALS")</f>
        <v>MANTRA PHARMACEUTICALS</v>
      </c>
    </row>
    <row r="1790">
      <c r="H1790" s="25" t="str">
        <f>IFERROR(__xludf.DUMMYFUNCTION("""COMPUTED_VALUE"""),"MANTRAX HEALTHCARE")</f>
        <v>MANTRAX HEALTHCARE</v>
      </c>
    </row>
    <row r="1791">
      <c r="H1791" s="25" t="str">
        <f>IFERROR(__xludf.DUMMYFUNCTION("""COMPUTED_VALUE"""),"MAPLE DRUGS")</f>
        <v>MAPLE DRUGS</v>
      </c>
    </row>
    <row r="1792">
      <c r="H1792" s="25" t="str">
        <f>IFERROR(__xludf.DUMMYFUNCTION("""COMPUTED_VALUE"""),"MAPLE DRUGS &amp; PHARMACEUTICALS")</f>
        <v>MAPLE DRUGS &amp; PHARMACEUTICALS</v>
      </c>
    </row>
    <row r="1793">
      <c r="H1793" s="25" t="str">
        <f>IFERROR(__xludf.DUMMYFUNCTION("""COMPUTED_VALUE"""),"Mapra Laboratories Pvt Ltd")</f>
        <v>Mapra Laboratories Pvt Ltd</v>
      </c>
    </row>
    <row r="1794">
      <c r="H1794" s="25" t="str">
        <f>IFERROR(__xludf.DUMMYFUNCTION("""COMPUTED_VALUE"""),"MAPRO")</f>
        <v>MAPRO</v>
      </c>
    </row>
    <row r="1795">
      <c r="H1795" s="25" t="str">
        <f>IFERROR(__xludf.DUMMYFUNCTION("""COMPUTED_VALUE"""),"MAPRO LIFESCIENCE")</f>
        <v>MAPRO LIFESCIENCE</v>
      </c>
    </row>
    <row r="1796">
      <c r="H1796" s="25" t="str">
        <f>IFERROR(__xludf.DUMMYFUNCTION("""COMPUTED_VALUE"""),"MAPSCURC SUSPENSION")</f>
        <v>MAPSCURC SUSPENSION</v>
      </c>
    </row>
    <row r="1797">
      <c r="H1797" s="25" t="str">
        <f>IFERROR(__xludf.DUMMYFUNCTION("""COMPUTED_VALUE"""),"MAPSCURC TAB")</f>
        <v>MAPSCURC TAB</v>
      </c>
    </row>
    <row r="1798">
      <c r="H1798" s="25" t="str">
        <f>IFERROR(__xludf.DUMMYFUNCTION("""COMPUTED_VALUE"""),"MAPSCURE GEL")</f>
        <v>MAPSCURE GEL</v>
      </c>
    </row>
    <row r="1799">
      <c r="H1799" s="25" t="str">
        <f>IFERROR(__xludf.DUMMYFUNCTION("""COMPUTED_VALUE"""),"MAPSCURE TAB")</f>
        <v>MAPSCURE TAB</v>
      </c>
    </row>
    <row r="1800">
      <c r="H1800" s="25" t="str">
        <f>IFERROR(__xludf.DUMMYFUNCTION("""COMPUTED_VALUE"""),"MAPSGEM 1000")</f>
        <v>MAPSGEM 1000</v>
      </c>
    </row>
    <row r="1801">
      <c r="H1801" s="25" t="str">
        <f>IFERROR(__xludf.DUMMYFUNCTION("""COMPUTED_VALUE"""),"MAPSONIB 200MG")</f>
        <v>MAPSONIB 200MG</v>
      </c>
    </row>
    <row r="1802">
      <c r="H1802" s="25" t="str">
        <f>IFERROR(__xludf.DUMMYFUNCTION("""COMPUTED_VALUE"""),"MAPSTABINE 500MG")</f>
        <v>MAPSTABINE 500MG</v>
      </c>
    </row>
    <row r="1803">
      <c r="H1803" s="25" t="str">
        <f>IFERROR(__xludf.DUMMYFUNCTION("""COMPUTED_VALUE"""),"MAPSTHIONE 250MG")</f>
        <v>MAPSTHIONE 250MG</v>
      </c>
    </row>
    <row r="1804">
      <c r="H1804" s="25" t="str">
        <f>IFERROR(__xludf.DUMMYFUNCTION("""COMPUTED_VALUE"""),"Marc Laboratories Pvt Ltd")</f>
        <v>Marc Laboratories Pvt Ltd</v>
      </c>
    </row>
    <row r="1805">
      <c r="H1805" s="25" t="str">
        <f>IFERROR(__xludf.DUMMYFUNCTION("""COMPUTED_VALUE"""),"Marck Biosciences Ltd")</f>
        <v>Marck Biosciences Ltd</v>
      </c>
    </row>
    <row r="1806">
      <c r="H1806" s="25" t="str">
        <f>IFERROR(__xludf.DUMMYFUNCTION("""COMPUTED_VALUE"""),"MARDIA PHARMACEUTICALS")</f>
        <v>MARDIA PHARMACEUTICALS</v>
      </c>
    </row>
    <row r="1807">
      <c r="H1807" s="25" t="str">
        <f>IFERROR(__xludf.DUMMYFUNCTION("""COMPUTED_VALUE"""),"Mark India")</f>
        <v>Mark India</v>
      </c>
    </row>
    <row r="1808">
      <c r="H1808" s="25" t="str">
        <f>IFERROR(__xludf.DUMMYFUNCTION("""COMPUTED_VALUE"""),"MARKSANS PHARMA LTD (CNS CEREBELLA)")</f>
        <v>MARKSANS PHARMA LTD (CNS CEREBELLA)</v>
      </c>
    </row>
    <row r="1809">
      <c r="H1809" s="25" t="str">
        <f>IFERROR(__xludf.DUMMYFUNCTION("""COMPUTED_VALUE"""),"MARS COMMERCE (VALERIE)")</f>
        <v>MARS COMMERCE (VALERIE)</v>
      </c>
    </row>
    <row r="1810">
      <c r="H1810" s="25" t="str">
        <f>IFERROR(__xludf.DUMMYFUNCTION("""COMPUTED_VALUE"""),"MARTIN &amp; BROWN BIOSCIENCES")</f>
        <v>MARTIN &amp; BROWN BIOSCIENCES</v>
      </c>
    </row>
    <row r="1811">
      <c r="H1811" s="25" t="str">
        <f>IFERROR(__xludf.DUMMYFUNCTION("""COMPUTED_VALUE"""),"Martin &amp; Harris Pvt Ltd")</f>
        <v>Martin &amp; Harris Pvt Ltd</v>
      </c>
    </row>
    <row r="1812">
      <c r="H1812" s="25" t="str">
        <f>IFERROR(__xludf.DUMMYFUNCTION("""COMPUTED_VALUE"""),"MARVEK BIOSCIENCES")</f>
        <v>MARVEK BIOSCIENCES</v>
      </c>
    </row>
    <row r="1813">
      <c r="H1813" s="25" t="str">
        <f>IFERROR(__xludf.DUMMYFUNCTION("""COMPUTED_VALUE"""),"MARVEL BIOSCIENCES")</f>
        <v>MARVEL BIOSCIENCES</v>
      </c>
    </row>
    <row r="1814">
      <c r="H1814" s="25" t="str">
        <f>IFERROR(__xludf.DUMMYFUNCTION("""COMPUTED_VALUE"""),"MARX PHARMA")</f>
        <v>MARX PHARMA</v>
      </c>
    </row>
    <row r="1815">
      <c r="H1815" s="25" t="str">
        <f>IFERROR(__xludf.DUMMYFUNCTION("""COMPUTED_VALUE"""),"MARX REMEDIES")</f>
        <v>MARX REMEDIES</v>
      </c>
    </row>
    <row r="1816">
      <c r="H1816" s="25" t="str">
        <f>IFERROR(__xludf.DUMMYFUNCTION("""COMPUTED_VALUE"""),"MAS HEALTHCARE P LTD")</f>
        <v>MAS HEALTHCARE P LTD</v>
      </c>
    </row>
    <row r="1817">
      <c r="H1817" s="25" t="str">
        <f>IFERROR(__xludf.DUMMYFUNCTION("""COMPUTED_VALUE"""),"MAS PHARMACHEM SOLAN")</f>
        <v>MAS PHARMACHEM SOLAN</v>
      </c>
    </row>
    <row r="1818">
      <c r="H1818" s="25" t="str">
        <f>IFERROR(__xludf.DUMMYFUNCTION("""COMPUTED_VALUE"""),"MASCOT BIOTECH")</f>
        <v>MASCOT BIOTECH</v>
      </c>
    </row>
    <row r="1819">
      <c r="H1819" s="25" t="str">
        <f>IFERROR(__xludf.DUMMYFUNCTION("""COMPUTED_VALUE"""),"MASCOT HEALTH SERIES PVT LTD")</f>
        <v>MASCOT HEALTH SERIES PVT LTD</v>
      </c>
    </row>
    <row r="1820">
      <c r="H1820" s="25" t="str">
        <f>IFERROR(__xludf.DUMMYFUNCTION("""COMPUTED_VALUE"""),"MASCOT LIFESCIENCE P LTD")</f>
        <v>MASCOT LIFESCIENCE P LTD</v>
      </c>
    </row>
    <row r="1821">
      <c r="H1821" s="25" t="str">
        <f>IFERROR(__xludf.DUMMYFUNCTION("""COMPUTED_VALUE"""),"MATIAS HEALTHCARE")</f>
        <v>MATIAS HEALTHCARE</v>
      </c>
    </row>
    <row r="1822">
      <c r="H1822" s="25" t="str">
        <f>IFERROR(__xludf.DUMMYFUNCTION("""COMPUTED_VALUE"""),"MATRIA MEDICA")</f>
        <v>MATRIA MEDICA</v>
      </c>
    </row>
    <row r="1823">
      <c r="H1823" s="25" t="str">
        <f>IFERROR(__xludf.DUMMYFUNCTION("""COMPUTED_VALUE"""),"MATTEO (CVD)")</f>
        <v>MATTEO (CVD)</v>
      </c>
    </row>
    <row r="1824">
      <c r="H1824" s="25" t="str">
        <f>IFERROR(__xludf.DUMMYFUNCTION("""COMPUTED_VALUE"""),"MATTEO HEALTHCARE PVT LTD")</f>
        <v>MATTEO HEALTHCARE PVT LTD</v>
      </c>
    </row>
    <row r="1825">
      <c r="H1825" s="25" t="str">
        <f>IFERROR(__xludf.DUMMYFUNCTION("""COMPUTED_VALUE"""),"MAX CHEMICALS (INDIA)")</f>
        <v>MAX CHEMICALS (INDIA)</v>
      </c>
    </row>
    <row r="1826">
      <c r="H1826" s="25" t="str">
        <f>IFERROR(__xludf.DUMMYFUNCTION("""COMPUTED_VALUE"""),"MAX PHARMA")</f>
        <v>MAX PHARMA</v>
      </c>
    </row>
    <row r="1827">
      <c r="H1827" s="25" t="str">
        <f>IFERROR(__xludf.DUMMYFUNCTION("""COMPUTED_VALUE"""),"MAXFORD HEALTHCARE")</f>
        <v>MAXFORD HEALTHCARE</v>
      </c>
    </row>
    <row r="1828">
      <c r="H1828" s="25" t="str">
        <f>IFERROR(__xludf.DUMMYFUNCTION("""COMPUTED_VALUE"""),"MAXFORD LABS PVT LTD")</f>
        <v>MAXFORD LABS PVT LTD</v>
      </c>
    </row>
    <row r="1829">
      <c r="H1829" s="25" t="str">
        <f>IFERROR(__xludf.DUMMYFUNCTION("""COMPUTED_VALUE"""),"MAXIMAA PROYURVEDA")</f>
        <v>MAXIMAA PROYURVEDA</v>
      </c>
    </row>
    <row r="1830">
      <c r="H1830" s="25" t="str">
        <f>IFERROR(__xludf.DUMMYFUNCTION("""COMPUTED_VALUE"""),"MAXIMUM LABS")</f>
        <v>MAXIMUM LABS</v>
      </c>
    </row>
    <row r="1831">
      <c r="H1831" s="25" t="str">
        <f>IFERROR(__xludf.DUMMYFUNCTION("""COMPUTED_VALUE"""),"MAXUS PHARMA")</f>
        <v>MAXUS PHARMA</v>
      </c>
    </row>
    <row r="1832">
      <c r="H1832" s="25" t="str">
        <f>IFERROR(__xludf.DUMMYFUNCTION("""COMPUTED_VALUE"""),"MAXX FARMACIA")</f>
        <v>MAXX FARMACIA</v>
      </c>
    </row>
    <row r="1833">
      <c r="H1833" s="25" t="str">
        <f>IFERROR(__xludf.DUMMYFUNCTION("""COMPUTED_VALUE"""),"MAXZIMAA PHARMACEUTICALS")</f>
        <v>MAXZIMAA PHARMACEUTICALS</v>
      </c>
    </row>
    <row r="1834">
      <c r="H1834" s="25" t="str">
        <f>IFERROR(__xludf.DUMMYFUNCTION("""COMPUTED_VALUE"""),"MAY &amp; BAKER")</f>
        <v>MAY &amp; BAKER</v>
      </c>
    </row>
    <row r="1835">
      <c r="H1835" s="25" t="str">
        <f>IFERROR(__xludf.DUMMYFUNCTION("""COMPUTED_VALUE"""),"Mayflower India (MARIGOLD)")</f>
        <v>Mayflower India (MARIGOLD)</v>
      </c>
    </row>
    <row r="1836">
      <c r="H1836" s="25" t="str">
        <f>IFERROR(__xludf.DUMMYFUNCTION("""COMPUTED_VALUE"""),"MAYGRISS HEALTHCARE PVT LTD")</f>
        <v>MAYGRISS HEALTHCARE PVT LTD</v>
      </c>
    </row>
    <row r="1837">
      <c r="H1837" s="25" t="str">
        <f>IFERROR(__xludf.DUMMYFUNCTION("""COMPUTED_VALUE"""),"Mcastro Pharma")</f>
        <v>Mcastro Pharma</v>
      </c>
    </row>
    <row r="1838">
      <c r="H1838" s="25" t="str">
        <f>IFERROR(__xludf.DUMMYFUNCTION("""COMPUTED_VALUE"""),"McW Healthcare")</f>
        <v>McW Healthcare</v>
      </c>
    </row>
    <row r="1839">
      <c r="H1839" s="25" t="str">
        <f>IFERROR(__xludf.DUMMYFUNCTION("""COMPUTED_VALUE"""),"MCWEL HEALTHCARE P LTD")</f>
        <v>MCWEL HEALTHCARE P LTD</v>
      </c>
    </row>
    <row r="1840">
      <c r="H1840" s="25" t="str">
        <f>IFERROR(__xludf.DUMMYFUNCTION("""COMPUTED_VALUE"""),"MEAD JOHNSON &amp; COMPANY")</f>
        <v>MEAD JOHNSON &amp; COMPANY</v>
      </c>
    </row>
    <row r="1841">
      <c r="H1841" s="25" t="str">
        <f>IFERROR(__xludf.DUMMYFUNCTION("""COMPUTED_VALUE"""),"MECARTUS HEALTH CARE P LTD")</f>
        <v>MECARTUS HEALTH CARE P LTD</v>
      </c>
    </row>
    <row r="1842">
      <c r="H1842" s="25" t="str">
        <f>IFERROR(__xludf.DUMMYFUNCTION("""COMPUTED_VALUE"""),"MECOSON LABS")</f>
        <v>MECOSON LABS</v>
      </c>
    </row>
    <row r="1843">
      <c r="H1843" s="25" t="str">
        <f>IFERROR(__xludf.DUMMYFUNCTION("""COMPUTED_VALUE"""),"MED MANOR (GLORIA)")</f>
        <v>MED MANOR (GLORIA)</v>
      </c>
    </row>
    <row r="1844">
      <c r="H1844" s="25" t="str">
        <f>IFERROR(__xludf.DUMMYFUNCTION("""COMPUTED_VALUE"""),"MED MANOR (PEDIA)")</f>
        <v>MED MANOR (PEDIA)</v>
      </c>
    </row>
    <row r="1845">
      <c r="H1845" s="25" t="str">
        <f>IFERROR(__xludf.DUMMYFUNCTION("""COMPUTED_VALUE"""),"Med Manor Organics Pvt Ltd")</f>
        <v>Med Manor Organics Pvt Ltd</v>
      </c>
    </row>
    <row r="1846">
      <c r="H1846" s="25" t="str">
        <f>IFERROR(__xludf.DUMMYFUNCTION("""COMPUTED_VALUE"""),"MEDCONIC HEALTHCARE")</f>
        <v>MEDCONIC HEALTHCARE</v>
      </c>
    </row>
    <row r="1847">
      <c r="H1847" s="25" t="str">
        <f>IFERROR(__xludf.DUMMYFUNCTION("""COMPUTED_VALUE"""),"MEDCURE ORGANIC")</f>
        <v>MEDCURE ORGANIC</v>
      </c>
    </row>
    <row r="1848">
      <c r="H1848" s="25" t="str">
        <f>IFERROR(__xludf.DUMMYFUNCTION("""COMPUTED_VALUE"""),"MEDFOR BIOSCIENCES PVT LTD")</f>
        <v>MEDFOR BIOSCIENCES PVT LTD</v>
      </c>
    </row>
    <row r="1849">
      <c r="H1849" s="25" t="str">
        <f>IFERROR(__xludf.DUMMYFUNCTION("""COMPUTED_VALUE"""),"MEDI JOHN BIOTECH")</f>
        <v>MEDI JOHN BIOTECH</v>
      </c>
    </row>
    <row r="1850">
      <c r="H1850" s="25" t="str">
        <f>IFERROR(__xludf.DUMMYFUNCTION("""COMPUTED_VALUE"""),"MEDI SURGE IMPEX")</f>
        <v>MEDI SURGE IMPEX</v>
      </c>
    </row>
    <row r="1851">
      <c r="H1851" s="25" t="str">
        <f>IFERROR(__xludf.DUMMYFUNCTION("""COMPUTED_VALUE"""),"MEDIART LIFESCIENCES")</f>
        <v>MEDIART LIFESCIENCES</v>
      </c>
    </row>
    <row r="1852">
      <c r="H1852" s="25" t="str">
        <f>IFERROR(__xludf.DUMMYFUNCTION("""COMPUTED_VALUE"""),"MEDIC")</f>
        <v>MEDIC</v>
      </c>
    </row>
    <row r="1853">
      <c r="H1853" s="25" t="str">
        <f>IFERROR(__xludf.DUMMYFUNCTION("""COMPUTED_VALUE"""),"MEDIC REMEDIES")</f>
        <v>MEDIC REMEDIES</v>
      </c>
    </row>
    <row r="1854">
      <c r="H1854" s="25" t="str">
        <f>IFERROR(__xludf.DUMMYFUNCTION("""COMPUTED_VALUE"""),"MEDICEVO HEALTHCARE")</f>
        <v>MEDICEVO HEALTHCARE</v>
      </c>
    </row>
    <row r="1855">
      <c r="H1855" s="25" t="str">
        <f>IFERROR(__xludf.DUMMYFUNCTION("""COMPUTED_VALUE"""),"MEDICHI BIO CARE")</f>
        <v>MEDICHI BIO CARE</v>
      </c>
    </row>
    <row r="1856">
      <c r="H1856" s="25" t="str">
        <f>IFERROR(__xludf.DUMMYFUNCTION("""COMPUTED_VALUE"""),"MEDICIS LIFE SCIENCES")</f>
        <v>MEDICIS LIFE SCIENCES</v>
      </c>
    </row>
    <row r="1857">
      <c r="H1857" s="25" t="str">
        <f>IFERROR(__xludf.DUMMYFUNCTION("""COMPUTED_VALUE"""),"MEDICO HEALTHCARE")</f>
        <v>MEDICO HEALTHCARE</v>
      </c>
    </row>
    <row r="1858">
      <c r="H1858" s="25" t="str">
        <f>IFERROR(__xludf.DUMMYFUNCTION("""COMPUTED_VALUE"""),"MEDICRUX HEALTHCARE")</f>
        <v>MEDICRUX HEALTHCARE</v>
      </c>
    </row>
    <row r="1859">
      <c r="H1859" s="25" t="str">
        <f>IFERROR(__xludf.DUMMYFUNCTION("""COMPUTED_VALUE"""),"MEDICULE HEALTHCARE")</f>
        <v>MEDICULE HEALTHCARE</v>
      </c>
    </row>
    <row r="1860">
      <c r="H1860" s="25" t="str">
        <f>IFERROR(__xludf.DUMMYFUNCTION("""COMPUTED_VALUE"""),"MEDICUS HEALTH")</f>
        <v>MEDICUS HEALTH</v>
      </c>
    </row>
    <row r="1861">
      <c r="H1861" s="25" t="str">
        <f>IFERROR(__xludf.DUMMYFUNCTION("""COMPUTED_VALUE"""),"MEDICUS LABS")</f>
        <v>MEDICUS LABS</v>
      </c>
    </row>
    <row r="1862">
      <c r="H1862" s="25" t="str">
        <f>IFERROR(__xludf.DUMMYFUNCTION("""COMPUTED_VALUE"""),"MEDIEX HEALTHCARE")</f>
        <v>MEDIEX HEALTHCARE</v>
      </c>
    </row>
    <row r="1863">
      <c r="H1863" s="25" t="str">
        <f>IFERROR(__xludf.DUMMYFUNCTION("""COMPUTED_VALUE"""),"MEDIFAITH BIOTECH")</f>
        <v>MEDIFAITH BIOTECH</v>
      </c>
    </row>
    <row r="1864">
      <c r="H1864" s="25" t="str">
        <f>IFERROR(__xludf.DUMMYFUNCTION("""COMPUTED_VALUE"""),"MEDIFIT")</f>
        <v>MEDIFIT</v>
      </c>
    </row>
    <row r="1865">
      <c r="H1865" s="25" t="str">
        <f>IFERROR(__xludf.DUMMYFUNCTION("""COMPUTED_VALUE"""),"MEDIGUARD MARKETING")</f>
        <v>MEDIGUARD MARKETING</v>
      </c>
    </row>
    <row r="1866">
      <c r="H1866" s="25" t="str">
        <f>IFERROR(__xludf.DUMMYFUNCTION("""COMPUTED_VALUE"""),"MEDILANCE HEALTHCARE")</f>
        <v>MEDILANCE HEALTHCARE</v>
      </c>
    </row>
    <row r="1867">
      <c r="H1867" s="25" t="str">
        <f>IFERROR(__xludf.DUMMYFUNCTION("""COMPUTED_VALUE"""),"MEDIMARK BIOTECH")</f>
        <v>MEDIMARK BIOTECH</v>
      </c>
    </row>
    <row r="1868">
      <c r="H1868" s="25" t="str">
        <f>IFERROR(__xludf.DUMMYFUNCTION("""COMPUTED_VALUE"""),"MEDINN BELLE HERBAL CARE PVT LTD")</f>
        <v>MEDINN BELLE HERBAL CARE PVT LTD</v>
      </c>
    </row>
    <row r="1869">
      <c r="H1869" s="25" t="str">
        <f>IFERROR(__xludf.DUMMYFUNCTION("""COMPUTED_VALUE"""),"MEDINOVA")</f>
        <v>MEDINOVA</v>
      </c>
    </row>
    <row r="1870">
      <c r="H1870" s="25" t="str">
        <f>IFERROR(__xludf.DUMMYFUNCTION("""COMPUTED_VALUE"""),"Medispan Ltd")</f>
        <v>Medispan Ltd</v>
      </c>
    </row>
    <row r="1871">
      <c r="H1871" s="25" t="str">
        <f>IFERROR(__xludf.DUMMYFUNCTION("""COMPUTED_VALUE"""),"MEDITECH DEVICES")</f>
        <v>MEDITECH DEVICES</v>
      </c>
    </row>
    <row r="1872">
      <c r="H1872" s="25" t="str">
        <f>IFERROR(__xludf.DUMMYFUNCTION("""COMPUTED_VALUE"""),"MEDITEK INDIA")</f>
        <v>MEDITEK INDIA</v>
      </c>
    </row>
    <row r="1873">
      <c r="H1873" s="25" t="str">
        <f>IFERROR(__xludf.DUMMYFUNCTION("""COMPUTED_VALUE"""),"MEDITEX PHARMA PVT LTD")</f>
        <v>MEDITEX PHARMA PVT LTD</v>
      </c>
    </row>
    <row r="1874">
      <c r="H1874" s="25" t="str">
        <f>IFERROR(__xludf.DUMMYFUNCTION("""COMPUTED_VALUE"""),"MEDIVAXIA PHARMA")</f>
        <v>MEDIVAXIA PHARMA</v>
      </c>
    </row>
    <row r="1875">
      <c r="H1875" s="25" t="str">
        <f>IFERROR(__xludf.DUMMYFUNCTION("""COMPUTED_VALUE"""),"MEDIVISON PHARM")</f>
        <v>MEDIVISON PHARM</v>
      </c>
    </row>
    <row r="1876">
      <c r="H1876" s="25" t="str">
        <f>IFERROR(__xludf.DUMMYFUNCTION("""COMPUTED_VALUE"""),"MEDIVISTA LIFE SCIENCES P LTD")</f>
        <v>MEDIVISTA LIFE SCIENCES P LTD</v>
      </c>
    </row>
    <row r="1877">
      <c r="H1877" s="25" t="str">
        <f>IFERROR(__xludf.DUMMYFUNCTION("""COMPUTED_VALUE"""),"MEDLEY (GLYCEKARE)")</f>
        <v>MEDLEY (GLYCEKARE)</v>
      </c>
    </row>
    <row r="1878">
      <c r="H1878" s="25" t="str">
        <f>IFERROR(__xludf.DUMMYFUNCTION("""COMPUTED_VALUE"""),"MEDLEY (NUTRAKARE)")</f>
        <v>MEDLEY (NUTRAKARE)</v>
      </c>
    </row>
    <row r="1879">
      <c r="H1879" s="25" t="str">
        <f>IFERROR(__xludf.DUMMYFUNCTION("""COMPUTED_VALUE"""),"MEDLEY (OSTEOCARE)")</f>
        <v>MEDLEY (OSTEOCARE)</v>
      </c>
    </row>
    <row r="1880">
      <c r="H1880" s="25" t="str">
        <f>IFERROR(__xludf.DUMMYFUNCTION("""COMPUTED_VALUE"""),"MEDLEY (SUPRAKARE)")</f>
        <v>MEDLEY (SUPRAKARE)</v>
      </c>
    </row>
    <row r="1881">
      <c r="H1881" s="25" t="str">
        <f>IFERROR(__xludf.DUMMYFUNCTION("""COMPUTED_VALUE"""),"MEDLEY (VAZOKARE)")</f>
        <v>MEDLEY (VAZOKARE)</v>
      </c>
    </row>
    <row r="1882">
      <c r="H1882" s="25" t="str">
        <f>IFERROR(__xludf.DUMMYFUNCTION("""COMPUTED_VALUE"""),"MEDLEY (ZENKARE)")</f>
        <v>MEDLEY (ZENKARE)</v>
      </c>
    </row>
    <row r="1883">
      <c r="H1883" s="25" t="str">
        <f>IFERROR(__xludf.DUMMYFUNCTION("""COMPUTED_VALUE"""),"Medley Pharmaceuticals")</f>
        <v>Medley Pharmaceuticals</v>
      </c>
    </row>
    <row r="1884">
      <c r="H1884" s="25" t="str">
        <f>IFERROR(__xludf.DUMMYFUNCTION("""COMPUTED_VALUE"""),"Medley Pharmaceuticals (GENERIC)")</f>
        <v>Medley Pharmaceuticals (GENERIC)</v>
      </c>
    </row>
    <row r="1885">
      <c r="H1885" s="25" t="str">
        <f>IFERROR(__xludf.DUMMYFUNCTION("""COMPUTED_VALUE"""),"Medo Pharma")</f>
        <v>Medo Pharma</v>
      </c>
    </row>
    <row r="1886">
      <c r="H1886" s="25" t="str">
        <f>IFERROR(__xludf.DUMMYFUNCTION("""COMPUTED_VALUE"""),"MEDO PHARMA (CARDICARE)")</f>
        <v>MEDO PHARMA (CARDICARE)</v>
      </c>
    </row>
    <row r="1887">
      <c r="H1887" s="25" t="str">
        <f>IFERROR(__xludf.DUMMYFUNCTION("""COMPUTED_VALUE"""),"MEDOK LIFESCIENCES PVT LTD")</f>
        <v>MEDOK LIFESCIENCES PVT LTD</v>
      </c>
    </row>
    <row r="1888">
      <c r="H1888" s="25" t="str">
        <f>IFERROR(__xludf.DUMMYFUNCTION("""COMPUTED_VALUE"""),"MEDOPHARM (JUBILANT)")</f>
        <v>MEDOPHARM (JUBILANT)</v>
      </c>
    </row>
    <row r="1889">
      <c r="H1889" s="25" t="str">
        <f>IFERROR(__xludf.DUMMYFUNCTION("""COMPUTED_VALUE"""),"MEDOZ PHARMA")</f>
        <v>MEDOZ PHARMA</v>
      </c>
    </row>
    <row r="1890">
      <c r="H1890" s="25" t="str">
        <f>IFERROR(__xludf.DUMMYFUNCTION("""COMPUTED_VALUE"""),"MEDPURE LIFE SCIENCE")</f>
        <v>MEDPURE LIFE SCIENCE</v>
      </c>
    </row>
    <row r="1891">
      <c r="H1891" s="25" t="str">
        <f>IFERROR(__xludf.DUMMYFUNCTION("""COMPUTED_VALUE"""),"Medreich Lifecare Ltd (SAIMIRA)")</f>
        <v>Medreich Lifecare Ltd (SAIMIRA)</v>
      </c>
    </row>
    <row r="1892">
      <c r="H1892" s="25" t="str">
        <f>IFERROR(__xludf.DUMMYFUNCTION("""COMPUTED_VALUE"""),"Medsol India Overseas Pvt Ltd")</f>
        <v>Medsol India Overseas Pvt Ltd</v>
      </c>
    </row>
    <row r="1893">
      <c r="H1893" s="25" t="str">
        <f>IFERROR(__xludf.DUMMYFUNCTION("""COMPUTED_VALUE"""),"MEDTRONIC")</f>
        <v>MEDTRONIC</v>
      </c>
    </row>
    <row r="1894">
      <c r="H1894" s="25" t="str">
        <f>IFERROR(__xludf.DUMMYFUNCTION("""COMPUTED_VALUE"""),"MEDWIN IMPEX PVT LTD")</f>
        <v>MEDWIN IMPEX PVT LTD</v>
      </c>
    </row>
    <row r="1895">
      <c r="H1895" s="25" t="str">
        <f>IFERROR(__xludf.DUMMYFUNCTION("""COMPUTED_VALUE"""),"MEDWIN PHARMA")</f>
        <v>MEDWIN PHARMA</v>
      </c>
    </row>
    <row r="1896">
      <c r="H1896" s="25" t="str">
        <f>IFERROR(__xludf.DUMMYFUNCTION("""COMPUTED_VALUE"""),"MEETHI PHARMACEUTICALS")</f>
        <v>MEETHI PHARMACEUTICALS</v>
      </c>
    </row>
    <row r="1897">
      <c r="H1897" s="25" t="str">
        <f>IFERROR(__xludf.DUMMYFUNCTION("""COMPUTED_VALUE"""),"Mefro Pharmaceuticals (P) Ltd")</f>
        <v>Mefro Pharmaceuticals (P) Ltd</v>
      </c>
    </row>
    <row r="1898">
      <c r="H1898" s="25" t="str">
        <f>IFERROR(__xludf.DUMMYFUNCTION("""COMPUTED_VALUE"""),"Megacorp Healthcare Pvt Ltd")</f>
        <v>Megacorp Healthcare Pvt Ltd</v>
      </c>
    </row>
    <row r="1899">
      <c r="H1899" s="25" t="str">
        <f>IFERROR(__xludf.DUMMYFUNCTION("""COMPUTED_VALUE"""),"MEGHDOOT GRAM UDYOG")</f>
        <v>MEGHDOOT GRAM UDYOG</v>
      </c>
    </row>
    <row r="1900">
      <c r="H1900" s="25" t="str">
        <f>IFERROR(__xludf.DUMMYFUNCTION("""COMPUTED_VALUE"""),"MEGMA HEALTHCARE")</f>
        <v>MEGMA HEALTHCARE</v>
      </c>
    </row>
    <row r="1901">
      <c r="H1901" s="25" t="str">
        <f>IFERROR(__xludf.DUMMYFUNCTION("""COMPUTED_VALUE"""),"MEHAR LABORATORIE")</f>
        <v>MEHAR LABORATORIE</v>
      </c>
    </row>
    <row r="1902">
      <c r="H1902" s="25" t="str">
        <f>IFERROR(__xludf.DUMMYFUNCTION("""COMPUTED_VALUE"""),"MEHAR LABORATORIES")</f>
        <v>MEHAR LABORATORIES</v>
      </c>
    </row>
    <row r="1903">
      <c r="H1903" s="25" t="str">
        <f>IFERROR(__xludf.DUMMYFUNCTION("""COMPUTED_VALUE"""),"MEHTA PHARMACEUTICALS PVT LTD")</f>
        <v>MEHTA PHARMACEUTICALS PVT LTD</v>
      </c>
    </row>
    <row r="1904">
      <c r="H1904" s="25" t="str">
        <f>IFERROR(__xludf.DUMMYFUNCTION("""COMPUTED_VALUE"""),"Menarini India Pvt Ltd")</f>
        <v>Menarini India Pvt Ltd</v>
      </c>
    </row>
    <row r="1905">
      <c r="H1905" s="25" t="str">
        <f>IFERROR(__xludf.DUMMYFUNCTION("""COMPUTED_VALUE"""),"MERCK (P&amp;G)")</f>
        <v>MERCK (P&amp;G)</v>
      </c>
    </row>
    <row r="1906">
      <c r="H1906" s="25" t="str">
        <f>IFERROR(__xludf.DUMMYFUNCTION("""COMPUTED_VALUE"""),"Merck Ltd")</f>
        <v>Merck Ltd</v>
      </c>
    </row>
    <row r="1907">
      <c r="H1907" s="25" t="str">
        <f>IFERROR(__xludf.DUMMYFUNCTION("""COMPUTED_VALUE"""),"Merck Ltd (CHC)")</f>
        <v>Merck Ltd (CHC)</v>
      </c>
    </row>
    <row r="1908">
      <c r="H1908" s="25" t="str">
        <f>IFERROR(__xludf.DUMMYFUNCTION("""COMPUTED_VALUE"""),"Merck Ltd (CMC)")</f>
        <v>Merck Ltd (CMC)</v>
      </c>
    </row>
    <row r="1909">
      <c r="H1909" s="25" t="str">
        <f>IFERROR(__xludf.DUMMYFUNCTION("""COMPUTED_VALUE"""),"Merck Ltd (GENERAL MEDCINE)")</f>
        <v>Merck Ltd (GENERAL MEDCINE)</v>
      </c>
    </row>
    <row r="1910">
      <c r="H1910" s="25" t="str">
        <f>IFERROR(__xludf.DUMMYFUNCTION("""COMPUTED_VALUE"""),"Merck Ltd (OTX)")</f>
        <v>Merck Ltd (OTX)</v>
      </c>
    </row>
    <row r="1911">
      <c r="H1911" s="25" t="str">
        <f>IFERROR(__xludf.DUMMYFUNCTION("""COMPUTED_VALUE"""),"Merck Ltd (WHC)")</f>
        <v>Merck Ltd (WHC)</v>
      </c>
    </row>
    <row r="1912">
      <c r="H1912" s="25" t="str">
        <f>IFERROR(__xludf.DUMMYFUNCTION("""COMPUTED_VALUE"""),"MERCK SPECIALITIES PVT LTD")</f>
        <v>MERCK SPECIALITIES PVT LTD</v>
      </c>
    </row>
    <row r="1913">
      <c r="H1913" s="25" t="str">
        <f>IFERROR(__xludf.DUMMYFUNCTION("""COMPUTED_VALUE"""),"Mercury Healthcare Pvt Ltd")</f>
        <v>Mercury Healthcare Pvt Ltd</v>
      </c>
    </row>
    <row r="1914">
      <c r="H1914" s="25" t="str">
        <f>IFERROR(__xludf.DUMMYFUNCTION("""COMPUTED_VALUE"""),"MERCURY LABORATORIES")</f>
        <v>MERCURY LABORATORIES</v>
      </c>
    </row>
    <row r="1915">
      <c r="H1915" s="25" t="str">
        <f>IFERROR(__xludf.DUMMYFUNCTION("""COMPUTED_VALUE"""),"MERIDIAN ENTERPRISES")</f>
        <v>MERIDIAN ENTERPRISES</v>
      </c>
    </row>
    <row r="1916">
      <c r="H1916" s="25" t="str">
        <f>IFERROR(__xludf.DUMMYFUNCTION("""COMPUTED_VALUE"""),"Meridian Medicare Ltd")</f>
        <v>Meridian Medicare Ltd</v>
      </c>
    </row>
    <row r="1917">
      <c r="H1917" s="25" t="str">
        <f>IFERROR(__xludf.DUMMYFUNCTION("""COMPUTED_VALUE"""),"Merion Care")</f>
        <v>Merion Care</v>
      </c>
    </row>
    <row r="1918">
      <c r="H1918" s="25" t="str">
        <f>IFERROR(__xludf.DUMMYFUNCTION("""COMPUTED_VALUE"""),"MERLIN PHARMA PVT LTD")</f>
        <v>MERLIN PHARMA PVT LTD</v>
      </c>
    </row>
    <row r="1919">
      <c r="H1919" s="25" t="str">
        <f>IFERROR(__xludf.DUMMYFUNCTION("""COMPUTED_VALUE"""),"MERRUT HOMOEO PHARMACY")</f>
        <v>MERRUT HOMOEO PHARMACY</v>
      </c>
    </row>
    <row r="1920">
      <c r="H1920" s="25" t="str">
        <f>IFERROR(__xludf.DUMMYFUNCTION("""COMPUTED_VALUE"""),"Meryl Pharma")</f>
        <v>Meryl Pharma</v>
      </c>
    </row>
    <row r="1921">
      <c r="H1921" s="25" t="str">
        <f>IFERROR(__xludf.DUMMYFUNCTION("""COMPUTED_VALUE"""),"MESOVA PHARMACEUTICAL")</f>
        <v>MESOVA PHARMACEUTICAL</v>
      </c>
    </row>
    <row r="1922">
      <c r="H1922" s="25" t="str">
        <f>IFERROR(__xludf.DUMMYFUNCTION("""COMPUTED_VALUE"""),"MEWAR AYURVEDIC WORKS")</f>
        <v>MEWAR AYURVEDIC WORKS</v>
      </c>
    </row>
    <row r="1923">
      <c r="H1923" s="25" t="str">
        <f>IFERROR(__xludf.DUMMYFUNCTION("""COMPUTED_VALUE"""),"MEWELL BIOTECH")</f>
        <v>MEWELL BIOTECH</v>
      </c>
    </row>
    <row r="1924">
      <c r="H1924" s="25" t="str">
        <f>IFERROR(__xludf.DUMMYFUNCTION("""COMPUTED_VALUE"""),"MEXX VISION PHARMA")</f>
        <v>MEXX VISION PHARMA</v>
      </c>
    </row>
    <row r="1925">
      <c r="H1925" s="25" t="str">
        <f>IFERROR(__xludf.DUMMYFUNCTION("""COMPUTED_VALUE"""),"MEYER ORGANICS (CELLAGE)")</f>
        <v>MEYER ORGANICS (CELLAGE)</v>
      </c>
    </row>
    <row r="1926">
      <c r="H1926" s="25" t="str">
        <f>IFERROR(__xludf.DUMMYFUNCTION("""COMPUTED_VALUE"""),"MEYER ORGANICS (EXCEL)")</f>
        <v>MEYER ORGANICS (EXCEL)</v>
      </c>
    </row>
    <row r="1927">
      <c r="H1927" s="25" t="str">
        <f>IFERROR(__xludf.DUMMYFUNCTION("""COMPUTED_VALUE"""),"MEYER ORGANICS (SALES)")</f>
        <v>MEYER ORGANICS (SALES)</v>
      </c>
    </row>
    <row r="1928">
      <c r="H1928" s="25" t="str">
        <f>IFERROR(__xludf.DUMMYFUNCTION("""COMPUTED_VALUE"""),"Meyer Organics Pvt Ltd")</f>
        <v>Meyer Organics Pvt Ltd</v>
      </c>
    </row>
    <row r="1929">
      <c r="H1929" s="25" t="str">
        <f>IFERROR(__xludf.DUMMYFUNCTION("""COMPUTED_VALUE"""),"MIBSONS PHARMACEUTICAL")</f>
        <v>MIBSONS PHARMACEUTICAL</v>
      </c>
    </row>
    <row r="1930">
      <c r="H1930" s="25" t="str">
        <f>IFERROR(__xludf.DUMMYFUNCTION("""COMPUTED_VALUE"""),"MICRO (CARDICARE)")</f>
        <v>MICRO (CARDICARE)</v>
      </c>
    </row>
    <row r="1931">
      <c r="H1931" s="25" t="str">
        <f>IFERROR(__xludf.DUMMYFUNCTION("""COMPUTED_VALUE"""),"MICRO (CARSYON II)")</f>
        <v>MICRO (CARSYON II)</v>
      </c>
    </row>
    <row r="1932">
      <c r="H1932" s="25" t="str">
        <f>IFERROR(__xludf.DUMMYFUNCTION("""COMPUTED_VALUE"""),"MICRO (CARSYON III)")</f>
        <v>MICRO (CARSYON III)</v>
      </c>
    </row>
    <row r="1933">
      <c r="H1933" s="25" t="str">
        <f>IFERROR(__xludf.DUMMYFUNCTION("""COMPUTED_VALUE"""),"MICRO (DERMA)")</f>
        <v>MICRO (DERMA)</v>
      </c>
    </row>
    <row r="1934">
      <c r="H1934" s="25" t="str">
        <f>IFERROR(__xludf.DUMMYFUNCTION("""COMPUTED_VALUE"""),"MICRO (DTF)")</f>
        <v>MICRO (DTF)</v>
      </c>
    </row>
    <row r="1935">
      <c r="H1935" s="25" t="str">
        <f>IFERROR(__xludf.DUMMYFUNCTION("""COMPUTED_VALUE"""),"MICRO (GRATIA)")</f>
        <v>MICRO (GRATIA)</v>
      </c>
    </row>
    <row r="1936">
      <c r="H1936" s="25" t="str">
        <f>IFERROR(__xludf.DUMMYFUNCTION("""COMPUTED_VALUE"""),"MICRO (GTF II)")</f>
        <v>MICRO (GTF II)</v>
      </c>
    </row>
    <row r="1937">
      <c r="H1937" s="25" t="str">
        <f>IFERROR(__xludf.DUMMYFUNCTION("""COMPUTED_VALUE"""),"MICRO (LUMIRA)")</f>
        <v>MICRO (LUMIRA)</v>
      </c>
    </row>
    <row r="1938">
      <c r="H1938" s="25" t="str">
        <f>IFERROR(__xludf.DUMMYFUNCTION("""COMPUTED_VALUE"""),"MICRO (MAIN)")</f>
        <v>MICRO (MAIN)</v>
      </c>
    </row>
    <row r="1939">
      <c r="H1939" s="25" t="str">
        <f>IFERROR(__xludf.DUMMYFUNCTION("""COMPUTED_VALUE"""),"MICRO (OTF)")</f>
        <v>MICRO (OTF)</v>
      </c>
    </row>
    <row r="1940">
      <c r="H1940" s="25" t="str">
        <f>IFERROR(__xludf.DUMMYFUNCTION("""COMPUTED_VALUE"""),"MICRO (VISION 1)")</f>
        <v>MICRO (VISION 1)</v>
      </c>
    </row>
    <row r="1941">
      <c r="H1941" s="25" t="str">
        <f>IFERROR(__xludf.DUMMYFUNCTION("""COMPUTED_VALUE"""),"MICRO (VISION 2)")</f>
        <v>MICRO (VISION 2)</v>
      </c>
    </row>
    <row r="1942">
      <c r="H1942" s="25" t="str">
        <f>IFERROR(__xludf.DUMMYFUNCTION("""COMPUTED_VALUE"""),"MICRO (VIVAA)")</f>
        <v>MICRO (VIVAA)</v>
      </c>
    </row>
    <row r="1943">
      <c r="H1943" s="25" t="str">
        <f>IFERROR(__xludf.DUMMYFUNCTION("""COMPUTED_VALUE"""),"MICRO CARSYON CARDIAC")</f>
        <v>MICRO CARSYON CARDIAC</v>
      </c>
    </row>
    <row r="1944">
      <c r="H1944" s="25" t="str">
        <f>IFERROR(__xludf.DUMMYFUNCTION("""COMPUTED_VALUE"""),"MICRO HELTHCARE LTD.")</f>
        <v>MICRO HELTHCARE LTD.</v>
      </c>
    </row>
    <row r="1945">
      <c r="H1945" s="25" t="str">
        <f>IFERROR(__xludf.DUMMYFUNCTION("""COMPUTED_VALUE"""),"Micro Labs (BROWN &amp; BURK)")</f>
        <v>Micro Labs (BROWN &amp; BURK)</v>
      </c>
    </row>
    <row r="1946">
      <c r="H1946" s="25" t="str">
        <f>IFERROR(__xludf.DUMMYFUNCTION("""COMPUTED_VALUE"""),"Micro Labs Ltd")</f>
        <v>Micro Labs Ltd</v>
      </c>
    </row>
    <row r="1947">
      <c r="H1947" s="25" t="str">
        <f>IFERROR(__xludf.DUMMYFUNCTION("""COMPUTED_VALUE"""),"Micro Labs Ltd (NOVA)")</f>
        <v>Micro Labs Ltd (NOVA)</v>
      </c>
    </row>
    <row r="1948">
      <c r="H1948" s="25" t="str">
        <f>IFERROR(__xludf.DUMMYFUNCTION("""COMPUTED_VALUE"""),"Micro Labs Ltd (SPECIALITY)")</f>
        <v>Micro Labs Ltd (SPECIALITY)</v>
      </c>
    </row>
    <row r="1949">
      <c r="H1949" s="25" t="str">
        <f>IFERROR(__xludf.DUMMYFUNCTION("""COMPUTED_VALUE"""),"MICROGEN HYGIENE PVT LTD")</f>
        <v>MICROGEN HYGIENE PVT LTD</v>
      </c>
    </row>
    <row r="1950">
      <c r="H1950" s="25" t="str">
        <f>IFERROR(__xludf.DUMMYFUNCTION("""COMPUTED_VALUE"""),"MICROPARK LOGISTICS PVT LTD (WELLNESS)")</f>
        <v>MICROPARK LOGISTICS PVT LTD (WELLNESS)</v>
      </c>
    </row>
    <row r="1951">
      <c r="H1951" s="25" t="str">
        <f>IFERROR(__xludf.DUMMYFUNCTION("""COMPUTED_VALUE"""),"MICROPOLIS LIFESCIENCES PVT LTD")</f>
        <v>MICROPOLIS LIFESCIENCES PVT LTD</v>
      </c>
    </row>
    <row r="1952">
      <c r="H1952" s="25" t="str">
        <f>IFERROR(__xludf.DUMMYFUNCTION("""COMPUTED_VALUE"""),"MICROWIN LABORATORIES LTD")</f>
        <v>MICROWIN LABORATORIES LTD</v>
      </c>
    </row>
    <row r="1953">
      <c r="H1953" s="25" t="str">
        <f>IFERROR(__xludf.DUMMYFUNCTION("""COMPUTED_VALUE"""),"Midas Healthcare Ltd")</f>
        <v>Midas Healthcare Ltd</v>
      </c>
    </row>
    <row r="1954">
      <c r="H1954" s="25" t="str">
        <f>IFERROR(__xludf.DUMMYFUNCTION("""COMPUTED_VALUE"""),"MidasCare Pharmaceuticals Pvt Ltd")</f>
        <v>MidasCare Pharmaceuticals Pvt Ltd</v>
      </c>
    </row>
    <row r="1955">
      <c r="H1955" s="25" t="str">
        <f>IFERROR(__xludf.DUMMYFUNCTION("""COMPUTED_VALUE"""),"Millennium Herbal Care")</f>
        <v>Millennium Herbal Care</v>
      </c>
    </row>
    <row r="1956">
      <c r="H1956" s="25" t="str">
        <f>IFERROR(__xludf.DUMMYFUNCTION("""COMPUTED_VALUE"""),"MIRACALUS")</f>
        <v>MIRACALUS</v>
      </c>
    </row>
    <row r="1957">
      <c r="H1957" s="25" t="str">
        <f>IFERROR(__xludf.DUMMYFUNCTION("""COMPUTED_VALUE"""),"MIRACALUS PHARMA PVT LTD")</f>
        <v>MIRACALUS PHARMA PVT LTD</v>
      </c>
    </row>
    <row r="1958">
      <c r="H1958" s="25" t="str">
        <f>IFERROR(__xludf.DUMMYFUNCTION("""COMPUTED_VALUE"""),"MIRCO ( SYNAPSE)")</f>
        <v>MIRCO ( SYNAPSE)</v>
      </c>
    </row>
    <row r="1959">
      <c r="H1959" s="25" t="str">
        <f>IFERROR(__xludf.DUMMYFUNCTION("""COMPUTED_VALUE"""),"MIRCO (CNS)")</f>
        <v>MIRCO (CNS)</v>
      </c>
    </row>
    <row r="1960">
      <c r="H1960" s="25" t="str">
        <f>IFERROR(__xludf.DUMMYFUNCTION("""COMPUTED_VALUE"""),"MIRCO (SYNAPSE)")</f>
        <v>MIRCO (SYNAPSE)</v>
      </c>
    </row>
    <row r="1961">
      <c r="H1961" s="25" t="str">
        <f>IFERROR(__xludf.DUMMYFUNCTION("""COMPUTED_VALUE"""),"MIRIX LABORATORIES")</f>
        <v>MIRIX LABORATORIES</v>
      </c>
    </row>
    <row r="1962">
      <c r="H1962" s="25" t="str">
        <f>IFERROR(__xludf.DUMMYFUNCTION("""COMPUTED_VALUE"""),"MISHA AYURVEDA")</f>
        <v>MISHA AYURVEDA</v>
      </c>
    </row>
    <row r="1963">
      <c r="H1963" s="25" t="str">
        <f>IFERROR(__xludf.DUMMYFUNCTION("""COMPUTED_VALUE"""),"MISSION RESEARCH LAB")</f>
        <v>MISSION RESEARCH LAB</v>
      </c>
    </row>
    <row r="1964">
      <c r="H1964" s="25" t="str">
        <f>IFERROR(__xludf.DUMMYFUNCTION("""COMPUTED_VALUE"""),"MMC HEALTHCARE")</f>
        <v>MMC HEALTHCARE</v>
      </c>
    </row>
    <row r="1965">
      <c r="H1965" s="25" t="str">
        <f>IFERROR(__xludf.DUMMYFUNCTION("""COMPUTED_VALUE"""),"MMG HEALTH CARE")</f>
        <v>MMG HEALTH CARE</v>
      </c>
    </row>
    <row r="1966">
      <c r="H1966" s="25" t="str">
        <f>IFERROR(__xludf.DUMMYFUNCTION("""COMPUTED_VALUE"""),"MODI MUNDI PHARMA (GROVIVA)")</f>
        <v>MODI MUNDI PHARMA (GROVIVA)</v>
      </c>
    </row>
    <row r="1967">
      <c r="H1967" s="25" t="str">
        <f>IFERROR(__xludf.DUMMYFUNCTION("""COMPUTED_VALUE"""),"MODI MUNDI PHARMA (MAXVIDA)")</f>
        <v>MODI MUNDI PHARMA (MAXVIDA)</v>
      </c>
    </row>
    <row r="1968">
      <c r="H1968" s="25" t="str">
        <f>IFERROR(__xludf.DUMMYFUNCTION("""COMPUTED_VALUE"""),"Modi Mundi Pharma Pvt Ltd")</f>
        <v>Modi Mundi Pharma Pvt Ltd</v>
      </c>
    </row>
    <row r="1969">
      <c r="H1969" s="25" t="str">
        <f>IFERROR(__xludf.DUMMYFUNCTION("""COMPUTED_VALUE"""),"MOHAMMEDIA PRODUCTS")</f>
        <v>MOHAMMEDIA PRODUCTS</v>
      </c>
    </row>
    <row r="1970">
      <c r="H1970" s="25" t="str">
        <f>IFERROR(__xludf.DUMMYFUNCTION("""COMPUTED_VALUE"""),"Molekule India Pvt Ltd")</f>
        <v>Molekule India Pvt Ltd</v>
      </c>
    </row>
    <row r="1971">
      <c r="H1971" s="25" t="str">
        <f>IFERROR(__xludf.DUMMYFUNCTION("""COMPUTED_VALUE"""),"MONJI VISHRAM &amp; COMPANY")</f>
        <v>MONJI VISHRAM &amp; COMPANY</v>
      </c>
    </row>
    <row r="1972">
      <c r="H1972" s="25" t="str">
        <f>IFERROR(__xludf.DUMMYFUNCTION("""COMPUTED_VALUE"""),"MONOPHARMA P LTD")</f>
        <v>MONOPHARMA P LTD</v>
      </c>
    </row>
    <row r="1973">
      <c r="H1973" s="25" t="str">
        <f>IFERROR(__xludf.DUMMYFUNCTION("""COMPUTED_VALUE"""),"MONTA REMEDIES")</f>
        <v>MONTA REMEDIES</v>
      </c>
    </row>
    <row r="1974">
      <c r="H1974" s="25" t="str">
        <f>IFERROR(__xludf.DUMMYFUNCTION("""COMPUTED_VALUE"""),"MONTANA REMEDIES")</f>
        <v>MONTANA REMEDIES</v>
      </c>
    </row>
    <row r="1975">
      <c r="H1975" s="25" t="str">
        <f>IFERROR(__xludf.DUMMYFUNCTION("""COMPUTED_VALUE"""),"MOREPEN LABORATORIES (GENERIC)")</f>
        <v>MOREPEN LABORATORIES (GENERIC)</v>
      </c>
    </row>
    <row r="1976">
      <c r="H1976" s="25" t="str">
        <f>IFERROR(__xludf.DUMMYFUNCTION("""COMPUTED_VALUE"""),"Morepen Laboratories Ltd")</f>
        <v>Morepen Laboratories Ltd</v>
      </c>
    </row>
    <row r="1977">
      <c r="H1977" s="25" t="str">
        <f>IFERROR(__xludf.DUMMYFUNCTION("""COMPUTED_VALUE"""),"MORPHUS PHARMACEUTICALS P LTD")</f>
        <v>MORPHUS PHARMACEUTICALS P LTD</v>
      </c>
    </row>
    <row r="1978">
      <c r="H1978" s="25" t="str">
        <f>IFERROR(__xludf.DUMMYFUNCTION("""COMPUTED_VALUE"""),"MORVIN")</f>
        <v>MORVIN</v>
      </c>
    </row>
    <row r="1979">
      <c r="H1979" s="25" t="str">
        <f>IFERROR(__xludf.DUMMYFUNCTION("""COMPUTED_VALUE"""),"MORWIN BIOPHARMA")</f>
        <v>MORWIN BIOPHARMA</v>
      </c>
    </row>
    <row r="1980">
      <c r="H1980" s="25" t="str">
        <f>IFERROR(__xludf.DUMMYFUNCTION("""COMPUTED_VALUE"""),"Mova Pharmaceutical Pvt Ltd")</f>
        <v>Mova Pharmaceutical Pvt Ltd</v>
      </c>
    </row>
    <row r="1981">
      <c r="H1981" s="25" t="str">
        <f>IFERROR(__xludf.DUMMYFUNCTION("""COMPUTED_VALUE"""),"MOVEO PHARMA")</f>
        <v>MOVEO PHARMA</v>
      </c>
    </row>
    <row r="1982">
      <c r="H1982" s="25" t="str">
        <f>IFERROR(__xludf.DUMMYFUNCTION("""COMPUTED_VALUE"""),"MP PHARMA")</f>
        <v>MP PHARMA</v>
      </c>
    </row>
    <row r="1983">
      <c r="H1983" s="25" t="str">
        <f>IFERROR(__xludf.DUMMYFUNCTION("""COMPUTED_VALUE"""),"MRG LABORATORIES")</f>
        <v>MRG LABORATORIES</v>
      </c>
    </row>
    <row r="1984">
      <c r="H1984" s="25" t="str">
        <f>IFERROR(__xludf.DUMMYFUNCTION("""COMPUTED_VALUE"""),"MRHM PHARMACEUTICALS PVT LTD")</f>
        <v>MRHM PHARMACEUTICALS PVT LTD</v>
      </c>
    </row>
    <row r="1985">
      <c r="H1985" s="25" t="str">
        <f>IFERROR(__xludf.DUMMYFUNCTION("""COMPUTED_VALUE"""),"MSD (FULFORD)")</f>
        <v>MSD (FULFORD)</v>
      </c>
    </row>
    <row r="1986">
      <c r="H1986" s="25" t="str">
        <f>IFERROR(__xludf.DUMMYFUNCTION("""COMPUTED_VALUE"""),"MSD (META)")</f>
        <v>MSD (META)</v>
      </c>
    </row>
    <row r="1987">
      <c r="H1987" s="25" t="str">
        <f>IFERROR(__xludf.DUMMYFUNCTION("""COMPUTED_VALUE"""),"MSD (ORGANON)")</f>
        <v>MSD (ORGANON)</v>
      </c>
    </row>
    <row r="1988">
      <c r="H1988" s="25" t="str">
        <f>IFERROR(__xludf.DUMMYFUNCTION("""COMPUTED_VALUE"""),"MSD Pharmaceuticals")</f>
        <v>MSD Pharmaceuticals</v>
      </c>
    </row>
    <row r="1989">
      <c r="H1989" s="25" t="str">
        <f>IFERROR(__xludf.DUMMYFUNCTION("""COMPUTED_VALUE"""),"MSN (CARDIAC)")</f>
        <v>MSN (CARDIAC)</v>
      </c>
    </row>
    <row r="1990">
      <c r="H1990" s="25" t="str">
        <f>IFERROR(__xludf.DUMMYFUNCTION("""COMPUTED_VALUE"""),"MSN (CNS)")</f>
        <v>MSN (CNS)</v>
      </c>
    </row>
    <row r="1991">
      <c r="H1991" s="25" t="str">
        <f>IFERROR(__xludf.DUMMYFUNCTION("""COMPUTED_VALUE"""),"MSN (CV 2)")</f>
        <v>MSN (CV 2)</v>
      </c>
    </row>
    <row r="1992">
      <c r="H1992" s="25" t="str">
        <f>IFERROR(__xludf.DUMMYFUNCTION("""COMPUTED_VALUE"""),"MSN (NEPHRO)")</f>
        <v>MSN (NEPHRO)</v>
      </c>
    </row>
    <row r="1993">
      <c r="H1993" s="25" t="str">
        <f>IFERROR(__xludf.DUMMYFUNCTION("""COMPUTED_VALUE"""),"MSN (URO)")</f>
        <v>MSN (URO)</v>
      </c>
    </row>
    <row r="1994">
      <c r="H1994" s="25" t="str">
        <f>IFERROR(__xludf.DUMMYFUNCTION("""COMPUTED_VALUE"""),"MSN Laboratories")</f>
        <v>MSN Laboratories</v>
      </c>
    </row>
    <row r="1995">
      <c r="H1995" s="25" t="str">
        <f>IFERROR(__xludf.DUMMYFUNCTION("""COMPUTED_VALUE"""),"MU AMRELIA")</f>
        <v>MU AMRELIA</v>
      </c>
    </row>
    <row r="1996">
      <c r="H1996" s="25" t="str">
        <f>IFERROR(__xludf.DUMMYFUNCTION("""COMPUTED_VALUE"""),"MUCOS PHARMA(INDIA)PVT LTD")</f>
        <v>MUCOS PHARMA(INDIA)PVT LTD</v>
      </c>
    </row>
    <row r="1997">
      <c r="H1997" s="25" t="str">
        <f>IFERROR(__xludf.DUMMYFUNCTION("""COMPUTED_VALUE"""),"MULLER &amp; PHIPPS LTD")</f>
        <v>MULLER &amp; PHIPPS LTD</v>
      </c>
    </row>
    <row r="1998">
      <c r="H1998" s="25" t="str">
        <f>IFERROR(__xludf.DUMMYFUNCTION("""COMPUTED_VALUE"""),"MULTANI PHARMACEUTICALS")</f>
        <v>MULTANI PHARMACEUTICALS</v>
      </c>
    </row>
    <row r="1999">
      <c r="H1999" s="25" t="str">
        <f>IFERROR(__xludf.DUMMYFUNCTION("""COMPUTED_VALUE"""),"MULTI FOCAL")</f>
        <v>MULTI FOCAL</v>
      </c>
    </row>
    <row r="2000">
      <c r="H2000" s="25" t="str">
        <f>IFERROR(__xludf.DUMMYFUNCTION("""COMPUTED_VALUE"""),"MUNIMJI &amp;SONS")</f>
        <v>MUNIMJI &amp;SONS</v>
      </c>
    </row>
    <row r="2001">
      <c r="H2001" s="25" t="str">
        <f>IFERROR(__xludf.DUMMYFUNCTION("""COMPUTED_VALUE"""),"MUSHROOM WORLD AYURVED&amp; FOOD")</f>
        <v>MUSHROOM WORLD AYURVED&amp; FOOD</v>
      </c>
    </row>
    <row r="2002">
      <c r="H2002" s="25" t="str">
        <f>IFERROR(__xludf.DUMMYFUNCTION("""COMPUTED_VALUE"""),"MV ENTERPRISES")</f>
        <v>MV ENTERPRISES</v>
      </c>
    </row>
    <row r="2003">
      <c r="H2003" s="25" t="str">
        <f>IFERROR(__xludf.DUMMYFUNCTION("""COMPUTED_VALUE"""),"MYCORION PHARMACEUTICAL")</f>
        <v>MYCORION PHARMACEUTICAL</v>
      </c>
    </row>
    <row r="2004">
      <c r="H2004" s="25" t="str">
        <f>IFERROR(__xludf.DUMMYFUNCTION("""COMPUTED_VALUE"""),"MYLAN PHARMA")</f>
        <v>MYLAN PHARMA</v>
      </c>
    </row>
    <row r="2005">
      <c r="H2005" s="25" t="str">
        <f>IFERROR(__xludf.DUMMYFUNCTION("""COMPUTED_VALUE"""),"NAGARJUN PHARMA")</f>
        <v>NAGARJUN PHARMA</v>
      </c>
    </row>
    <row r="2006">
      <c r="H2006" s="25" t="str">
        <f>IFERROR(__xludf.DUMMYFUNCTION("""COMPUTED_VALUE"""),"NAGARJUNA HERBAL CONCENTRATES")</f>
        <v>NAGARJUNA HERBAL CONCENTRATES</v>
      </c>
    </row>
    <row r="2007">
      <c r="H2007" s="25" t="str">
        <f>IFERROR(__xludf.DUMMYFUNCTION("""COMPUTED_VALUE"""),"NAMAN INDIA")</f>
        <v>NAMAN INDIA</v>
      </c>
    </row>
    <row r="2008">
      <c r="H2008" s="25" t="str">
        <f>IFERROR(__xludf.DUMMYFUNCTION("""COMPUTED_VALUE"""),"NAMCARE BIOTECH LLP")</f>
        <v>NAMCARE BIOTECH LLP</v>
      </c>
    </row>
    <row r="2009">
      <c r="H2009" s="25" t="str">
        <f>IFERROR(__xludf.DUMMYFUNCTION("""COMPUTED_VALUE"""),"NANDADEVI FOOTCARE LTD.")</f>
        <v>NANDADEVI FOOTCARE LTD.</v>
      </c>
    </row>
    <row r="2010">
      <c r="H2010" s="25" t="str">
        <f>IFERROR(__xludf.DUMMYFUNCTION("""COMPUTED_VALUE"""),"NANDEVI FOOT CARE LTD.")</f>
        <v>NANDEVI FOOT CARE LTD.</v>
      </c>
    </row>
    <row r="2011">
      <c r="H2011" s="25" t="str">
        <f>IFERROR(__xludf.DUMMYFUNCTION("""COMPUTED_VALUE"""),"NANO PHARMACEUTICALS")</f>
        <v>NANO PHARMACEUTICALS</v>
      </c>
    </row>
    <row r="2012">
      <c r="H2012" s="25" t="str">
        <f>IFERROR(__xludf.DUMMYFUNCTION("""COMPUTED_VALUE"""),"NANZ MED SCIENCE PHARMA PV")</f>
        <v>NANZ MED SCIENCE PHARMA PV</v>
      </c>
    </row>
    <row r="2013">
      <c r="H2013" s="25" t="str">
        <f>IFERROR(__xludf.DUMMYFUNCTION("""COMPUTED_VALUE"""),"NAR NARAYAN AYURVEDIC PHARMACY")</f>
        <v>NAR NARAYAN AYURVEDIC PHARMACY</v>
      </c>
    </row>
    <row r="2014">
      <c r="H2014" s="25" t="str">
        <f>IFERROR(__xludf.DUMMYFUNCTION("""COMPUTED_VALUE"""),"NASEBERRY LABORATORIES")</f>
        <v>NASEBERRY LABORATORIES</v>
      </c>
    </row>
    <row r="2015">
      <c r="H2015" s="25" t="str">
        <f>IFERROR(__xludf.DUMMYFUNCTION("""COMPUTED_VALUE"""),"Natco Pharma Ltd")</f>
        <v>Natco Pharma Ltd</v>
      </c>
    </row>
    <row r="2016">
      <c r="H2016" s="25" t="str">
        <f>IFERROR(__xludf.DUMMYFUNCTION("""COMPUTED_VALUE"""),"Natco Pharma Ltd (CND DIVISION)")</f>
        <v>Natco Pharma Ltd (CND DIVISION)</v>
      </c>
    </row>
    <row r="2017">
      <c r="H2017" s="25" t="str">
        <f>IFERROR(__xludf.DUMMYFUNCTION("""COMPUTED_VALUE"""),"Natco Pharma Ltd (ONCO DIVISION)")</f>
        <v>Natco Pharma Ltd (ONCO DIVISION)</v>
      </c>
    </row>
    <row r="2018">
      <c r="H2018" s="25" t="str">
        <f>IFERROR(__xludf.DUMMYFUNCTION("""COMPUTED_VALUE"""),"Natco Pharma Ltd (SPL DIVISION)")</f>
        <v>Natco Pharma Ltd (SPL DIVISION)</v>
      </c>
    </row>
    <row r="2019">
      <c r="H2019" s="25" t="str">
        <f>IFERROR(__xludf.DUMMYFUNCTION("""COMPUTED_VALUE"""),"NATIONAL CHEMICAL &amp; PHARMACEUTICAL WORKS")</f>
        <v>NATIONAL CHEMICAL &amp; PHARMACEUTICAL WORKS</v>
      </c>
    </row>
    <row r="2020">
      <c r="H2020" s="25" t="str">
        <f>IFERROR(__xludf.DUMMYFUNCTION("""COMPUTED_VALUE"""),"NATIVE NATURAL HERBAL PRODUCT PVT LTD")</f>
        <v>NATIVE NATURAL HERBAL PRODUCT PVT LTD</v>
      </c>
    </row>
    <row r="2021">
      <c r="H2021" s="25" t="str">
        <f>IFERROR(__xludf.DUMMYFUNCTION("""COMPUTED_VALUE"""),"NATURAL LOOK")</f>
        <v>NATURAL LOOK</v>
      </c>
    </row>
    <row r="2022">
      <c r="H2022" s="25" t="str">
        <f>IFERROR(__xludf.DUMMYFUNCTION("""COMPUTED_VALUE"""),"NATURAL REMEDIS PVT LTD")</f>
        <v>NATURAL REMEDIS PVT LTD</v>
      </c>
    </row>
    <row r="2023">
      <c r="H2023" s="25" t="str">
        <f>IFERROR(__xludf.DUMMYFUNCTION("""COMPUTED_VALUE"""),"NAVIL LABORATORIES PVT LTD")</f>
        <v>NAVIL LABORATORIES PVT LTD</v>
      </c>
    </row>
    <row r="2024">
      <c r="H2024" s="25" t="str">
        <f>IFERROR(__xludf.DUMMYFUNCTION("""COMPUTED_VALUE"""),"NAVIL LABS (LIVAN)")</f>
        <v>NAVIL LABS (LIVAN)</v>
      </c>
    </row>
    <row r="2025">
      <c r="H2025" s="25" t="str">
        <f>IFERROR(__xludf.DUMMYFUNCTION("""COMPUTED_VALUE"""),"NAVKAR")</f>
        <v>NAVKAR</v>
      </c>
    </row>
    <row r="2026">
      <c r="H2026" s="25" t="str">
        <f>IFERROR(__xludf.DUMMYFUNCTION("""COMPUTED_VALUE"""),"Nectar Lifesciences Ltd.")</f>
        <v>Nectar Lifesciences Ltd.</v>
      </c>
    </row>
    <row r="2027">
      <c r="H2027" s="25" t="str">
        <f>IFERROR(__xludf.DUMMYFUNCTION("""COMPUTED_VALUE"""),"NECTAR MEDIPHARMA")</f>
        <v>NECTAR MEDIPHARMA</v>
      </c>
    </row>
    <row r="2028">
      <c r="H2028" s="25" t="str">
        <f>IFERROR(__xludf.DUMMYFUNCTION("""COMPUTED_VALUE"""),"NEISS LABS")</f>
        <v>NEISS LABS</v>
      </c>
    </row>
    <row r="2029">
      <c r="H2029" s="25" t="str">
        <f>IFERROR(__xludf.DUMMYFUNCTION("""COMPUTED_VALUE"""),"NEM LABORATORIES")</f>
        <v>NEM LABORATORIES</v>
      </c>
    </row>
    <row r="2030">
      <c r="H2030" s="25" t="str">
        <f>IFERROR(__xludf.DUMMYFUNCTION("""COMPUTED_VALUE"""),"NEMMY PHARMA")</f>
        <v>NEMMY PHARMA</v>
      </c>
    </row>
    <row r="2031">
      <c r="H2031" s="25" t="str">
        <f>IFERROR(__xludf.DUMMYFUNCTION("""COMPUTED_VALUE"""),"NEMUS PHARMACEUTICALS PVT LTD")</f>
        <v>NEMUS PHARMACEUTICALS PVT LTD</v>
      </c>
    </row>
    <row r="2032">
      <c r="H2032" s="25" t="str">
        <f>IFERROR(__xludf.DUMMYFUNCTION("""COMPUTED_VALUE"""),"Neo Vedic Drug Pharma")</f>
        <v>Neo Vedic Drug Pharma</v>
      </c>
    </row>
    <row r="2033">
      <c r="H2033" s="25" t="str">
        <f>IFERROR(__xludf.DUMMYFUNCTION("""COMPUTED_VALUE"""),"NEOMATRIS PHARMA")</f>
        <v>NEOMATRIS PHARMA</v>
      </c>
    </row>
    <row r="2034">
      <c r="H2034" s="25" t="str">
        <f>IFERROR(__xludf.DUMMYFUNCTION("""COMPUTED_VALUE"""),"Neon Laboratories Ltd")</f>
        <v>Neon Laboratories Ltd</v>
      </c>
    </row>
    <row r="2035">
      <c r="H2035" s="25" t="str">
        <f>IFERROR(__xludf.DUMMYFUNCTION("""COMPUTED_VALUE"""),"Neon Laboratories Ltd (ANESTHESIA)")</f>
        <v>Neon Laboratories Ltd (ANESTHESIA)</v>
      </c>
    </row>
    <row r="2036">
      <c r="H2036" s="25" t="str">
        <f>IFERROR(__xludf.DUMMYFUNCTION("""COMPUTED_VALUE"""),"Neon Laboratories Ltd (CANCER)")</f>
        <v>Neon Laboratories Ltd (CANCER)</v>
      </c>
    </row>
    <row r="2037">
      <c r="H2037" s="25" t="str">
        <f>IFERROR(__xludf.DUMMYFUNCTION("""COMPUTED_VALUE"""),"Neon Laboratories Ltd (CRITICAL CARE)")</f>
        <v>Neon Laboratories Ltd (CRITICAL CARE)</v>
      </c>
    </row>
    <row r="2038">
      <c r="H2038" s="25" t="str">
        <f>IFERROR(__xludf.DUMMYFUNCTION("""COMPUTED_VALUE"""),"Neon Laboratories Ltd (GYNAECOLOGY)")</f>
        <v>Neon Laboratories Ltd (GYNAECOLOGY)</v>
      </c>
    </row>
    <row r="2039">
      <c r="H2039" s="25" t="str">
        <f>IFERROR(__xludf.DUMMYFUNCTION("""COMPUTED_VALUE"""),"Neon Laboratories Ltd (STELLAR)")</f>
        <v>Neon Laboratories Ltd (STELLAR)</v>
      </c>
    </row>
    <row r="2040">
      <c r="H2040" s="25" t="str">
        <f>IFERROR(__xludf.DUMMYFUNCTION("""COMPUTED_VALUE"""),"NEOVAP BIOPHARMACEUTICALS")</f>
        <v>NEOVAP BIOPHARMACEUTICALS</v>
      </c>
    </row>
    <row r="2041">
      <c r="H2041" s="25" t="str">
        <f>IFERROR(__xludf.DUMMYFUNCTION("""COMPUTED_VALUE"""),"NEPHUROCARE PHARMA (NEPHRO)")</f>
        <v>NEPHUROCARE PHARMA (NEPHRO)</v>
      </c>
    </row>
    <row r="2042">
      <c r="H2042" s="25" t="str">
        <f>IFERROR(__xludf.DUMMYFUNCTION("""COMPUTED_VALUE"""),"NEPTUNE LIFE SCIENCE P LTD")</f>
        <v>NEPTUNE LIFE SCIENCE P LTD</v>
      </c>
    </row>
    <row r="2043">
      <c r="H2043" s="25" t="str">
        <f>IFERROR(__xludf.DUMMYFUNCTION("""COMPUTED_VALUE"""),"NERV-ERA LIFESCIENCES")</f>
        <v>NERV-ERA LIFESCIENCES</v>
      </c>
    </row>
    <row r="2044">
      <c r="H2044" s="25" t="str">
        <f>IFERROR(__xludf.DUMMYFUNCTION("""COMPUTED_VALUE"""),"NESTLE INDIA LIMITED")</f>
        <v>NESTLE INDIA LIMITED</v>
      </c>
    </row>
    <row r="2045">
      <c r="H2045" s="25" t="str">
        <f>IFERROR(__xludf.DUMMYFUNCTION("""COMPUTED_VALUE"""),"NETSURF")</f>
        <v>NETSURF</v>
      </c>
    </row>
    <row r="2046">
      <c r="H2046" s="25" t="str">
        <f>IFERROR(__xludf.DUMMYFUNCTION("""COMPUTED_VALUE"""),"NEUCLOX")</f>
        <v>NEUCLOX</v>
      </c>
    </row>
    <row r="2047">
      <c r="H2047" s="25" t="str">
        <f>IFERROR(__xludf.DUMMYFUNCTION("""COMPUTED_VALUE"""),"NEUCURE LIFESCIENCES P. LTD.")</f>
        <v>NEUCURE LIFESCIENCES P. LTD.</v>
      </c>
    </row>
    <row r="2048">
      <c r="H2048" s="25" t="str">
        <f>IFERROR(__xludf.DUMMYFUNCTION("""COMPUTED_VALUE"""),"NEURACLE LIFESCIENCES")</f>
        <v>NEURACLE LIFESCIENCES</v>
      </c>
    </row>
    <row r="2049">
      <c r="H2049" s="25" t="str">
        <f>IFERROR(__xludf.DUMMYFUNCTION("""COMPUTED_VALUE"""),"NEUTECHEALTHCARE PVT")</f>
        <v>NEUTECHEALTHCARE PVT</v>
      </c>
    </row>
    <row r="2050">
      <c r="H2050" s="25" t="str">
        <f>IFERROR(__xludf.DUMMYFUNCTION("""COMPUTED_VALUE"""),"NEW CONCEPT BIOTECH")</f>
        <v>NEW CONCEPT BIOTECH</v>
      </c>
    </row>
    <row r="2051">
      <c r="H2051" s="25" t="str">
        <f>IFERROR(__xludf.DUMMYFUNCTION("""COMPUTED_VALUE"""),"NEW GENERATION LIFE SCIENCES")</f>
        <v>NEW GENERATION LIFE SCIENCES</v>
      </c>
    </row>
    <row r="2052">
      <c r="H2052" s="25" t="str">
        <f>IFERROR(__xludf.DUMMYFUNCTION("""COMPUTED_VALUE"""),"NEW LIFE")</f>
        <v>NEW LIFE</v>
      </c>
    </row>
    <row r="2053">
      <c r="H2053" s="25" t="str">
        <f>IFERROR(__xludf.DUMMYFUNCTION("""COMPUTED_VALUE"""),"NEW MEDICON PHARMA LAB PVT.LTD")</f>
        <v>NEW MEDICON PHARMA LAB PVT.LTD</v>
      </c>
    </row>
    <row r="2054">
      <c r="H2054" s="25" t="str">
        <f>IFERROR(__xludf.DUMMYFUNCTION("""COMPUTED_VALUE"""),"NEW WORLD PHARMA P LTD")</f>
        <v>NEW WORLD PHARMA P LTD</v>
      </c>
    </row>
    <row r="2055">
      <c r="H2055" s="25" t="str">
        <f>IFERROR(__xludf.DUMMYFUNCTION("""COMPUTED_VALUE"""),"NEWTRAMAX HEALTHCARE, SIRMOR")</f>
        <v>NEWTRAMAX HEALTHCARE, SIRMOR</v>
      </c>
    </row>
    <row r="2056">
      <c r="H2056" s="25" t="str">
        <f>IFERROR(__xludf.DUMMYFUNCTION("""COMPUTED_VALUE"""),"NEWWORLD PHARMACEUTICALS P LTD")</f>
        <v>NEWWORLD PHARMACEUTICALS P LTD</v>
      </c>
    </row>
    <row r="2057">
      <c r="H2057" s="25" t="str">
        <f>IFERROR(__xludf.DUMMYFUNCTION("""COMPUTED_VALUE"""),"NEXA HEALTHCARE PVT LTD")</f>
        <v>NEXA HEALTHCARE PVT LTD</v>
      </c>
    </row>
    <row r="2058">
      <c r="H2058" s="25" t="str">
        <f>IFERROR(__xludf.DUMMYFUNCTION("""COMPUTED_VALUE"""),"NEXGEN LIFESCIENCES")</f>
        <v>NEXGEN LIFESCIENCES</v>
      </c>
    </row>
    <row r="2059">
      <c r="H2059" s="25" t="str">
        <f>IFERROR(__xludf.DUMMYFUNCTION("""COMPUTED_VALUE"""),"NEXGEN PHARMA")</f>
        <v>NEXGEN PHARMA</v>
      </c>
    </row>
    <row r="2060">
      <c r="H2060" s="25" t="str">
        <f>IFERROR(__xludf.DUMMYFUNCTION("""COMPUTED_VALUE"""),"NEXINA LIFE SCIENCES")</f>
        <v>NEXINA LIFE SCIENCES</v>
      </c>
    </row>
    <row r="2061">
      <c r="H2061" s="25" t="str">
        <f>IFERROR(__xludf.DUMMYFUNCTION("""COMPUTED_VALUE"""),"NEXKEM PHARMA")</f>
        <v>NEXKEM PHARMA</v>
      </c>
    </row>
    <row r="2062">
      <c r="H2062" s="25" t="str">
        <f>IFERROR(__xludf.DUMMYFUNCTION("""COMPUTED_VALUE"""),"NEXTGEN HEALTHCARE")</f>
        <v>NEXTGEN HEALTHCARE</v>
      </c>
    </row>
    <row r="2063">
      <c r="H2063" s="25" t="str">
        <f>IFERROR(__xludf.DUMMYFUNCTION("""COMPUTED_VALUE"""),"NEXUS PHARMACEUTICALS")</f>
        <v>NEXUS PHARMACEUTICALS</v>
      </c>
    </row>
    <row r="2064">
      <c r="H2064" s="25" t="str">
        <f>IFERROR(__xludf.DUMMYFUNCTION("""COMPUTED_VALUE"""),"NEXWIN PHARMA")</f>
        <v>NEXWIN PHARMA</v>
      </c>
    </row>
    <row r="2065">
      <c r="H2065" s="25" t="str">
        <f>IFERROR(__xludf.DUMMYFUNCTION("""COMPUTED_VALUE"""),"NICIA")</f>
        <v>NICIA</v>
      </c>
    </row>
    <row r="2066">
      <c r="H2066" s="25" t="str">
        <f>IFERROR(__xludf.DUMMYFUNCTION("""COMPUTED_VALUE"""),"NICKS CORPORATION")</f>
        <v>NICKS CORPORATION</v>
      </c>
    </row>
    <row r="2067">
      <c r="H2067" s="25" t="str">
        <f>IFERROR(__xludf.DUMMYFUNCTION("""COMPUTED_VALUE"""),"NIKIR")</f>
        <v>NIKIR</v>
      </c>
    </row>
    <row r="2068">
      <c r="H2068" s="25" t="str">
        <f>IFERROR(__xludf.DUMMYFUNCTION("""COMPUTED_VALUE"""),"NILRISE PHARMACEUTICALS")</f>
        <v>NILRISE PHARMACEUTICALS</v>
      </c>
    </row>
    <row r="2069">
      <c r="H2069" s="25" t="str">
        <f>IFERROR(__xludf.DUMMYFUNCTION("""COMPUTED_VALUE"""),"NINELABS INDIA P LTD")</f>
        <v>NINELABS INDIA P LTD</v>
      </c>
    </row>
    <row r="2070">
      <c r="H2070" s="25" t="str">
        <f>IFERROR(__xludf.DUMMYFUNCTION("""COMPUTED_VALUE"""),"NIPM SURGICALS")</f>
        <v>NIPM SURGICALS</v>
      </c>
    </row>
    <row r="2071">
      <c r="H2071" s="25" t="str">
        <f>IFERROR(__xludf.DUMMYFUNCTION("""COMPUTED_VALUE"""),"NIPPON SEIYAKU")</f>
        <v>NIPPON SEIYAKU</v>
      </c>
    </row>
    <row r="2072">
      <c r="H2072" s="25" t="str">
        <f>IFERROR(__xludf.DUMMYFUNCTION("""COMPUTED_VALUE"""),"NIPRO")</f>
        <v>NIPRO</v>
      </c>
    </row>
    <row r="2073">
      <c r="H2073" s="25" t="str">
        <f>IFERROR(__xludf.DUMMYFUNCTION("""COMPUTED_VALUE"""),"NIRAMANCE HEALTH CARE")</f>
        <v>NIRAMANCE HEALTH CARE</v>
      </c>
    </row>
    <row r="2074">
      <c r="H2074" s="25" t="str">
        <f>IFERROR(__xludf.DUMMYFUNCTION("""COMPUTED_VALUE"""),"NIRAV HEALTHCARE")</f>
        <v>NIRAV HEALTHCARE</v>
      </c>
    </row>
    <row r="2075">
      <c r="H2075" s="25" t="str">
        <f>IFERROR(__xludf.DUMMYFUNCTION("""COMPUTED_VALUE"""),"NIRIX DERMA")</f>
        <v>NIRIX DERMA</v>
      </c>
    </row>
    <row r="2076">
      <c r="H2076" s="25" t="str">
        <f>IFERROR(__xludf.DUMMYFUNCTION("""COMPUTED_VALUE"""),"NIRLIFE")</f>
        <v>NIRLIFE</v>
      </c>
    </row>
    <row r="2077">
      <c r="H2077" s="25" t="str">
        <f>IFERROR(__xludf.DUMMYFUNCTION("""COMPUTED_VALUE"""),"NIRMA LTD")</f>
        <v>NIRMA LTD</v>
      </c>
    </row>
    <row r="2078">
      <c r="H2078" s="25" t="str">
        <f>IFERROR(__xludf.DUMMYFUNCTION("""COMPUTED_VALUE"""),"NIROG PHARMA")</f>
        <v>NIROG PHARMA</v>
      </c>
    </row>
    <row r="2079">
      <c r="H2079" s="25" t="str">
        <f>IFERROR(__xludf.DUMMYFUNCTION("""COMPUTED_VALUE"""),"NIROWELL HEALTHCARE PVT LTD")</f>
        <v>NIROWELL HEALTHCARE PVT LTD</v>
      </c>
    </row>
    <row r="2080">
      <c r="H2080" s="25" t="str">
        <f>IFERROR(__xludf.DUMMYFUNCTION("""COMPUTED_VALUE"""),"NISHI MEDICOSE (OTHER PRODUCTS)")</f>
        <v>NISHI MEDICOSE (OTHER PRODUCTS)</v>
      </c>
    </row>
    <row r="2081">
      <c r="H2081" s="25" t="str">
        <f>IFERROR(__xludf.DUMMYFUNCTION("""COMPUTED_VALUE"""),"NISHIRA PHARMA")</f>
        <v>NISHIRA PHARMA</v>
      </c>
    </row>
    <row r="2082">
      <c r="H2082" s="25" t="str">
        <f>IFERROR(__xludf.DUMMYFUNCTION("""COMPUTED_VALUE"""),"Nitin Lifesciences Ltd")</f>
        <v>Nitin Lifesciences Ltd</v>
      </c>
    </row>
    <row r="2083">
      <c r="H2083" s="25" t="str">
        <f>IFERROR(__xludf.DUMMYFUNCTION("""COMPUTED_VALUE"""),"NITRO ORGANICES")</f>
        <v>NITRO ORGANICES</v>
      </c>
    </row>
    <row r="2084">
      <c r="H2084" s="25" t="str">
        <f>IFERROR(__xludf.DUMMYFUNCTION("""COMPUTED_VALUE"""),"NIYAMBA PHARMA")</f>
        <v>NIYAMBA PHARMA</v>
      </c>
    </row>
    <row r="2085">
      <c r="H2085" s="25" t="str">
        <f>IFERROR(__xludf.DUMMYFUNCTION("""COMPUTED_VALUE"""),"NOBLE DRUGS PVT.LTD.")</f>
        <v>NOBLE DRUGS PVT.LTD.</v>
      </c>
    </row>
    <row r="2086">
      <c r="H2086" s="25" t="str">
        <f>IFERROR(__xludf.DUMMYFUNCTION("""COMPUTED_VALUE"""),"NOEL PHARMA INDIA PVT LTD")</f>
        <v>NOEL PHARMA INDIA PVT LTD</v>
      </c>
    </row>
    <row r="2087">
      <c r="H2087" s="25" t="str">
        <f>IFERROR(__xludf.DUMMYFUNCTION("""COMPUTED_VALUE"""),"NONI BIOTECH P LTD")</f>
        <v>NONI BIOTECH P LTD</v>
      </c>
    </row>
    <row r="2088">
      <c r="H2088" s="25" t="str">
        <f>IFERROR(__xludf.DUMMYFUNCTION("""COMPUTED_VALUE"""),"NORRIS MEDICINES LTD.")</f>
        <v>NORRIS MEDICINES LTD.</v>
      </c>
    </row>
    <row r="2089">
      <c r="H2089" s="25" t="str">
        <f>IFERROR(__xludf.DUMMYFUNCTION("""COMPUTED_VALUE"""),"NORTIC HEALTHCARE")</f>
        <v>NORTIC HEALTHCARE</v>
      </c>
    </row>
    <row r="2090">
      <c r="H2090" s="25" t="str">
        <f>IFERROR(__xludf.DUMMYFUNCTION("""COMPUTED_VALUE"""),"NOSTRUM REMEDIES")</f>
        <v>NOSTRUM REMEDIES</v>
      </c>
    </row>
    <row r="2091">
      <c r="H2091" s="25" t="str">
        <f>IFERROR(__xludf.DUMMYFUNCTION("""COMPUTED_VALUE"""),"NOT TO BE ADDED")</f>
        <v>NOT TO BE ADDED</v>
      </c>
    </row>
    <row r="2092">
      <c r="H2092" s="25" t="str">
        <f>IFERROR(__xludf.DUMMYFUNCTION("""COMPUTED_VALUE"""),"NOURIER LAB")</f>
        <v>NOURIER LAB</v>
      </c>
    </row>
    <row r="2093">
      <c r="H2093" s="25" t="str">
        <f>IFERROR(__xludf.DUMMYFUNCTION("""COMPUTED_VALUE"""),"Nouveau Medicament Pvt Ltd")</f>
        <v>Nouveau Medicament Pvt Ltd</v>
      </c>
    </row>
    <row r="2094">
      <c r="H2094" s="25" t="str">
        <f>IFERROR(__xludf.DUMMYFUNCTION("""COMPUTED_VALUE"""),"NOVACHEM LAB")</f>
        <v>NOVACHEM LAB</v>
      </c>
    </row>
    <row r="2095">
      <c r="H2095" s="25" t="str">
        <f>IFERROR(__xludf.DUMMYFUNCTION("""COMPUTED_VALUE"""),"NOVACURE HEALTHCARE")</f>
        <v>NOVACURE HEALTHCARE</v>
      </c>
    </row>
    <row r="2096">
      <c r="H2096" s="25" t="str">
        <f>IFERROR(__xludf.DUMMYFUNCTION("""COMPUTED_VALUE"""),"NOVARTIS (BETA)")</f>
        <v>NOVARTIS (BETA)</v>
      </c>
    </row>
    <row r="2097">
      <c r="H2097" s="25" t="str">
        <f>IFERROR(__xludf.DUMMYFUNCTION("""COMPUTED_VALUE"""),"NOVARTIS (CARDIC)")</f>
        <v>NOVARTIS (CARDIC)</v>
      </c>
    </row>
    <row r="2098">
      <c r="H2098" s="25" t="str">
        <f>IFERROR(__xludf.DUMMYFUNCTION("""COMPUTED_VALUE"""),"NOVARTIS (CVM)")</f>
        <v>NOVARTIS (CVM)</v>
      </c>
    </row>
    <row r="2099">
      <c r="H2099" s="25" t="str">
        <f>IFERROR(__xludf.DUMMYFUNCTION("""COMPUTED_VALUE"""),"NOVARTIS (EMBU)")</f>
        <v>NOVARTIS (EMBU)</v>
      </c>
    </row>
    <row r="2100">
      <c r="H2100" s="25" t="str">
        <f>IFERROR(__xludf.DUMMYFUNCTION("""COMPUTED_VALUE"""),"NOVARTIS (GY)")</f>
        <v>NOVARTIS (GY)</v>
      </c>
    </row>
    <row r="2101">
      <c r="H2101" s="25" t="str">
        <f>IFERROR(__xludf.DUMMYFUNCTION("""COMPUTED_VALUE"""),"NOVARTIS (NEURO PSYCHIATRY)")</f>
        <v>NOVARTIS (NEURO PSYCHIATRY)</v>
      </c>
    </row>
    <row r="2102">
      <c r="H2102" s="25" t="str">
        <f>IFERROR(__xludf.DUMMYFUNCTION("""COMPUTED_VALUE"""),"NOVARTIS (PRASAAR)")</f>
        <v>NOVARTIS (PRASAAR)</v>
      </c>
    </row>
    <row r="2103">
      <c r="H2103" s="25" t="str">
        <f>IFERROR(__xludf.DUMMYFUNCTION("""COMPUTED_VALUE"""),"NOVARTIS (SANDOZ)")</f>
        <v>NOVARTIS (SANDOZ)</v>
      </c>
    </row>
    <row r="2104">
      <c r="H2104" s="25" t="str">
        <f>IFERROR(__xludf.DUMMYFUNCTION("""COMPUTED_VALUE"""),"NOVARTIS (TEAM)")</f>
        <v>NOVARTIS (TEAM)</v>
      </c>
    </row>
    <row r="2105">
      <c r="H2105" s="25" t="str">
        <f>IFERROR(__xludf.DUMMYFUNCTION("""COMPUTED_VALUE"""),"NOVARTIS (VACCINE)")</f>
        <v>NOVARTIS (VACCINE)</v>
      </c>
    </row>
    <row r="2106">
      <c r="H2106" s="25" t="str">
        <f>IFERROR(__xludf.DUMMYFUNCTION("""COMPUTED_VALUE"""),"Novartis India Ltd")</f>
        <v>Novartis India Ltd</v>
      </c>
    </row>
    <row r="2107">
      <c r="H2107" s="25" t="str">
        <f>IFERROR(__xludf.DUMMYFUNCTION("""COMPUTED_VALUE"""),"NOVASCOTT (GENERIC)")</f>
        <v>NOVASCOTT (GENERIC)</v>
      </c>
    </row>
    <row r="2108">
      <c r="H2108" s="25" t="str">
        <f>IFERROR(__xludf.DUMMYFUNCTION("""COMPUTED_VALUE"""),"NOVASURE HEALTHCARE")</f>
        <v>NOVASURE HEALTHCARE</v>
      </c>
    </row>
    <row r="2109">
      <c r="H2109" s="25" t="str">
        <f>IFERROR(__xludf.DUMMYFUNCTION("""COMPUTED_VALUE"""),"NOVAZING PHARMA")</f>
        <v>NOVAZING PHARMA</v>
      </c>
    </row>
    <row r="2110">
      <c r="H2110" s="25" t="str">
        <f>IFERROR(__xludf.DUMMYFUNCTION("""COMPUTED_VALUE"""),"NOVELTY HEALTHSHINE")</f>
        <v>NOVELTY HEALTHSHINE</v>
      </c>
    </row>
    <row r="2111">
      <c r="H2111" s="25" t="str">
        <f>IFERROR(__xludf.DUMMYFUNCTION("""COMPUTED_VALUE"""),"NOVIQUE LIFE SCIENCES PVT")</f>
        <v>NOVIQUE LIFE SCIENCES PVT</v>
      </c>
    </row>
    <row r="2112">
      <c r="H2112" s="25" t="str">
        <f>IFERROR(__xludf.DUMMYFUNCTION("""COMPUTED_VALUE"""),"NOVITA HEALTHCARE PVT LTD")</f>
        <v>NOVITA HEALTHCARE PVT LTD</v>
      </c>
    </row>
    <row r="2113">
      <c r="H2113" s="25" t="str">
        <f>IFERROR(__xludf.DUMMYFUNCTION("""COMPUTED_VALUE"""),"NOVITAS HEALTHCARE")</f>
        <v>NOVITAS HEALTHCARE</v>
      </c>
    </row>
    <row r="2114">
      <c r="H2114" s="25" t="str">
        <f>IFERROR(__xludf.DUMMYFUNCTION("""COMPUTED_VALUE"""),"NOVO INDUS PHARMACEUTICALS")</f>
        <v>NOVO INDUS PHARMACEUTICALS</v>
      </c>
    </row>
    <row r="2115">
      <c r="H2115" s="25" t="str">
        <f>IFERROR(__xludf.DUMMYFUNCTION("""COMPUTED_VALUE"""),"NOVO MEDI SCIENCES PVT LTD")</f>
        <v>NOVO MEDI SCIENCES PVT LTD</v>
      </c>
    </row>
    <row r="2116">
      <c r="H2116" s="25" t="str">
        <f>IFERROR(__xludf.DUMMYFUNCTION("""COMPUTED_VALUE"""),"Novo Nordisk India Pvt Ltd")</f>
        <v>Novo Nordisk India Pvt Ltd</v>
      </c>
    </row>
    <row r="2117">
      <c r="H2117" s="25" t="str">
        <f>IFERROR(__xludf.DUMMYFUNCTION("""COMPUTED_VALUE"""),"NOVOGEN CAPTAB")</f>
        <v>NOVOGEN CAPTAB</v>
      </c>
    </row>
    <row r="2118">
      <c r="H2118" s="25" t="str">
        <f>IFERROR(__xludf.DUMMYFUNCTION("""COMPUTED_VALUE"""),"NOVOSAVIOR")</f>
        <v>NOVOSAVIOR</v>
      </c>
    </row>
    <row r="2119">
      <c r="H2119" s="25" t="str">
        <f>IFERROR(__xludf.DUMMYFUNCTION("""COMPUTED_VALUE"""),"NOVUS BIOLOGICALS LLC")</f>
        <v>NOVUS BIOLOGICALS LLC</v>
      </c>
    </row>
    <row r="2120">
      <c r="H2120" s="25" t="str">
        <f>IFERROR(__xludf.DUMMYFUNCTION("""COMPUTED_VALUE"""),"NUKIND HEALTHCARE PVT LTD")</f>
        <v>NUKIND HEALTHCARE PVT LTD</v>
      </c>
    </row>
    <row r="2121">
      <c r="H2121" s="25" t="str">
        <f>IFERROR(__xludf.DUMMYFUNCTION("""COMPUTED_VALUE"""),"NuLife Pharmaceuticals")</f>
        <v>NuLife Pharmaceuticals</v>
      </c>
    </row>
    <row r="2122">
      <c r="H2122" s="25" t="str">
        <f>IFERROR(__xludf.DUMMYFUNCTION("""COMPUTED_VALUE"""),"NUMAC HEALTHCARE PVT LTD")</f>
        <v>NUMAC HEALTHCARE PVT LTD</v>
      </c>
    </row>
    <row r="2123">
      <c r="H2123" s="25" t="str">
        <f>IFERROR(__xludf.DUMMYFUNCTION("""COMPUTED_VALUE"""),"NUTRA WELLNESS")</f>
        <v>NUTRA WELLNESS</v>
      </c>
    </row>
    <row r="2124">
      <c r="H2124" s="25" t="str">
        <f>IFERROR(__xludf.DUMMYFUNCTION("""COMPUTED_VALUE"""),"NUTRACARE NUTRITION")</f>
        <v>NUTRACARE NUTRITION</v>
      </c>
    </row>
    <row r="2125">
      <c r="H2125" s="25" t="str">
        <f>IFERROR(__xludf.DUMMYFUNCTION("""COMPUTED_VALUE"""),"NUTRAMEDICA INC.")</f>
        <v>NUTRAMEDICA INC.</v>
      </c>
    </row>
    <row r="2126">
      <c r="H2126" s="25" t="str">
        <f>IFERROR(__xludf.DUMMYFUNCTION("""COMPUTED_VALUE"""),"Nutricia International Pvt Ltd")</f>
        <v>Nutricia International Pvt Ltd</v>
      </c>
    </row>
    <row r="2127">
      <c r="H2127" s="25" t="str">
        <f>IFERROR(__xludf.DUMMYFUNCTION("""COMPUTED_VALUE"""),"NUTRINO HEALTH CARE")</f>
        <v>NUTRINO HEALTH CARE</v>
      </c>
    </row>
    <row r="2128">
      <c r="H2128" s="25" t="str">
        <f>IFERROR(__xludf.DUMMYFUNCTION("""COMPUTED_VALUE"""),"NUTRISROT")</f>
        <v>NUTRISROT</v>
      </c>
    </row>
    <row r="2129">
      <c r="H2129" s="25" t="str">
        <f>IFERROR(__xludf.DUMMYFUNCTION("""COMPUTED_VALUE"""),"NV Lifecare Pvt. Ltd.")</f>
        <v>NV Lifecare Pvt. Ltd.</v>
      </c>
    </row>
    <row r="2130">
      <c r="H2130" s="25" t="str">
        <f>IFERROR(__xludf.DUMMYFUNCTION("""COMPUTED_VALUE"""),"OAKNET HEALTHCARE PVT LTD")</f>
        <v>OAKNET HEALTHCARE PVT LTD</v>
      </c>
    </row>
    <row r="2131">
      <c r="H2131" s="25" t="str">
        <f>IFERROR(__xludf.DUMMYFUNCTION("""COMPUTED_VALUE"""),"OAKNET HEALTHCARE PVT LTD (COSMECARE)")</f>
        <v>OAKNET HEALTHCARE PVT LTD (COSMECARE)</v>
      </c>
    </row>
    <row r="2132">
      <c r="H2132" s="25" t="str">
        <f>IFERROR(__xludf.DUMMYFUNCTION("""COMPUTED_VALUE"""),"OAKNET HEALTHCARE PVT LTD (SKINCARE)")</f>
        <v>OAKNET HEALTHCARE PVT LTD (SKINCARE)</v>
      </c>
    </row>
    <row r="2133">
      <c r="H2133" s="25" t="str">
        <f>IFERROR(__xludf.DUMMYFUNCTION("""COMPUTED_VALUE"""),"OAKNET LIFESCIENCES PVT LTD")</f>
        <v>OAKNET LIFESCIENCES PVT LTD</v>
      </c>
    </row>
    <row r="2134">
      <c r="H2134" s="25" t="str">
        <f>IFERROR(__xludf.DUMMYFUNCTION("""COMPUTED_VALUE"""),"OATH HEALTHCARE")</f>
        <v>OATH HEALTHCARE</v>
      </c>
    </row>
    <row r="2135">
      <c r="H2135" s="25" t="str">
        <f>IFERROR(__xludf.DUMMYFUNCTION("""COMPUTED_VALUE"""),"OBERLIN HEALTHCARE")</f>
        <v>OBERLIN HEALTHCARE</v>
      </c>
    </row>
    <row r="2136">
      <c r="H2136" s="25" t="str">
        <f>IFERROR(__xludf.DUMMYFUNCTION("""COMPUTED_VALUE"""),"OCEAN CARE")</f>
        <v>OCEAN CARE</v>
      </c>
    </row>
    <row r="2137">
      <c r="H2137" s="25" t="str">
        <f>IFERROR(__xludf.DUMMYFUNCTION("""COMPUTED_VALUE"""),"OCEAN FORMULATIONS")</f>
        <v>OCEAN FORMULATIONS</v>
      </c>
    </row>
    <row r="2138">
      <c r="H2138" s="25" t="str">
        <f>IFERROR(__xludf.DUMMYFUNCTION("""COMPUTED_VALUE"""),"OCEAN HERBAL &amp; LIFECARE")</f>
        <v>OCEAN HERBAL &amp; LIFECARE</v>
      </c>
    </row>
    <row r="2139">
      <c r="H2139" s="25" t="str">
        <f>IFERROR(__xludf.DUMMYFUNCTION("""COMPUTED_VALUE"""),"OCEAN OPHTHALMICS")</f>
        <v>OCEAN OPHTHALMICS</v>
      </c>
    </row>
    <row r="2140">
      <c r="H2140" s="25" t="str">
        <f>IFERROR(__xludf.DUMMYFUNCTION("""COMPUTED_VALUE"""),"OCHOA LABORATORIES")</f>
        <v>OCHOA LABORATORIES</v>
      </c>
    </row>
    <row r="2141">
      <c r="H2141" s="25" t="str">
        <f>IFERROR(__xludf.DUMMYFUNCTION("""COMPUTED_VALUE"""),"OCTALIFE PHARMA")</f>
        <v>OCTALIFE PHARMA</v>
      </c>
    </row>
    <row r="2142">
      <c r="H2142" s="25" t="str">
        <f>IFERROR(__xludf.DUMMYFUNCTION("""COMPUTED_VALUE"""),"OJAL LIFESCIENCES P LTD")</f>
        <v>OJAL LIFESCIENCES P LTD</v>
      </c>
    </row>
    <row r="2143">
      <c r="H2143" s="25" t="str">
        <f>IFERROR(__xludf.DUMMYFUNCTION("""COMPUTED_VALUE"""),"OJAL PHARMACEUTICAL PVT LTD")</f>
        <v>OJAL PHARMACEUTICAL PVT LTD</v>
      </c>
    </row>
    <row r="2144">
      <c r="H2144" s="25" t="str">
        <f>IFERROR(__xludf.DUMMYFUNCTION("""COMPUTED_VALUE"""),"OJAL PHARMACEUTICALS")</f>
        <v>OJAL PHARMACEUTICALS</v>
      </c>
    </row>
    <row r="2145">
      <c r="H2145" s="25" t="str">
        <f>IFERROR(__xludf.DUMMYFUNCTION("""COMPUTED_VALUE"""),"OJAS HUMAN SCIENCES INDIA PVT LTD")</f>
        <v>OJAS HUMAN SCIENCES INDIA PVT LTD</v>
      </c>
    </row>
    <row r="2146">
      <c r="H2146" s="25" t="str">
        <f>IFERROR(__xludf.DUMMYFUNCTION("""COMPUTED_VALUE"""),"OLAMIC HEALTH CARE")</f>
        <v>OLAMIC HEALTH CARE</v>
      </c>
    </row>
    <row r="2147">
      <c r="H2147" s="25" t="str">
        <f>IFERROR(__xludf.DUMMYFUNCTION("""COMPUTED_VALUE"""),"OLAMIC HEALTHCARE")</f>
        <v>OLAMIC HEALTHCARE</v>
      </c>
    </row>
    <row r="2148">
      <c r="H2148" s="25" t="str">
        <f>IFERROR(__xludf.DUMMYFUNCTION("""COMPUTED_VALUE"""),"OLCARE LABORATORIES")</f>
        <v>OLCARE LABORATORIES</v>
      </c>
    </row>
    <row r="2149">
      <c r="H2149" s="25" t="str">
        <f>IFERROR(__xludf.DUMMYFUNCTION("""COMPUTED_VALUE"""),"OLCARE LABORATORIES PVT LTD")</f>
        <v>OLCARE LABORATORIES PVT LTD</v>
      </c>
    </row>
    <row r="2150">
      <c r="H2150" s="25" t="str">
        <f>IFERROR(__xludf.DUMMYFUNCTION("""COMPUTED_VALUE"""),"OLWEN LIFESCIENCES PVT LTD")</f>
        <v>OLWEN LIFESCIENCES PVT LTD</v>
      </c>
    </row>
    <row r="2151">
      <c r="H2151" s="25" t="str">
        <f>IFERROR(__xludf.DUMMYFUNCTION("""COMPUTED_VALUE"""),"OLYMPUS CONTROL")</f>
        <v>OLYMPUS CONTROL</v>
      </c>
    </row>
    <row r="2152">
      <c r="H2152" s="25" t="str">
        <f>IFERROR(__xludf.DUMMYFUNCTION("""COMPUTED_VALUE"""),"OM S INTERNATIONAL P LTD")</f>
        <v>OM S INTERNATIONAL P LTD</v>
      </c>
    </row>
    <row r="2153">
      <c r="H2153" s="25" t="str">
        <f>IFERROR(__xludf.DUMMYFUNCTION("""COMPUTED_VALUE"""),"OMCURE BIOTECH")</f>
        <v>OMCURE BIOTECH</v>
      </c>
    </row>
    <row r="2154">
      <c r="H2154" s="25" t="str">
        <f>IFERROR(__xludf.DUMMYFUNCTION("""COMPUTED_VALUE"""),"ON&amp;ON")</f>
        <v>ON&amp;ON</v>
      </c>
    </row>
    <row r="2155">
      <c r="H2155" s="25" t="str">
        <f>IFERROR(__xludf.DUMMYFUNCTION("""COMPUTED_VALUE"""),"ONCARE LIFE SCIENSES")</f>
        <v>ONCARE LIFE SCIENSES</v>
      </c>
    </row>
    <row r="2156">
      <c r="H2156" s="25" t="str">
        <f>IFERROR(__xludf.DUMMYFUNCTION("""COMPUTED_VALUE"""),"ONCOBIOTEK DRUG PVT.LTD")</f>
        <v>ONCOBIOTEK DRUG PVT.LTD</v>
      </c>
    </row>
    <row r="2157">
      <c r="H2157" s="25" t="str">
        <f>IFERROR(__xludf.DUMMYFUNCTION("""COMPUTED_VALUE"""),"ONESTEP HEALTHCARE")</f>
        <v>ONESTEP HEALTHCARE</v>
      </c>
    </row>
    <row r="2158">
      <c r="H2158" s="25" t="str">
        <f>IFERROR(__xludf.DUMMYFUNCTION("""COMPUTED_VALUE"""),"ONEX")</f>
        <v>ONEX</v>
      </c>
    </row>
    <row r="2159">
      <c r="H2159" s="25" t="str">
        <f>IFERROR(__xludf.DUMMYFUNCTION("""COMPUTED_VALUE"""),"ONEX (GINPAX)")</f>
        <v>ONEX (GINPAX)</v>
      </c>
    </row>
    <row r="2160">
      <c r="H2160" s="25" t="str">
        <f>IFERROR(__xludf.DUMMYFUNCTION("""COMPUTED_VALUE"""),"ONIDA HEALTHCARE")</f>
        <v>ONIDA HEALTHCARE</v>
      </c>
    </row>
    <row r="2161">
      <c r="H2161" s="25" t="str">
        <f>IFERROR(__xludf.DUMMYFUNCTION("""COMPUTED_VALUE"""),"OPTHAL REMEDIES PVT LTD")</f>
        <v>OPTHAL REMEDIES PVT LTD</v>
      </c>
    </row>
    <row r="2162">
      <c r="H2162" s="25" t="str">
        <f>IFERROR(__xludf.DUMMYFUNCTION("""COMPUTED_VALUE"""),"OPTHO REMEDIES (LIFE SCIENCES)")</f>
        <v>OPTHO REMEDIES (LIFE SCIENCES)</v>
      </c>
    </row>
    <row r="2163">
      <c r="H2163" s="25" t="str">
        <f>IFERROR(__xludf.DUMMYFUNCTION("""COMPUTED_VALUE"""),"Optho Remedies Pvt Ltd")</f>
        <v>Optho Remedies Pvt Ltd</v>
      </c>
    </row>
    <row r="2164">
      <c r="H2164" s="25" t="str">
        <f>IFERROR(__xludf.DUMMYFUNCTION("""COMPUTED_VALUE"""),"OPTIDERMA SKINCARE")</f>
        <v>OPTIDERMA SKINCARE</v>
      </c>
    </row>
    <row r="2165">
      <c r="H2165" s="25" t="str">
        <f>IFERROR(__xludf.DUMMYFUNCTION("""COMPUTED_VALUE"""),"OPTIGMA HEALTHCARE P LTD")</f>
        <v>OPTIGMA HEALTHCARE P LTD</v>
      </c>
    </row>
    <row r="2166">
      <c r="H2166" s="25" t="str">
        <f>IFERROR(__xludf.DUMMYFUNCTION("""COMPUTED_VALUE"""),"OPTIM HEALTH")</f>
        <v>OPTIM HEALTH</v>
      </c>
    </row>
    <row r="2167">
      <c r="H2167" s="25" t="str">
        <f>IFERROR(__xludf.DUMMYFUNCTION("""COMPUTED_VALUE"""),"OPTIMA HEALTHCARE")</f>
        <v>OPTIMA HEALTHCARE</v>
      </c>
    </row>
    <row r="2168">
      <c r="H2168" s="25" t="str">
        <f>IFERROR(__xludf.DUMMYFUNCTION("""COMPUTED_VALUE"""),"OPTIMA LENS")</f>
        <v>OPTIMA LENS</v>
      </c>
    </row>
    <row r="2169">
      <c r="H2169" s="25" t="str">
        <f>IFERROR(__xludf.DUMMYFUNCTION("""COMPUTED_VALUE"""),"ORAGYN CURIS P LTD")</f>
        <v>ORAGYN CURIS P LTD</v>
      </c>
    </row>
    <row r="2170">
      <c r="H2170" s="25" t="str">
        <f>IFERROR(__xludf.DUMMYFUNCTION("""COMPUTED_VALUE"""),"ORAMA LIFESCIENCES")</f>
        <v>ORAMA LIFESCIENCES</v>
      </c>
    </row>
    <row r="2171">
      <c r="H2171" s="25" t="str">
        <f>IFERROR(__xludf.DUMMYFUNCTION("""COMPUTED_VALUE"""),"ORANGE BIOTECH PVT LTD")</f>
        <v>ORANGE BIOTECH PVT LTD</v>
      </c>
    </row>
    <row r="2172">
      <c r="H2172" s="25" t="str">
        <f>IFERROR(__xludf.DUMMYFUNCTION("""COMPUTED_VALUE"""),"ORANGE RESEARCH LABS")</f>
        <v>ORANGE RESEARCH LABS</v>
      </c>
    </row>
    <row r="2173">
      <c r="H2173" s="25" t="str">
        <f>IFERROR(__xludf.DUMMYFUNCTION("""COMPUTED_VALUE"""),"Orchid Chemicals &amp; Pharmaceuticals Ltd")</f>
        <v>Orchid Chemicals &amp; Pharmaceuticals Ltd</v>
      </c>
    </row>
    <row r="2174">
      <c r="H2174" s="25" t="str">
        <f>IFERROR(__xludf.DUMMYFUNCTION("""COMPUTED_VALUE"""),"ORCO LIFESCIENCES")</f>
        <v>ORCO LIFESCIENCES</v>
      </c>
    </row>
    <row r="2175">
      <c r="H2175" s="25" t="str">
        <f>IFERROR(__xludf.DUMMYFUNCTION("""COMPUTED_VALUE"""),"Ordain Health Care Global Pvt Ltd")</f>
        <v>Ordain Health Care Global Pvt Ltd</v>
      </c>
    </row>
    <row r="2176">
      <c r="H2176" s="25" t="str">
        <f>IFERROR(__xludf.DUMMYFUNCTION("""COMPUTED_VALUE"""),"ORDAIN HEALTHCARE (ESPERZ)")</f>
        <v>ORDAIN HEALTHCARE (ESPERZ)</v>
      </c>
    </row>
    <row r="2177">
      <c r="H2177" s="25" t="str">
        <f>IFERROR(__xludf.DUMMYFUNCTION("""COMPUTED_VALUE"""),"ORDAIN HEALTHCARE (ESPRITZ)")</f>
        <v>ORDAIN HEALTHCARE (ESPRITZ)</v>
      </c>
    </row>
    <row r="2178">
      <c r="H2178" s="25" t="str">
        <f>IFERROR(__xludf.DUMMYFUNCTION("""COMPUTED_VALUE"""),"ORDAIN HEALTHCARE (INTENZ)")</f>
        <v>ORDAIN HEALTHCARE (INTENZ)</v>
      </c>
    </row>
    <row r="2179">
      <c r="H2179" s="25" t="str">
        <f>IFERROR(__xludf.DUMMYFUNCTION("""COMPUTED_VALUE"""),"ORDAIN HEALTHCARE (PERZISTA)")</f>
        <v>ORDAIN HEALTHCARE (PERZISTA)</v>
      </c>
    </row>
    <row r="2180">
      <c r="H2180" s="25" t="str">
        <f>IFERROR(__xludf.DUMMYFUNCTION("""COMPUTED_VALUE"""),"OREVA DERMACARE")</f>
        <v>OREVA DERMACARE</v>
      </c>
    </row>
    <row r="2181">
      <c r="H2181" s="25" t="str">
        <f>IFERROR(__xludf.DUMMYFUNCTION("""COMPUTED_VALUE"""),"ORGANIC INDIA")</f>
        <v>ORGANIC INDIA</v>
      </c>
    </row>
    <row r="2182">
      <c r="H2182" s="25" t="str">
        <f>IFERROR(__xludf.DUMMYFUNCTION("""COMPUTED_VALUE"""),"ORGANIC LABS PVT LTD")</f>
        <v>ORGANIC LABS PVT LTD</v>
      </c>
    </row>
    <row r="2183">
      <c r="H2183" s="25" t="str">
        <f>IFERROR(__xludf.DUMMYFUNCTION("""COMPUTED_VALUE"""),"Organon (India) Ltd")</f>
        <v>Organon (India) Ltd</v>
      </c>
    </row>
    <row r="2184">
      <c r="H2184" s="25" t="str">
        <f>IFERROR(__xludf.DUMMYFUNCTION("""COMPUTED_VALUE"""),"ORGYN LABS")</f>
        <v>ORGYN LABS</v>
      </c>
    </row>
    <row r="2185">
      <c r="H2185" s="25" t="str">
        <f>IFERROR(__xludf.DUMMYFUNCTION("""COMPUTED_VALUE"""),"ORIENTAL CHEMICALS WORKS")</f>
        <v>ORIENTAL CHEMICALS WORKS</v>
      </c>
    </row>
    <row r="2186">
      <c r="H2186" s="25" t="str">
        <f>IFERROR(__xludf.DUMMYFUNCTION("""COMPUTED_VALUE"""),"ORION PHARMA")</f>
        <v>ORION PHARMA</v>
      </c>
    </row>
    <row r="2187">
      <c r="H2187" s="25" t="str">
        <f>IFERROR(__xludf.DUMMYFUNCTION("""COMPUTED_VALUE"""),"ORISON PHARMA INTERNATIONAL")</f>
        <v>ORISON PHARMA INTERNATIONAL</v>
      </c>
    </row>
    <row r="2188">
      <c r="H2188" s="25" t="str">
        <f>IFERROR(__xludf.DUMMYFUNCTION("""COMPUTED_VALUE"""),"ORIVA NUTRITION")</f>
        <v>ORIVA NUTRITION</v>
      </c>
    </row>
    <row r="2189">
      <c r="H2189" s="25" t="str">
        <f>IFERROR(__xludf.DUMMYFUNCTION("""COMPUTED_VALUE"""),"ORLLYFORD HEALTHCARE")</f>
        <v>ORLLYFORD HEALTHCARE</v>
      </c>
    </row>
    <row r="2190">
      <c r="H2190" s="25" t="str">
        <f>IFERROR(__xludf.DUMMYFUNCTION("""COMPUTED_VALUE"""),"Oscar Remedies")</f>
        <v>Oscar Remedies</v>
      </c>
    </row>
    <row r="2191">
      <c r="H2191" s="25" t="str">
        <f>IFERROR(__xludf.DUMMYFUNCTION("""COMPUTED_VALUE"""),"Oscar Remedies (EVANS Pharma)")</f>
        <v>Oscar Remedies (EVANS Pharma)</v>
      </c>
    </row>
    <row r="2192">
      <c r="H2192" s="25" t="str">
        <f>IFERROR(__xludf.DUMMYFUNCTION("""COMPUTED_VALUE"""),"Oscar Remedies (Indoss Life Sciences)")</f>
        <v>Oscar Remedies (Indoss Life Sciences)</v>
      </c>
    </row>
    <row r="2193">
      <c r="H2193" s="25" t="str">
        <f>IFERROR(__xludf.DUMMYFUNCTION("""COMPUTED_VALUE"""),"Oscar Remedies (MAK Pharmaceuticals)")</f>
        <v>Oscar Remedies (MAK Pharmaceuticals)</v>
      </c>
    </row>
    <row r="2194">
      <c r="H2194" s="25" t="str">
        <f>IFERROR(__xludf.DUMMYFUNCTION("""COMPUTED_VALUE"""),"Oscar Remedies (Next Way India)")</f>
        <v>Oscar Remedies (Next Way India)</v>
      </c>
    </row>
    <row r="2195">
      <c r="H2195" s="25" t="str">
        <f>IFERROR(__xludf.DUMMYFUNCTION("""COMPUTED_VALUE"""),"Oscar Remedies Pvt Ltd")</f>
        <v>Oscar Remedies Pvt Ltd</v>
      </c>
    </row>
    <row r="2196">
      <c r="H2196" s="25" t="str">
        <f>IFERROR(__xludf.DUMMYFUNCTION("""COMPUTED_VALUE"""),"OSMED FORMULATIONS")</f>
        <v>OSMED FORMULATIONS</v>
      </c>
    </row>
    <row r="2197">
      <c r="H2197" s="25" t="str">
        <f>IFERROR(__xludf.DUMMYFUNCTION("""COMPUTED_VALUE"""),"OSPICARE LIFE SCIENCES PVT LTD")</f>
        <v>OSPICARE LIFE SCIENCES PVT LTD</v>
      </c>
    </row>
    <row r="2198">
      <c r="H2198" s="25" t="str">
        <f>IFERROR(__xludf.DUMMYFUNCTION("""COMPUTED_VALUE"""),"OSQUE PHARMA PVT LTD")</f>
        <v>OSQUE PHARMA PVT LTD</v>
      </c>
    </row>
    <row r="2199">
      <c r="H2199" s="25" t="str">
        <f>IFERROR(__xludf.DUMMYFUNCTION("""COMPUTED_VALUE"""),"OTHANTIC (DERMA)")</f>
        <v>OTHANTIC (DERMA)</v>
      </c>
    </row>
    <row r="2200">
      <c r="H2200" s="25" t="str">
        <f>IFERROR(__xludf.DUMMYFUNCTION("""COMPUTED_VALUE"""),"OTHANTIC (KIYOMI)")</f>
        <v>OTHANTIC (KIYOMI)</v>
      </c>
    </row>
    <row r="2201">
      <c r="H2201" s="25" t="str">
        <f>IFERROR(__xludf.DUMMYFUNCTION("""COMPUTED_VALUE"""),"OTSUKA")</f>
        <v>OTSUKA</v>
      </c>
    </row>
    <row r="2202">
      <c r="H2202" s="25" t="str">
        <f>IFERROR(__xludf.DUMMYFUNCTION("""COMPUTED_VALUE"""),"OVAL ORGANICS")</f>
        <v>OVAL ORGANICS</v>
      </c>
    </row>
    <row r="2203">
      <c r="H2203" s="25" t="str">
        <f>IFERROR(__xludf.DUMMYFUNCTION("""COMPUTED_VALUE"""),"Overseas Healthcare Pvt Ltd")</f>
        <v>Overseas Healthcare Pvt Ltd</v>
      </c>
    </row>
    <row r="2204">
      <c r="H2204" s="25" t="str">
        <f>IFERROR(__xludf.DUMMYFUNCTION("""COMPUTED_VALUE"""),"OVERSES HEALTHCARE")</f>
        <v>OVERSES HEALTHCARE</v>
      </c>
    </row>
    <row r="2205">
      <c r="H2205" s="25" t="str">
        <f>IFERROR(__xludf.DUMMYFUNCTION("""COMPUTED_VALUE"""),"OXFORD PHARMA")</f>
        <v>OXFORD PHARMA</v>
      </c>
    </row>
    <row r="2206">
      <c r="H2206" s="25" t="str">
        <f>IFERROR(__xludf.DUMMYFUNCTION("""COMPUTED_VALUE"""),"OZONE (NUCLEUS)")</f>
        <v>OZONE (NUCLEUS)</v>
      </c>
    </row>
    <row r="2207">
      <c r="H2207" s="25" t="str">
        <f>IFERROR(__xludf.DUMMYFUNCTION("""COMPUTED_VALUE"""),"OZONE (PROTON)")</f>
        <v>OZONE (PROTON)</v>
      </c>
    </row>
    <row r="2208">
      <c r="H2208" s="25" t="str">
        <f>IFERROR(__xludf.DUMMYFUNCTION("""COMPUTED_VALUE"""),"OZONE AYURVEDICS")</f>
        <v>OZONE AYURVEDICS</v>
      </c>
    </row>
    <row r="2209">
      <c r="H2209" s="25" t="str">
        <f>IFERROR(__xludf.DUMMYFUNCTION("""COMPUTED_VALUE"""),"OZONE PHARMA CYCONAL")</f>
        <v>OZONE PHARMA CYCONAL</v>
      </c>
    </row>
    <row r="2210">
      <c r="H2210" s="25" t="str">
        <f>IFERROR(__xludf.DUMMYFUNCTION("""COMPUTED_VALUE"""),"Ozone Pharmaceuticals Ltd")</f>
        <v>Ozone Pharmaceuticals Ltd</v>
      </c>
    </row>
    <row r="2211">
      <c r="H2211" s="25" t="str">
        <f>IFERROR(__xludf.DUMMYFUNCTION("""COMPUTED_VALUE"""),"P M RATHOD COMPANY")</f>
        <v>P M RATHOD COMPANY</v>
      </c>
    </row>
    <row r="2212">
      <c r="H2212" s="25" t="str">
        <f>IFERROR(__xludf.DUMMYFUNCTION("""COMPUTED_VALUE"""),"P&amp;B PHARMA")</f>
        <v>P&amp;B PHARMA</v>
      </c>
    </row>
    <row r="2213">
      <c r="H2213" s="25" t="str">
        <f>IFERROR(__xludf.DUMMYFUNCTION("""COMPUTED_VALUE"""),"P&amp;G PHARMA")</f>
        <v>P&amp;G PHARMA</v>
      </c>
    </row>
    <row r="2214">
      <c r="H2214" s="25" t="str">
        <f>IFERROR(__xludf.DUMMYFUNCTION("""COMPUTED_VALUE"""),"PACE PHARMACEUTICALS")</f>
        <v>PACE PHARMACEUTICALS</v>
      </c>
    </row>
    <row r="2215">
      <c r="H2215" s="25" t="str">
        <f>IFERROR(__xludf.DUMMYFUNCTION("""COMPUTED_VALUE"""),"PACIFIC MED.&amp; BIO.")</f>
        <v>PACIFIC MED.&amp; BIO.</v>
      </c>
    </row>
    <row r="2216">
      <c r="H2216" s="25" t="str">
        <f>IFERROR(__xludf.DUMMYFUNCTION("""COMPUTED_VALUE"""),"PACITORA BIOTECH")</f>
        <v>PACITORA BIOTECH</v>
      </c>
    </row>
    <row r="2217">
      <c r="H2217" s="25" t="str">
        <f>IFERROR(__xludf.DUMMYFUNCTION("""COMPUTED_VALUE"""),"PACT INDIA")</f>
        <v>PACT INDIA</v>
      </c>
    </row>
    <row r="2218">
      <c r="H2218" s="25" t="str">
        <f>IFERROR(__xludf.DUMMYFUNCTION("""COMPUTED_VALUE"""),"PAEON PHARMACEUTICALS PVT LTD")</f>
        <v>PAEON PHARMACEUTICALS PVT LTD</v>
      </c>
    </row>
    <row r="2219">
      <c r="H2219" s="25" t="str">
        <f>IFERROR(__xludf.DUMMYFUNCTION("""COMPUTED_VALUE"""),"Paksons Pharmaceuticals P Ltd")</f>
        <v>Paksons Pharmaceuticals P Ltd</v>
      </c>
    </row>
    <row r="2220">
      <c r="H2220" s="25" t="str">
        <f>IFERROR(__xludf.DUMMYFUNCTION("""COMPUTED_VALUE"""),"PALSON DRUG")</f>
        <v>PALSON DRUG</v>
      </c>
    </row>
    <row r="2221">
      <c r="H2221" s="25" t="str">
        <f>IFERROR(__xludf.DUMMYFUNCTION("""COMPUTED_VALUE"""),"Palsons Derma")</f>
        <v>Palsons Derma</v>
      </c>
    </row>
    <row r="2222">
      <c r="H2222" s="25" t="str">
        <f>IFERROR(__xludf.DUMMYFUNCTION("""COMPUTED_VALUE"""),"PANACEA (DIACAR ALPHA)")</f>
        <v>PANACEA (DIACAR ALPHA)</v>
      </c>
    </row>
    <row r="2223">
      <c r="H2223" s="25" t="str">
        <f>IFERROR(__xludf.DUMMYFUNCTION("""COMPUTED_VALUE"""),"PANACEA BIOTEC")</f>
        <v>PANACEA BIOTEC</v>
      </c>
    </row>
    <row r="2224">
      <c r="H2224" s="25" t="str">
        <f>IFERROR(__xludf.DUMMYFUNCTION("""COMPUTED_VALUE"""),"Panacea Biotec Ltd")</f>
        <v>Panacea Biotec Ltd</v>
      </c>
    </row>
    <row r="2225">
      <c r="H2225" s="25" t="str">
        <f>IFERROR(__xludf.DUMMYFUNCTION("""COMPUTED_VALUE"""),"PANCHEM LIFE CARE PVT LTD")</f>
        <v>PANCHEM LIFE CARE PVT LTD</v>
      </c>
    </row>
    <row r="2226">
      <c r="H2226" s="25" t="str">
        <f>IFERROR(__xludf.DUMMYFUNCTION("""COMPUTED_VALUE"""),"PANJON LIMITED")</f>
        <v>PANJON LIMITED</v>
      </c>
    </row>
    <row r="2227">
      <c r="H2227" s="25" t="str">
        <f>IFERROR(__xludf.DUMMYFUNCTION("""COMPUTED_VALUE"""),"PANJON PHARMA")</f>
        <v>PANJON PHARMA</v>
      </c>
    </row>
    <row r="2228">
      <c r="H2228" s="25" t="str">
        <f>IFERROR(__xludf.DUMMYFUNCTION("""COMPUTED_VALUE"""),"PANZER PHARMACEUTICALS")</f>
        <v>PANZER PHARMACEUTICALS</v>
      </c>
    </row>
    <row r="2229">
      <c r="H2229" s="25" t="str">
        <f>IFERROR(__xludf.DUMMYFUNCTION("""COMPUTED_VALUE"""),"PARABOLIC DRUGS LTD")</f>
        <v>PARABOLIC DRUGS LTD</v>
      </c>
    </row>
    <row r="2230">
      <c r="H2230" s="25" t="str">
        <f>IFERROR(__xludf.DUMMYFUNCTION("""COMPUTED_VALUE"""),"Paras Pharmaceuticals Ltd")</f>
        <v>Paras Pharmaceuticals Ltd</v>
      </c>
    </row>
    <row r="2231">
      <c r="H2231" s="25" t="str">
        <f>IFERROR(__xludf.DUMMYFUNCTION("""COMPUTED_VALUE"""),"PARASOL LAB")</f>
        <v>PARASOL LAB</v>
      </c>
    </row>
    <row r="2232">
      <c r="H2232" s="25" t="str">
        <f>IFERROR(__xludf.DUMMYFUNCTION("""COMPUTED_VALUE"""),"Parenteral Drugs (PDPL)")</f>
        <v>Parenteral Drugs (PDPL)</v>
      </c>
    </row>
    <row r="2233">
      <c r="H2233" s="25" t="str">
        <f>IFERROR(__xludf.DUMMYFUNCTION("""COMPUTED_VALUE"""),"PARENTERAL DRUGS INDIA LTD")</f>
        <v>PARENTERAL DRUGS INDIA LTD</v>
      </c>
    </row>
    <row r="2234">
      <c r="H2234" s="25" t="str">
        <f>IFERROR(__xludf.DUMMYFUNCTION("""COMPUTED_VALUE"""),"PARK PHARMA")</f>
        <v>PARK PHARMA</v>
      </c>
    </row>
    <row r="2235">
      <c r="H2235" s="25" t="str">
        <f>IFERROR(__xludf.DUMMYFUNCTION("""COMPUTED_VALUE"""),"PARK PHARMACITUCALS SOLAN")</f>
        <v>PARK PHARMACITUCALS SOLAN</v>
      </c>
    </row>
    <row r="2236">
      <c r="H2236" s="25" t="str">
        <f>IFERROR(__xludf.DUMMYFUNCTION("""COMPUTED_VALUE"""),"PARSH PHARMA NEMANVASA")</f>
        <v>PARSH PHARMA NEMANVASA</v>
      </c>
    </row>
    <row r="2237">
      <c r="H2237" s="25" t="str">
        <f>IFERROR(__xludf.DUMMYFUNCTION("""COMPUTED_VALUE"""),"PARSHWA LIFE SCIENCES")</f>
        <v>PARSHWA LIFE SCIENCES</v>
      </c>
    </row>
    <row r="2238">
      <c r="H2238" s="25" t="str">
        <f>IFERROR(__xludf.DUMMYFUNCTION("""COMPUTED_VALUE"""),"PARTH")</f>
        <v>PARTH</v>
      </c>
    </row>
    <row r="2239">
      <c r="H2239" s="25" t="str">
        <f>IFERROR(__xludf.DUMMYFUNCTION("""COMPUTED_VALUE"""),"PARTH REMEDIES")</f>
        <v>PARTH REMEDIES</v>
      </c>
    </row>
    <row r="2240">
      <c r="H2240" s="25" t="str">
        <f>IFERROR(__xludf.DUMMYFUNCTION("""COMPUTED_VALUE"""),"PARUL")</f>
        <v>PARUL</v>
      </c>
    </row>
    <row r="2241">
      <c r="H2241" s="25" t="str">
        <f>IFERROR(__xludf.DUMMYFUNCTION("""COMPUTED_VALUE"""),"PATANJALI AYURVED LTD")</f>
        <v>PATANJALI AYURVED LTD</v>
      </c>
    </row>
    <row r="2242">
      <c r="H2242" s="25" t="str">
        <f>IFERROR(__xludf.DUMMYFUNCTION("""COMPUTED_VALUE"""),"PATLI DABUR HEALTHCARE")</f>
        <v>PATLI DABUR HEALTHCARE</v>
      </c>
    </row>
    <row r="2243">
      <c r="H2243" s="25" t="str">
        <f>IFERROR(__xludf.DUMMYFUNCTION("""COMPUTED_VALUE"""),"PATSON LABORATORIES")</f>
        <v>PATSON LABORATORIES</v>
      </c>
    </row>
    <row r="2244">
      <c r="H2244" s="25" t="str">
        <f>IFERROR(__xludf.DUMMYFUNCTION("""COMPUTED_VALUE"""),"PCI")</f>
        <v>PCI</v>
      </c>
    </row>
    <row r="2245">
      <c r="H2245" s="25" t="str">
        <f>IFERROR(__xludf.DUMMYFUNCTION("""COMPUTED_VALUE"""),"PEDIACARE BIOTECH")</f>
        <v>PEDIACARE BIOTECH</v>
      </c>
    </row>
    <row r="2246">
      <c r="H2246" s="25" t="str">
        <f>IFERROR(__xludf.DUMMYFUNCTION("""COMPUTED_VALUE"""),"PEDIGREE")</f>
        <v>PEDIGREE</v>
      </c>
    </row>
    <row r="2247">
      <c r="H2247" s="25" t="str">
        <f>IFERROR(__xludf.DUMMYFUNCTION("""COMPUTED_VALUE"""),"PEELIFE PHARMACEUTICAL PVT LTD")</f>
        <v>PEELIFE PHARMACEUTICAL PVT LTD</v>
      </c>
    </row>
    <row r="2248">
      <c r="H2248" s="25" t="str">
        <f>IFERROR(__xludf.DUMMYFUNCTION("""COMPUTED_VALUE"""),"PEHAL LIFE SCIENCE P LTD")</f>
        <v>PEHAL LIFE SCIENCE P LTD</v>
      </c>
    </row>
    <row r="2249">
      <c r="H2249" s="25" t="str">
        <f>IFERROR(__xludf.DUMMYFUNCTION("""COMPUTED_VALUE"""),"PENTA PHARMA")</f>
        <v>PENTA PHARMA</v>
      </c>
    </row>
    <row r="2250">
      <c r="H2250" s="25" t="str">
        <f>IFERROR(__xludf.DUMMYFUNCTION("""COMPUTED_VALUE"""),"PERCEPT PHARMA LTD")</f>
        <v>PERCEPT PHARMA LTD</v>
      </c>
    </row>
    <row r="2251">
      <c r="H2251" s="25" t="str">
        <f>IFERROR(__xludf.DUMMYFUNCTION("""COMPUTED_VALUE"""),"Percos India Pvt Ltd")</f>
        <v>Percos India Pvt Ltd</v>
      </c>
    </row>
    <row r="2252">
      <c r="H2252" s="25" t="str">
        <f>IFERROR(__xludf.DUMMYFUNCTION("""COMPUTED_VALUE"""),"PERILLA LIFE SCIENCE PVT LTD")</f>
        <v>PERILLA LIFE SCIENCE PVT LTD</v>
      </c>
    </row>
    <row r="2253">
      <c r="H2253" s="25" t="str">
        <f>IFERROR(__xludf.DUMMYFUNCTION("""COMPUTED_VALUE"""),"PFIZER (CNS)")</f>
        <v>PFIZER (CNS)</v>
      </c>
    </row>
    <row r="2254">
      <c r="H2254" s="25" t="str">
        <f>IFERROR(__xludf.DUMMYFUNCTION("""COMPUTED_VALUE"""),"PFIZER (CRITICAL)")</f>
        <v>PFIZER (CRITICAL)</v>
      </c>
    </row>
    <row r="2255">
      <c r="H2255" s="25" t="str">
        <f>IFERROR(__xludf.DUMMYFUNCTION("""COMPUTED_VALUE"""),"PFIZER (FUTURA)")</f>
        <v>PFIZER (FUTURA)</v>
      </c>
    </row>
    <row r="2256">
      <c r="H2256" s="25" t="str">
        <f>IFERROR(__xludf.DUMMYFUNCTION("""COMPUTED_VALUE"""),"PFIZER (INTIMA)")</f>
        <v>PFIZER (INTIMA)</v>
      </c>
    </row>
    <row r="2257">
      <c r="H2257" s="25" t="str">
        <f>IFERROR(__xludf.DUMMYFUNCTION("""COMPUTED_VALUE"""),"PFIZER (MAGNUM)")</f>
        <v>PFIZER (MAGNUM)</v>
      </c>
    </row>
    <row r="2258">
      <c r="H2258" s="25" t="str">
        <f>IFERROR(__xludf.DUMMYFUNCTION("""COMPUTED_VALUE"""),"PFIZER (OTC)")</f>
        <v>PFIZER (OTC)</v>
      </c>
    </row>
    <row r="2259">
      <c r="H2259" s="25" t="str">
        <f>IFERROR(__xludf.DUMMYFUNCTION("""COMPUTED_VALUE"""),"PFIZER (PAIN TEAM)")</f>
        <v>PFIZER (PAIN TEAM)</v>
      </c>
    </row>
    <row r="2260">
      <c r="H2260" s="25" t="str">
        <f>IFERROR(__xludf.DUMMYFUNCTION("""COMPUTED_VALUE"""),"PFIZER (RESPIRATORY TEAM)")</f>
        <v>PFIZER (RESPIRATORY TEAM)</v>
      </c>
    </row>
    <row r="2261">
      <c r="H2261" s="25" t="str">
        <f>IFERROR(__xludf.DUMMYFUNCTION("""COMPUTED_VALUE"""),"PFIZER (ULTIMA)")</f>
        <v>PFIZER (ULTIMA)</v>
      </c>
    </row>
    <row r="2262">
      <c r="H2262" s="25" t="str">
        <f>IFERROR(__xludf.DUMMYFUNCTION("""COMPUTED_VALUE"""),"Pfizer Ltd")</f>
        <v>Pfizer Ltd</v>
      </c>
    </row>
    <row r="2263">
      <c r="H2263" s="25" t="str">
        <f>IFERROR(__xludf.DUMMYFUNCTION("""COMPUTED_VALUE"""),"Pfizer Ltd (CRITICAL)")</f>
        <v>Pfizer Ltd (CRITICAL)</v>
      </c>
    </row>
    <row r="2264">
      <c r="H2264" s="25" t="str">
        <f>IFERROR(__xludf.DUMMYFUNCTION("""COMPUTED_VALUE"""),"Pfizer Ltd&amp; UPJOHN PVT.LTD.")</f>
        <v>Pfizer Ltd&amp; UPJOHN PVT.LTD.</v>
      </c>
    </row>
    <row r="2265">
      <c r="H2265" s="25" t="str">
        <f>IFERROR(__xludf.DUMMYFUNCTION("""COMPUTED_VALUE"""),"PHARMA ASIA DRUG")</f>
        <v>PHARMA ASIA DRUG</v>
      </c>
    </row>
    <row r="2266">
      <c r="H2266" s="25" t="str">
        <f>IFERROR(__xludf.DUMMYFUNCTION("""COMPUTED_VALUE"""),"PHARMA CORP INC (GENERIC)")</f>
        <v>PHARMA CORP INC (GENERIC)</v>
      </c>
    </row>
    <row r="2267">
      <c r="H2267" s="25" t="str">
        <f>IFERROR(__xludf.DUMMYFUNCTION("""COMPUTED_VALUE"""),"Pharma Fabrikon")</f>
        <v>Pharma Fabrikon</v>
      </c>
    </row>
    <row r="2268">
      <c r="H2268" s="25" t="str">
        <f>IFERROR(__xludf.DUMMYFUNCTION("""COMPUTED_VALUE"""),"Pharma Link Pvt Ltd")</f>
        <v>Pharma Link Pvt Ltd</v>
      </c>
    </row>
    <row r="2269">
      <c r="H2269" s="25" t="str">
        <f>IFERROR(__xludf.DUMMYFUNCTION("""COMPUTED_VALUE"""),"PHARMA NOVA")</f>
        <v>PHARMA NOVA</v>
      </c>
    </row>
    <row r="2270">
      <c r="H2270" s="25" t="str">
        <f>IFERROR(__xludf.DUMMYFUNCTION("""COMPUTED_VALUE"""),"PHARMA PLANET INDIA")</f>
        <v>PHARMA PLANET INDIA</v>
      </c>
    </row>
    <row r="2271">
      <c r="H2271" s="25" t="str">
        <f>IFERROR(__xludf.DUMMYFUNCTION("""COMPUTED_VALUE"""),"PHARMA SYNTH FORMULATIONS LTD")</f>
        <v>PHARMA SYNTH FORMULATIONS LTD</v>
      </c>
    </row>
    <row r="2272">
      <c r="H2272" s="25" t="str">
        <f>IFERROR(__xludf.DUMMYFUNCTION("""COMPUTED_VALUE"""),"Pharma-Tech India")</f>
        <v>Pharma-Tech India</v>
      </c>
    </row>
    <row r="2273">
      <c r="H2273" s="25" t="str">
        <f>IFERROR(__xludf.DUMMYFUNCTION("""COMPUTED_VALUE"""),"PHARMACHEM PVT LTD")</f>
        <v>PHARMACHEM PVT LTD</v>
      </c>
    </row>
    <row r="2274">
      <c r="H2274" s="25" t="str">
        <f>IFERROR(__xludf.DUMMYFUNCTION("""COMPUTED_VALUE"""),"PHARMACORPO INDIA")</f>
        <v>PHARMACORPO INDIA</v>
      </c>
    </row>
    <row r="2275">
      <c r="H2275" s="25" t="str">
        <f>IFERROR(__xludf.DUMMYFUNCTION("""COMPUTED_VALUE"""),"PHARMALINK")</f>
        <v>PHARMALINK</v>
      </c>
    </row>
    <row r="2276">
      <c r="H2276" s="25" t="str">
        <f>IFERROR(__xludf.DUMMYFUNCTION("""COMPUTED_VALUE"""),"PHARMAMAN MEDITECH PVT LTD")</f>
        <v>PHARMAMAN MEDITECH PVT LTD</v>
      </c>
    </row>
    <row r="2277">
      <c r="H2277" s="25" t="str">
        <f>IFERROR(__xludf.DUMMYFUNCTION("""COMPUTED_VALUE"""),"Pharmanova India")</f>
        <v>Pharmanova India</v>
      </c>
    </row>
    <row r="2278">
      <c r="H2278" s="25" t="str">
        <f>IFERROR(__xludf.DUMMYFUNCTION("""COMPUTED_VALUE"""),"PHARMANOVA INDIA DRUGS PVT LTD")</f>
        <v>PHARMANOVA INDIA DRUGS PVT LTD</v>
      </c>
    </row>
    <row r="2279">
      <c r="H2279" s="25" t="str">
        <f>IFERROR(__xludf.DUMMYFUNCTION("""COMPUTED_VALUE"""),"PHARMANOVA SPECIALITIES")</f>
        <v>PHARMANOVA SPECIALITIES</v>
      </c>
    </row>
    <row r="2280">
      <c r="H2280" s="25" t="str">
        <f>IFERROR(__xludf.DUMMYFUNCTION("""COMPUTED_VALUE"""),"PHARMASIA")</f>
        <v>PHARMASIA</v>
      </c>
    </row>
    <row r="2281">
      <c r="H2281" s="25" t="str">
        <f>IFERROR(__xludf.DUMMYFUNCTION("""COMPUTED_VALUE"""),"PHARMASUN")</f>
        <v>PHARMASUN</v>
      </c>
    </row>
    <row r="2282">
      <c r="H2282" s="25" t="str">
        <f>IFERROR(__xludf.DUMMYFUNCTION("""COMPUTED_VALUE"""),"Pharmatak Opthalmics Pvt Ltd")</f>
        <v>Pharmatak Opthalmics Pvt Ltd</v>
      </c>
    </row>
    <row r="2283">
      <c r="H2283" s="25" t="str">
        <f>IFERROR(__xludf.DUMMYFUNCTION("""COMPUTED_VALUE"""),"Pharmatak Opthalmics Pvt Ltd OPTHALMICS")</f>
        <v>Pharmatak Opthalmics Pvt Ltd OPTHALMICS</v>
      </c>
    </row>
    <row r="2284">
      <c r="H2284" s="25" t="str">
        <f>IFERROR(__xludf.DUMMYFUNCTION("""COMPUTED_VALUE"""),"PHARMAX INDIA PVT LTD")</f>
        <v>PHARMAX INDIA PVT LTD</v>
      </c>
    </row>
    <row r="2285">
      <c r="H2285" s="25" t="str">
        <f>IFERROR(__xludf.DUMMYFUNCTION("""COMPUTED_VALUE"""),"Pharmed Ltd")</f>
        <v>Pharmed Ltd</v>
      </c>
    </row>
    <row r="2286">
      <c r="H2286" s="25" t="str">
        <f>IFERROR(__xludf.DUMMYFUNCTION("""COMPUTED_VALUE"""),"PHARMTAK")</f>
        <v>PHARMTAK</v>
      </c>
    </row>
    <row r="2287">
      <c r="H2287" s="25" t="str">
        <f>IFERROR(__xludf.DUMMYFUNCTION("""COMPUTED_VALUE"""),"PICWELL PHARMACEUTICALS P LTD")</f>
        <v>PICWELL PHARMACEUTICALS P LTD</v>
      </c>
    </row>
    <row r="2288">
      <c r="H2288" s="25" t="str">
        <f>IFERROR(__xludf.DUMMYFUNCTION("""COMPUTED_VALUE"""),"PIFER PHARMACEUTICALS")</f>
        <v>PIFER PHARMACEUTICALS</v>
      </c>
    </row>
    <row r="2289">
      <c r="H2289" s="25" t="str">
        <f>IFERROR(__xludf.DUMMYFUNCTION("""COMPUTED_VALUE"""),"PILCO PHARMA PVT LTD")</f>
        <v>PILCO PHARMA PVT LTD</v>
      </c>
    </row>
    <row r="2290">
      <c r="H2290" s="25" t="str">
        <f>IFERROR(__xludf.DUMMYFUNCTION("""COMPUTED_VALUE"""),"PINEHEARTS HEALTHCARE")</f>
        <v>PINEHEARTS HEALTHCARE</v>
      </c>
    </row>
    <row r="2291">
      <c r="H2291" s="25" t="str">
        <f>IFERROR(__xludf.DUMMYFUNCTION("""COMPUTED_VALUE"""),"PINK HEALTH (BRD GROUP)")</f>
        <v>PINK HEALTH (BRD GROUP)</v>
      </c>
    </row>
    <row r="2292">
      <c r="H2292" s="25" t="str">
        <f>IFERROR(__xludf.DUMMYFUNCTION("""COMPUTED_VALUE"""),"PINK Health (Deleted)")</f>
        <v>PINK Health (Deleted)</v>
      </c>
    </row>
    <row r="2293">
      <c r="H2293" s="25" t="str">
        <f>IFERROR(__xludf.DUMMYFUNCTION("""COMPUTED_VALUE"""),"PIOMA CHEMICALS")</f>
        <v>PIOMA CHEMICALS</v>
      </c>
    </row>
    <row r="2294">
      <c r="H2294" s="25" t="str">
        <f>IFERROR(__xludf.DUMMYFUNCTION("""COMPUTED_VALUE"""),"PIRAMAL (ACUTE CARE)")</f>
        <v>PIRAMAL (ACUTE CARE)</v>
      </c>
    </row>
    <row r="2295">
      <c r="H2295" s="25" t="str">
        <f>IFERROR(__xludf.DUMMYFUNCTION("""COMPUTED_VALUE"""),"PIRAMAL (CARDIAC)")</f>
        <v>PIRAMAL (CARDIAC)</v>
      </c>
    </row>
    <row r="2296">
      <c r="H2296" s="25" t="str">
        <f>IFERROR(__xludf.DUMMYFUNCTION("""COMPUTED_VALUE"""),"PIRAMAL (CARDIO DIABETES)")</f>
        <v>PIRAMAL (CARDIO DIABETES)</v>
      </c>
    </row>
    <row r="2297">
      <c r="H2297" s="25" t="str">
        <f>IFERROR(__xludf.DUMMYFUNCTION("""COMPUTED_VALUE"""),"PIRAMAL (CNS TASK)")</f>
        <v>PIRAMAL (CNS TASK)</v>
      </c>
    </row>
    <row r="2298">
      <c r="H2298" s="25" t="str">
        <f>IFERROR(__xludf.DUMMYFUNCTION("""COMPUTED_VALUE"""),"PIRAMAL (CONSUMER)")</f>
        <v>PIRAMAL (CONSUMER)</v>
      </c>
    </row>
    <row r="2299">
      <c r="H2299" s="25" t="str">
        <f>IFERROR(__xludf.DUMMYFUNCTION("""COMPUTED_VALUE"""),"PIRAMAL (CRITICAL CARDIOLOGY)")</f>
        <v>PIRAMAL (CRITICAL CARDIOLOGY)</v>
      </c>
    </row>
    <row r="2300">
      <c r="H2300" s="25" t="str">
        <f>IFERROR(__xludf.DUMMYFUNCTION("""COMPUTED_VALUE"""),"PIRAMAL (CTF)")</f>
        <v>PIRAMAL (CTF)</v>
      </c>
    </row>
    <row r="2301">
      <c r="H2301" s="25" t="str">
        <f>IFERROR(__xludf.DUMMYFUNCTION("""COMPUTED_VALUE"""),"PIRAMAL (DERMA COSMETICS)")</f>
        <v>PIRAMAL (DERMA COSMETICS)</v>
      </c>
    </row>
    <row r="2302">
      <c r="H2302" s="25" t="str">
        <f>IFERROR(__xludf.DUMMYFUNCTION("""COMPUTED_VALUE"""),"PIRAMAL (DERMA)")</f>
        <v>PIRAMAL (DERMA)</v>
      </c>
    </row>
    <row r="2303">
      <c r="H2303" s="25" t="str">
        <f>IFERROR(__xludf.DUMMYFUNCTION("""COMPUTED_VALUE"""),"PIRAMAL (DIABETES)")</f>
        <v>PIRAMAL (DIABETES)</v>
      </c>
    </row>
    <row r="2304">
      <c r="H2304" s="25" t="str">
        <f>IFERROR(__xludf.DUMMYFUNCTION("""COMPUTED_VALUE"""),"PIRAMAL (DIABITIES TASK FORCE)")</f>
        <v>PIRAMAL (DIABITIES TASK FORCE)</v>
      </c>
    </row>
    <row r="2305">
      <c r="H2305" s="25" t="str">
        <f>IFERROR(__xludf.DUMMYFUNCTION("""COMPUTED_VALUE"""),"PIRAMAL (ENDURA)")</f>
        <v>PIRAMAL (ENDURA)</v>
      </c>
    </row>
    <row r="2306">
      <c r="H2306" s="25" t="str">
        <f>IFERROR(__xludf.DUMMYFUNCTION("""COMPUTED_VALUE"""),"PIRAMAL (ENTERPRISES)")</f>
        <v>PIRAMAL (ENTERPRISES)</v>
      </c>
    </row>
    <row r="2307">
      <c r="H2307" s="25" t="str">
        <f>IFERROR(__xludf.DUMMYFUNCTION("""COMPUTED_VALUE"""),"PIRAMAL (GENERAL MEDICINE)")</f>
        <v>PIRAMAL (GENERAL MEDICINE)</v>
      </c>
    </row>
    <row r="2308">
      <c r="H2308" s="25" t="str">
        <f>IFERROR(__xludf.DUMMYFUNCTION("""COMPUTED_VALUE"""),"PIRAMAL (GENNEXT)")</f>
        <v>PIRAMAL (GENNEXT)</v>
      </c>
    </row>
    <row r="2309">
      <c r="H2309" s="25" t="str">
        <f>IFERROR(__xludf.DUMMYFUNCTION("""COMPUTED_VALUE"""),"PIRAMAL (MULTI SPECIALITY)")</f>
        <v>PIRAMAL (MULTI SPECIALITY)</v>
      </c>
    </row>
    <row r="2310">
      <c r="H2310" s="25" t="str">
        <f>IFERROR(__xludf.DUMMYFUNCTION("""COMPUTED_VALUE"""),"PIRAMAL (MULTY THERAPY)")</f>
        <v>PIRAMAL (MULTY THERAPY)</v>
      </c>
    </row>
    <row r="2311">
      <c r="H2311" s="25" t="str">
        <f>IFERROR(__xludf.DUMMYFUNCTION("""COMPUTED_VALUE"""),"PIRAMAL (NEURO PSYCHIATRY)")</f>
        <v>PIRAMAL (NEURO PSYCHIATRY)</v>
      </c>
    </row>
    <row r="2312">
      <c r="H2312" s="25" t="str">
        <f>IFERROR(__xludf.DUMMYFUNCTION("""COMPUTED_VALUE"""),"PIRAMAL (NPD)")</f>
        <v>PIRAMAL (NPD)</v>
      </c>
    </row>
    <row r="2313">
      <c r="H2313" s="25" t="str">
        <f>IFERROR(__xludf.DUMMYFUNCTION("""COMPUTED_VALUE"""),"PIRAMAL (ORTHO TASK FORCE)")</f>
        <v>PIRAMAL (ORTHO TASK FORCE)</v>
      </c>
    </row>
    <row r="2314">
      <c r="H2314" s="25" t="str">
        <f>IFERROR(__xludf.DUMMYFUNCTION("""COMPUTED_VALUE"""),"PIRAMAL (ORTHO)")</f>
        <v>PIRAMAL (ORTHO)</v>
      </c>
    </row>
    <row r="2315">
      <c r="H2315" s="25" t="str">
        <f>IFERROR(__xludf.DUMMYFUNCTION("""COMPUTED_VALUE"""),"PIRAMAL (PAIN MANAGEMENT)")</f>
        <v>PIRAMAL (PAIN MANAGEMENT)</v>
      </c>
    </row>
    <row r="2316">
      <c r="H2316" s="25" t="str">
        <f>IFERROR(__xludf.DUMMYFUNCTION("""COMPUTED_VALUE"""),"PIRAMAL (PLATINA)")</f>
        <v>PIRAMAL (PLATINA)</v>
      </c>
    </row>
    <row r="2317">
      <c r="H2317" s="25" t="str">
        <f>IFERROR(__xludf.DUMMYFUNCTION("""COMPUTED_VALUE"""),"PIRAMAL (RESPICARE)")</f>
        <v>PIRAMAL (RESPICARE)</v>
      </c>
    </row>
    <row r="2318">
      <c r="H2318" s="25" t="str">
        <f>IFERROR(__xludf.DUMMYFUNCTION("""COMPUTED_VALUE"""),"PIRAMAL (RESTORA)")</f>
        <v>PIRAMAL (RESTORA)</v>
      </c>
    </row>
    <row r="2319">
      <c r="H2319" s="25" t="str">
        <f>IFERROR(__xludf.DUMMYFUNCTION("""COMPUTED_VALUE"""),"PIRAMAL (S C GLEDEPA)")</f>
        <v>PIRAMAL (S C GLEDEPA)</v>
      </c>
    </row>
    <row r="2320">
      <c r="H2320" s="25" t="str">
        <f>IFERROR(__xludf.DUMMYFUNCTION("""COMPUTED_VALUE"""),"PIRAMAL (S C METALIFE)")</f>
        <v>PIRAMAL (S C METALIFE)</v>
      </c>
    </row>
    <row r="2321">
      <c r="H2321" s="25" t="str">
        <f>IFERROR(__xludf.DUMMYFUNCTION("""COMPUTED_VALUE"""),"PIRAMAL (SOLVAY)")</f>
        <v>PIRAMAL (SOLVAY)</v>
      </c>
    </row>
    <row r="2322">
      <c r="H2322" s="25" t="str">
        <f>IFERROR(__xludf.DUMMYFUNCTION("""COMPUTED_VALUE"""),"PIRAMAL (TM PENTIDS)")</f>
        <v>PIRAMAL (TM PENTIDS)</v>
      </c>
    </row>
    <row r="2323">
      <c r="H2323" s="25" t="str">
        <f>IFERROR(__xludf.DUMMYFUNCTION("""COMPUTED_VALUE"""),"Piramal Healthcare Limited")</f>
        <v>Piramal Healthcare Limited</v>
      </c>
    </row>
    <row r="2324">
      <c r="H2324" s="25" t="str">
        <f>IFERROR(__xludf.DUMMYFUNCTION("""COMPUTED_VALUE"""),"PIRAMAL SPCLTS")</f>
        <v>PIRAMAL SPCLTS</v>
      </c>
    </row>
    <row r="2325">
      <c r="H2325" s="25" t="str">
        <f>IFERROR(__xludf.DUMMYFUNCTION("""COMPUTED_VALUE"""),"PITAMBARI PRODUCTS")</f>
        <v>PITAMBARI PRODUCTS</v>
      </c>
    </row>
    <row r="2326">
      <c r="H2326" s="25" t="str">
        <f>IFERROR(__xludf.DUMMYFUNCTION("""COMPUTED_VALUE"""),"Planet Ayurveda")</f>
        <v>Planet Ayurveda</v>
      </c>
    </row>
    <row r="2327">
      <c r="H2327" s="25" t="str">
        <f>IFERROR(__xludf.DUMMYFUNCTION("""COMPUTED_VALUE"""),"PLANET HERBS LIFESCIENCES")</f>
        <v>PLANET HERBS LIFESCIENCES</v>
      </c>
    </row>
    <row r="2328">
      <c r="H2328" s="25" t="str">
        <f>IFERROR(__xludf.DUMMYFUNCTION("""COMPUTED_VALUE"""),"PLASMA HEALTH CARE")</f>
        <v>PLASMA HEALTH CARE</v>
      </c>
    </row>
    <row r="2329">
      <c r="H2329" s="25" t="str">
        <f>IFERROR(__xludf.DUMMYFUNCTION("""COMPUTED_VALUE"""),"PLASMAGEN BIOSCIENCES PVT LTD")</f>
        <v>PLASMAGEN BIOSCIENCES PVT LTD</v>
      </c>
    </row>
    <row r="2330">
      <c r="H2330" s="25" t="str">
        <f>IFERROR(__xludf.DUMMYFUNCTION("""COMPUTED_VALUE"""),"PLASMID HEALTH CARE")</f>
        <v>PLASMID HEALTH CARE</v>
      </c>
    </row>
    <row r="2331">
      <c r="H2331" s="25" t="str">
        <f>IFERROR(__xludf.DUMMYFUNCTION("""COMPUTED_VALUE"""),"PLASMOGEN BIOSCIENCES")</f>
        <v>PLASMOGEN BIOSCIENCES</v>
      </c>
    </row>
    <row r="2332">
      <c r="H2332" s="25" t="str">
        <f>IFERROR(__xludf.DUMMYFUNCTION("""COMPUTED_VALUE"""),"PLEASANT PHARMACEUTICAL PVT LTD")</f>
        <v>PLEASANT PHARMACEUTICAL PVT LTD</v>
      </c>
    </row>
    <row r="2333">
      <c r="H2333" s="25" t="str">
        <f>IFERROR(__xludf.DUMMYFUNCTION("""COMPUTED_VALUE"""),"PLENTEOUS PHARMACEUTICALS LTD")</f>
        <v>PLENTEOUS PHARMACEUTICALS LTD</v>
      </c>
    </row>
    <row r="2334">
      <c r="H2334" s="25" t="str">
        <f>IFERROR(__xludf.DUMMYFUNCTION("""COMPUTED_VALUE"""),"PLETHICO (VOLANT)")</f>
        <v>PLETHICO (VOLANT)</v>
      </c>
    </row>
    <row r="2335">
      <c r="H2335" s="25" t="str">
        <f>IFERROR(__xludf.DUMMYFUNCTION("""COMPUTED_VALUE"""),"POCKET HEALTHCARE PVT LTD")</f>
        <v>POCKET HEALTHCARE PVT LTD</v>
      </c>
    </row>
    <row r="2336">
      <c r="H2336" s="25" t="str">
        <f>IFERROR(__xludf.DUMMYFUNCTION("""COMPUTED_VALUE"""),"POCKET PHARMACY")</f>
        <v>POCKET PHARMACY</v>
      </c>
    </row>
    <row r="2337">
      <c r="H2337" s="25" t="str">
        <f>IFERROR(__xludf.DUMMYFUNCTION("""COMPUTED_VALUE"""),"POLARSTAR LTD.")</f>
        <v>POLARSTAR LTD.</v>
      </c>
    </row>
    <row r="2338">
      <c r="H2338" s="25" t="str">
        <f>IFERROR(__xludf.DUMMYFUNCTION("""COMPUTED_VALUE"""),"POLY MEDICURE PVT LTD")</f>
        <v>POLY MEDICURE PVT LTD</v>
      </c>
    </row>
    <row r="2339">
      <c r="H2339" s="25" t="str">
        <f>IFERROR(__xludf.DUMMYFUNCTION("""COMPUTED_VALUE"""),"POLYBOND INDIA PVT LTD")</f>
        <v>POLYBOND INDIA PVT LTD</v>
      </c>
    </row>
    <row r="2340">
      <c r="H2340" s="25" t="str">
        <f>IFERROR(__xludf.DUMMYFUNCTION("""COMPUTED_VALUE"""),"POPULATION HEALTH SERVICE INDIA")</f>
        <v>POPULATION HEALTH SERVICE INDIA</v>
      </c>
    </row>
    <row r="2341">
      <c r="H2341" s="25" t="str">
        <f>IFERROR(__xludf.DUMMYFUNCTION("""COMPUTED_VALUE"""),"POSITIF PHARMA")</f>
        <v>POSITIF PHARMA</v>
      </c>
    </row>
    <row r="2342">
      <c r="H2342" s="25" t="str">
        <f>IFERROR(__xludf.DUMMYFUNCTION("""COMPUTED_VALUE"""),"PPL HEALTH CARE")</f>
        <v>PPL HEALTH CARE</v>
      </c>
    </row>
    <row r="2343">
      <c r="H2343" s="25" t="str">
        <f>IFERROR(__xludf.DUMMYFUNCTION("""COMPUTED_VALUE"""),"PRAANACHARYA")</f>
        <v>PRAANACHARYA</v>
      </c>
    </row>
    <row r="2344">
      <c r="H2344" s="25" t="str">
        <f>IFERROR(__xludf.DUMMYFUNCTION("""COMPUTED_VALUE"""),"PRAD PHARMA PRODUCT UJJAIN")</f>
        <v>PRAD PHARMA PRODUCT UJJAIN</v>
      </c>
    </row>
    <row r="2345">
      <c r="H2345" s="25" t="str">
        <f>IFERROR(__xludf.DUMMYFUNCTION("""COMPUTED_VALUE"""),"PRAISE PHARMA")</f>
        <v>PRAISE PHARMA</v>
      </c>
    </row>
    <row r="2346">
      <c r="H2346" s="25" t="str">
        <f>IFERROR(__xludf.DUMMYFUNCTION("""COMPUTED_VALUE"""),"PRANO FLEX (INDIA) PVT LTD")</f>
        <v>PRANO FLEX (INDIA) PVT LTD</v>
      </c>
    </row>
    <row r="2347">
      <c r="H2347" s="25" t="str">
        <f>IFERROR(__xludf.DUMMYFUNCTION("""COMPUTED_VALUE"""),"PRATHANA PHARMA")</f>
        <v>PRATHANA PHARMA</v>
      </c>
    </row>
    <row r="2348">
      <c r="H2348" s="25" t="str">
        <f>IFERROR(__xludf.DUMMYFUNCTION("""COMPUTED_VALUE"""),"PRAVEK KALP HERBAL")</f>
        <v>PRAVEK KALP HERBAL</v>
      </c>
    </row>
    <row r="2349">
      <c r="H2349" s="25" t="str">
        <f>IFERROR(__xludf.DUMMYFUNCTION("""COMPUTED_VALUE"""),"PRAYAS PHARMACEUTICALS")</f>
        <v>PRAYAS PHARMACEUTICALS</v>
      </c>
    </row>
    <row r="2350">
      <c r="H2350" s="25" t="str">
        <f>IFERROR(__xludf.DUMMYFUNCTION("""COMPUTED_VALUE"""),"Precia Pharma")</f>
        <v>Precia Pharma</v>
      </c>
    </row>
    <row r="2351">
      <c r="H2351" s="25" t="str">
        <f>IFERROR(__xludf.DUMMYFUNCTION("""COMPUTED_VALUE"""),"PRECIOUS LIFE SCIENCE")</f>
        <v>PRECIOUS LIFE SCIENCE</v>
      </c>
    </row>
    <row r="2352">
      <c r="H2352" s="25" t="str">
        <f>IFERROR(__xludf.DUMMYFUNCTION("""COMPUTED_VALUE"""),"PRECIOUS PHARMA")</f>
        <v>PRECIOUS PHARMA</v>
      </c>
    </row>
    <row r="2353">
      <c r="H2353" s="25" t="str">
        <f>IFERROR(__xludf.DUMMYFUNCTION("""COMPUTED_VALUE"""),"PRECISE HEALTHCARE PVT LTD")</f>
        <v>PRECISE HEALTHCARE PVT LTD</v>
      </c>
    </row>
    <row r="2354">
      <c r="H2354" s="25" t="str">
        <f>IFERROR(__xludf.DUMMYFUNCTION("""COMPUTED_VALUE"""),"PRECTOR LIFESCIENCES")</f>
        <v>PRECTOR LIFESCIENCES</v>
      </c>
    </row>
    <row r="2355">
      <c r="H2355" s="25" t="str">
        <f>IFERROR(__xludf.DUMMYFUNCTION("""COMPUTED_VALUE"""),"PREKEM PHARMACEUTICALS")</f>
        <v>PREKEM PHARMACEUTICALS</v>
      </c>
    </row>
    <row r="2356">
      <c r="H2356" s="25" t="str">
        <f>IFERROR(__xludf.DUMMYFUNCTION("""COMPUTED_VALUE"""),"Prem Pharmaceuticals Ltd")</f>
        <v>Prem Pharmaceuticals Ltd</v>
      </c>
    </row>
    <row r="2357">
      <c r="H2357" s="25" t="str">
        <f>IFERROR(__xludf.DUMMYFUNCTION("""COMPUTED_VALUE"""),"Premier Nutraceuticals Pvt Ltd")</f>
        <v>Premier Nutraceuticals Pvt Ltd</v>
      </c>
    </row>
    <row r="2358">
      <c r="H2358" s="25" t="str">
        <f>IFERROR(__xludf.DUMMYFUNCTION("""COMPUTED_VALUE"""),"PREMIUM SERUMS AND VACCINES PVT LTD")</f>
        <v>PREMIUM SERUMS AND VACCINES PVT LTD</v>
      </c>
    </row>
    <row r="2359">
      <c r="H2359" s="25" t="str">
        <f>IFERROR(__xludf.DUMMYFUNCTION("""COMPUTED_VALUE"""),"PRESCRIPTION MEDICINES PVT LTD")</f>
        <v>PRESCRIPTION MEDICINES PVT LTD</v>
      </c>
    </row>
    <row r="2360">
      <c r="H2360" s="25" t="str">
        <f>IFERROR(__xludf.DUMMYFUNCTION("""COMPUTED_VALUE"""),"PRESINUS PHARMACEUTICAL")</f>
        <v>PRESINUS PHARMACEUTICAL</v>
      </c>
    </row>
    <row r="2361">
      <c r="H2361" s="25" t="str">
        <f>IFERROR(__xludf.DUMMYFUNCTION("""COMPUTED_VALUE"""),"PRETIUM PHARMACEUTICALS")</f>
        <v>PRETIUM PHARMACEUTICALS</v>
      </c>
    </row>
    <row r="2362">
      <c r="H2362" s="25" t="str">
        <f>IFERROR(__xludf.DUMMYFUNCTION("""COMPUTED_VALUE"""),"PRICON SYRINGES AND NEEDLES")</f>
        <v>PRICON SYRINGES AND NEEDLES</v>
      </c>
    </row>
    <row r="2363">
      <c r="H2363" s="25" t="str">
        <f>IFERROR(__xludf.DUMMYFUNCTION("""COMPUTED_VALUE"""),"PRIME LIFE SCIENCES")</f>
        <v>PRIME LIFE SCIENCES</v>
      </c>
    </row>
    <row r="2364">
      <c r="H2364" s="25" t="str">
        <f>IFERROR(__xludf.DUMMYFUNCTION("""COMPUTED_VALUE"""),"PRIMUS PHARMACEUTICALS")</f>
        <v>PRIMUS PHARMACEUTICALS</v>
      </c>
    </row>
    <row r="2365">
      <c r="H2365" s="25" t="str">
        <f>IFERROR(__xludf.DUMMYFUNCTION("""COMPUTED_VALUE"""),"PRINCE CARE PHARMA PVT LTD")</f>
        <v>PRINCE CARE PHARMA PVT LTD</v>
      </c>
    </row>
    <row r="2366">
      <c r="H2366" s="25" t="str">
        <f>IFERROR(__xludf.DUMMYFUNCTION("""COMPUTED_VALUE"""),"PRISM (DERMA)")</f>
        <v>PRISM (DERMA)</v>
      </c>
    </row>
    <row r="2367">
      <c r="H2367" s="25" t="str">
        <f>IFERROR(__xludf.DUMMYFUNCTION("""COMPUTED_VALUE"""),"PRISM LIFE SCIENCES")</f>
        <v>PRISM LIFE SCIENCES</v>
      </c>
    </row>
    <row r="2368">
      <c r="H2368" s="25" t="str">
        <f>IFERROR(__xludf.DUMMYFUNCTION("""COMPUTED_VALUE"""),"PRO LABORATORIES PVT LTD")</f>
        <v>PRO LABORATORIES PVT LTD</v>
      </c>
    </row>
    <row r="2369">
      <c r="H2369" s="25" t="str">
        <f>IFERROR(__xludf.DUMMYFUNCTION("""COMPUTED_VALUE"""),"PROCTER &amp; GAMBLE")</f>
        <v>PROCTER &amp; GAMBLE</v>
      </c>
    </row>
    <row r="2370">
      <c r="H2370" s="25" t="str">
        <f>IFERROR(__xludf.DUMMYFUNCTION("""COMPUTED_VALUE"""),"PROCTOR ORGANICS PVT LTD")</f>
        <v>PROCTOR ORGANICS PVT LTD</v>
      </c>
    </row>
    <row r="2371">
      <c r="H2371" s="25" t="str">
        <f>IFERROR(__xludf.DUMMYFUNCTION("""COMPUTED_VALUE"""),"Product Name")</f>
        <v>Product Name</v>
      </c>
    </row>
    <row r="2372">
      <c r="H2372" s="25" t="str">
        <f>IFERROR(__xludf.DUMMYFUNCTION("""COMPUTED_VALUE"""),"PROFAM HEALTHCARE")</f>
        <v>PROFAM HEALTHCARE</v>
      </c>
    </row>
    <row r="2373">
      <c r="H2373" s="25" t="str">
        <f>IFERROR(__xludf.DUMMYFUNCTION("""COMPUTED_VALUE"""),"PROFIC ORGANIC LIMITED")</f>
        <v>PROFIC ORGANIC LIMITED</v>
      </c>
    </row>
    <row r="2374">
      <c r="H2374" s="25" t="str">
        <f>IFERROR(__xludf.DUMMYFUNCTION("""COMPUTED_VALUE"""),"PROHEALTH VITAMIN")</f>
        <v>PROHEALTH VITAMIN</v>
      </c>
    </row>
    <row r="2375">
      <c r="H2375" s="25" t="str">
        <f>IFERROR(__xludf.DUMMYFUNCTION("""COMPUTED_VALUE"""),"PROLIDAC HEALTHCARE")</f>
        <v>PROLIDAC HEALTHCARE</v>
      </c>
    </row>
    <row r="2376">
      <c r="H2376" s="25" t="str">
        <f>IFERROR(__xludf.DUMMYFUNCTION("""COMPUTED_VALUE"""),"PRONTOCURE PHARMA P LTD")</f>
        <v>PRONTOCURE PHARMA P LTD</v>
      </c>
    </row>
    <row r="2377">
      <c r="H2377" s="25" t="str">
        <f>IFERROR(__xludf.DUMMYFUNCTION("""COMPUTED_VALUE"""),"PROSAIC PHARMACEUTICALS (MEDICINE)")</f>
        <v>PROSAIC PHARMACEUTICALS (MEDICINE)</v>
      </c>
    </row>
    <row r="2378">
      <c r="H2378" s="25" t="str">
        <f>IFERROR(__xludf.DUMMYFUNCTION("""COMPUTED_VALUE"""),"PROSPER")</f>
        <v>PROSPER</v>
      </c>
    </row>
    <row r="2379">
      <c r="H2379" s="25" t="str">
        <f>IFERROR(__xludf.DUMMYFUNCTION("""COMPUTED_VALUE"""),"PROVIS")</f>
        <v>PROVIS</v>
      </c>
    </row>
    <row r="2380">
      <c r="H2380" s="25" t="str">
        <f>IFERROR(__xludf.DUMMYFUNCTION("""COMPUTED_VALUE"""),"PSI INDIA PVT LTD")</f>
        <v>PSI INDIA PVT LTD</v>
      </c>
    </row>
    <row r="2381">
      <c r="H2381" s="25" t="str">
        <f>IFERROR(__xludf.DUMMYFUNCTION("""COMPUTED_VALUE"""),"PSYCHOCARE")</f>
        <v>PSYCHOCARE</v>
      </c>
    </row>
    <row r="2382">
      <c r="H2382" s="25" t="str">
        <f>IFERROR(__xludf.DUMMYFUNCTION("""COMPUTED_VALUE"""),"PSYCHOTROPICS INDIA LIMITED (GENERIC)")</f>
        <v>PSYCHOTROPICS INDIA LIMITED (GENERIC)</v>
      </c>
    </row>
    <row r="2383">
      <c r="H2383" s="25" t="str">
        <f>IFERROR(__xludf.DUMMYFUNCTION("""COMPUTED_VALUE"""),"PSYCHOTROPICS INDIA LTD")</f>
        <v>PSYCHOTROPICS INDIA LTD</v>
      </c>
    </row>
    <row r="2384">
      <c r="H2384" s="25" t="str">
        <f>IFERROR(__xludf.DUMMYFUNCTION("""COMPUTED_VALUE"""),"PSYCHOTROPICS INDIA LTD (FORMULATION)")</f>
        <v>PSYCHOTROPICS INDIA LTD (FORMULATION)</v>
      </c>
    </row>
    <row r="2385">
      <c r="H2385" s="25" t="str">
        <f>IFERROR(__xludf.DUMMYFUNCTION("""COMPUTED_VALUE"""),"PSYCHOTROPICS INDIA LTD (RADICAL)")</f>
        <v>PSYCHOTROPICS INDIA LTD (RADICAL)</v>
      </c>
    </row>
    <row r="2386">
      <c r="H2386" s="25" t="str">
        <f>IFERROR(__xludf.DUMMYFUNCTION("""COMPUTED_VALUE"""),"PSYCOGEN CAPTAB")</f>
        <v>PSYCOGEN CAPTAB</v>
      </c>
    </row>
    <row r="2387">
      <c r="H2387" s="25" t="str">
        <f>IFERROR(__xludf.DUMMYFUNCTION("""COMPUTED_VALUE"""),"Psycormedies")</f>
        <v>Psycormedies</v>
      </c>
    </row>
    <row r="2388">
      <c r="H2388" s="25" t="str">
        <f>IFERROR(__xludf.DUMMYFUNCTION("""COMPUTED_VALUE"""),"PULSE (STIMULUS)")</f>
        <v>PULSE (STIMULUS)</v>
      </c>
    </row>
    <row r="2389">
      <c r="H2389" s="25" t="str">
        <f>IFERROR(__xludf.DUMMYFUNCTION("""COMPUTED_VALUE"""),"Pulse Pharmaceuticals")</f>
        <v>Pulse Pharmaceuticals</v>
      </c>
    </row>
    <row r="2390">
      <c r="H2390" s="25" t="str">
        <f>IFERROR(__xludf.DUMMYFUNCTION("""COMPUTED_VALUE"""),"PULVIN PHARMACEUTICALS")</f>
        <v>PULVIN PHARMACEUTICALS</v>
      </c>
    </row>
    <row r="2391">
      <c r="H2391" s="25" t="str">
        <f>IFERROR(__xludf.DUMMYFUNCTION("""COMPUTED_VALUE"""),"Pure Derma")</f>
        <v>Pure Derma</v>
      </c>
    </row>
    <row r="2392">
      <c r="H2392" s="25" t="str">
        <f>IFERROR(__xludf.DUMMYFUNCTION("""COMPUTED_VALUE"""),"PUREMED BIOTECH")</f>
        <v>PUREMED BIOTECH</v>
      </c>
    </row>
    <row r="2393">
      <c r="H2393" s="25" t="str">
        <f>IFERROR(__xludf.DUMMYFUNCTION("""COMPUTED_VALUE"""),"PUREMED BIOTECH (CARDIMED)")</f>
        <v>PUREMED BIOTECH (CARDIMED)</v>
      </c>
    </row>
    <row r="2394">
      <c r="H2394" s="25" t="str">
        <f>IFERROR(__xludf.DUMMYFUNCTION("""COMPUTED_VALUE"""),"PURVISION MALTIFOCAL")</f>
        <v>PURVISION MALTIFOCAL</v>
      </c>
    </row>
    <row r="2395">
      <c r="H2395" s="25" t="str">
        <f>IFERROR(__xludf.DUMMYFUNCTION("""COMPUTED_VALUE"""),"PV TORIC")</f>
        <v>PV TORIC</v>
      </c>
    </row>
    <row r="2396">
      <c r="H2396" s="25" t="str">
        <f>IFERROR(__xludf.DUMMYFUNCTION("""COMPUTED_VALUE"""),"QUALITRON")</f>
        <v>QUALITRON</v>
      </c>
    </row>
    <row r="2397">
      <c r="H2397" s="25" t="str">
        <f>IFERROR(__xludf.DUMMYFUNCTION("""COMPUTED_VALUE"""),"QUALITY PHARMA")</f>
        <v>QUALITY PHARMA</v>
      </c>
    </row>
    <row r="2398">
      <c r="H2398" s="25" t="str">
        <f>IFERROR(__xludf.DUMMYFUNCTION("""COMPUTED_VALUE"""),"QUANTRIX HEALTHCARE")</f>
        <v>QUANTRIX HEALTHCARE</v>
      </c>
    </row>
    <row r="2399">
      <c r="H2399" s="25" t="str">
        <f>IFERROR(__xludf.DUMMYFUNCTION("""COMPUTED_VALUE"""),"QUEEN PHARMA")</f>
        <v>QUEEN PHARMA</v>
      </c>
    </row>
    <row r="2400">
      <c r="H2400" s="25" t="str">
        <f>IFERROR(__xludf.DUMMYFUNCTION("""COMPUTED_VALUE"""),"QUERWELL LIFE SCIENCE")</f>
        <v>QUERWELL LIFE SCIENCE</v>
      </c>
    </row>
    <row r="2401">
      <c r="H2401" s="25" t="str">
        <f>IFERROR(__xludf.DUMMYFUNCTION("""COMPUTED_VALUE"""),"QUEST PHARMA")</f>
        <v>QUEST PHARMA</v>
      </c>
    </row>
    <row r="2402">
      <c r="H2402" s="25" t="str">
        <f>IFERROR(__xludf.DUMMYFUNCTION("""COMPUTED_VALUE"""),"QUICK HEAL LIFESCIENCES")</f>
        <v>QUICK HEAL LIFESCIENCES</v>
      </c>
    </row>
    <row r="2403">
      <c r="H2403" s="25" t="str">
        <f>IFERROR(__xludf.DUMMYFUNCTION("""COMPUTED_VALUE"""),"QUIXOTIC PHARMA PVT LTD")</f>
        <v>QUIXOTIC PHARMA PVT LTD</v>
      </c>
    </row>
    <row r="2404">
      <c r="H2404" s="25" t="str">
        <f>IFERROR(__xludf.DUMMYFUNCTION("""COMPUTED_VALUE"""),"QUORA PHARMACEUTICALS (MASK)")</f>
        <v>QUORA PHARMACEUTICALS (MASK)</v>
      </c>
    </row>
    <row r="2405">
      <c r="H2405" s="25" t="str">
        <f>IFERROR(__xludf.DUMMYFUNCTION("""COMPUTED_VALUE"""),"QUREWELL LIFESCIENCES")</f>
        <v>QUREWELL LIFESCIENCES</v>
      </c>
    </row>
    <row r="2406">
      <c r="H2406" s="25" t="str">
        <f>IFERROR(__xludf.DUMMYFUNCTION("""COMPUTED_VALUE"""),"R+ PHARMACEUTICALS")</f>
        <v>R+ PHARMACEUTICALS</v>
      </c>
    </row>
    <row r="2407">
      <c r="H2407" s="25" t="str">
        <f>IFERROR(__xludf.DUMMYFUNCTION("""COMPUTED_VALUE"""),"RAAYN DRUGS")</f>
        <v>RAAYN DRUGS</v>
      </c>
    </row>
    <row r="2408">
      <c r="H2408" s="25" t="str">
        <f>IFERROR(__xludf.DUMMYFUNCTION("""COMPUTED_VALUE"""),"RADICO REMEDIES")</f>
        <v>RADICO REMEDIES</v>
      </c>
    </row>
    <row r="2409">
      <c r="H2409" s="25" t="str">
        <f>IFERROR(__xludf.DUMMYFUNCTION("""COMPUTED_VALUE"""),"RADICURA PHARMACEUTICALS")</f>
        <v>RADICURA PHARMACEUTICALS</v>
      </c>
    </row>
    <row r="2410">
      <c r="H2410" s="25" t="str">
        <f>IFERROR(__xludf.DUMMYFUNCTION("""COMPUTED_VALUE"""),"RADIUS HERBAL")</f>
        <v>RADIUS HERBAL</v>
      </c>
    </row>
    <row r="2411">
      <c r="H2411" s="25" t="str">
        <f>IFERROR(__xludf.DUMMYFUNCTION("""COMPUTED_VALUE"""),"RAFFLES PHARMA")</f>
        <v>RAFFLES PHARMA</v>
      </c>
    </row>
    <row r="2412">
      <c r="H2412" s="25" t="str">
        <f>IFERROR(__xludf.DUMMYFUNCTION("""COMPUTED_VALUE"""),"RAFPHEAL'S PHARMACEUTICALS")</f>
        <v>RAFPHEAL'S PHARMACEUTICALS</v>
      </c>
    </row>
    <row r="2413">
      <c r="H2413" s="25" t="str">
        <f>IFERROR(__xludf.DUMMYFUNCTION("""COMPUTED_VALUE"""),"RAGHAV VAIDYASHALA")</f>
        <v>RAGHAV VAIDYASHALA</v>
      </c>
    </row>
    <row r="2414">
      <c r="H2414" s="25" t="str">
        <f>IFERROR(__xludf.DUMMYFUNCTION("""COMPUTED_VALUE"""),"RAHAT INDUSTRIES")</f>
        <v>RAHAT INDUSTRIES</v>
      </c>
    </row>
    <row r="2415">
      <c r="H2415" s="25" t="str">
        <f>IFERROR(__xludf.DUMMYFUNCTION("""COMPUTED_VALUE"""),"RAHUL HEALTH CARE")</f>
        <v>RAHUL HEALTH CARE</v>
      </c>
    </row>
    <row r="2416">
      <c r="H2416" s="25" t="str">
        <f>IFERROR(__xludf.DUMMYFUNCTION("""COMPUTED_VALUE"""),"RAICHEM LIFE SCIENCES")</f>
        <v>RAICHEM LIFE SCIENCES</v>
      </c>
    </row>
    <row r="2417">
      <c r="H2417" s="25" t="str">
        <f>IFERROR(__xludf.DUMMYFUNCTION("""COMPUTED_VALUE"""),"RAINA HEALTHCARE")</f>
        <v>RAINA HEALTHCARE</v>
      </c>
    </row>
    <row r="2418">
      <c r="H2418" s="25" t="str">
        <f>IFERROR(__xludf.DUMMYFUNCTION("""COMPUTED_VALUE"""),"RAINBOW")</f>
        <v>RAINBOW</v>
      </c>
    </row>
    <row r="2419">
      <c r="H2419" s="25" t="str">
        <f>IFERROR(__xludf.DUMMYFUNCTION("""COMPUTED_VALUE"""),"RAINS HEALTHCARE")</f>
        <v>RAINS HEALTHCARE</v>
      </c>
    </row>
    <row r="2420">
      <c r="H2420" s="25" t="str">
        <f>IFERROR(__xludf.DUMMYFUNCTION("""COMPUTED_VALUE"""),"RAJDEEP HERBAL FORMULATION")</f>
        <v>RAJDEEP HERBAL FORMULATION</v>
      </c>
    </row>
    <row r="2421">
      <c r="H2421" s="25" t="str">
        <f>IFERROR(__xludf.DUMMYFUNCTION("""COMPUTED_VALUE"""),"RAJVAIDYA SHITAL PRASAD &amp; SONS")</f>
        <v>RAJVAIDYA SHITAL PRASAD &amp; SONS</v>
      </c>
    </row>
    <row r="2422">
      <c r="H2422" s="25" t="str">
        <f>IFERROR(__xludf.DUMMYFUNCTION("""COMPUTED_VALUE"""),"RALLIS INDIA LTD")</f>
        <v>RALLIS INDIA LTD</v>
      </c>
    </row>
    <row r="2423">
      <c r="H2423" s="25" t="str">
        <f>IFERROR(__xludf.DUMMYFUNCTION("""COMPUTED_VALUE"""),"RALSON")</f>
        <v>RALSON</v>
      </c>
    </row>
    <row r="2424">
      <c r="H2424" s="25" t="str">
        <f>IFERROR(__xludf.DUMMYFUNCTION("""COMPUTED_VALUE"""),"RAMKRISHNA RAMNARAYAN BAGDI")</f>
        <v>RAMKRISHNA RAMNARAYAN BAGDI</v>
      </c>
    </row>
    <row r="2425">
      <c r="H2425" s="25" t="str">
        <f>IFERROR(__xludf.DUMMYFUNCTION("""COMPUTED_VALUE"""),"RAMKRISHNA VIDYUT AYURVEDIC")</f>
        <v>RAMKRISHNA VIDYUT AYURVEDIC</v>
      </c>
    </row>
    <row r="2426">
      <c r="H2426" s="25" t="str">
        <f>IFERROR(__xludf.DUMMYFUNCTION("""COMPUTED_VALUE"""),"RAMOSE LABORATORIES")</f>
        <v>RAMOSE LABORATORIES</v>
      </c>
    </row>
    <row r="2427">
      <c r="H2427" s="25" t="str">
        <f>IFERROR(__xludf.DUMMYFUNCTION("""COMPUTED_VALUE"""),"RANBAXY (1)")</f>
        <v>RANBAXY (1)</v>
      </c>
    </row>
    <row r="2428">
      <c r="H2428" s="25" t="str">
        <f>IFERROR(__xludf.DUMMYFUNCTION("""COMPUTED_VALUE"""),"RANBAXY (2)")</f>
        <v>RANBAXY (2)</v>
      </c>
    </row>
    <row r="2429">
      <c r="H2429" s="25" t="str">
        <f>IFERROR(__xludf.DUMMYFUNCTION("""COMPUTED_VALUE"""),"RANBAXY (CROSSLAND)")</f>
        <v>RANBAXY (CROSSLAND)</v>
      </c>
    </row>
    <row r="2430">
      <c r="H2430" s="25" t="str">
        <f>IFERROR(__xludf.DUMMYFUNCTION("""COMPUTED_VALUE"""),"RANBAXY (CV-LIFE)")</f>
        <v>RANBAXY (CV-LIFE)</v>
      </c>
    </row>
    <row r="2431">
      <c r="H2431" s="25" t="str">
        <f>IFERROR(__xludf.DUMMYFUNCTION("""COMPUTED_VALUE"""),"RANBAXY (CV)")</f>
        <v>RANBAXY (CV)</v>
      </c>
    </row>
    <row r="2432">
      <c r="H2432" s="25" t="str">
        <f>IFERROR(__xludf.DUMMYFUNCTION("""COMPUTED_VALUE"""),"RANBAXY (DERMALANDS)")</f>
        <v>RANBAXY (DERMALANDS)</v>
      </c>
    </row>
    <row r="2433">
      <c r="H2433" s="25" t="str">
        <f>IFERROR(__xludf.DUMMYFUNCTION("""COMPUTED_VALUE"""),"Ranbaxy (GENERIC)")</f>
        <v>Ranbaxy (GENERIC)</v>
      </c>
    </row>
    <row r="2434">
      <c r="H2434" s="25" t="str">
        <f>IFERROR(__xludf.DUMMYFUNCTION("""COMPUTED_VALUE"""),"RANBAXY (MAXXIM)")</f>
        <v>RANBAXY (MAXXIM)</v>
      </c>
    </row>
    <row r="2435">
      <c r="H2435" s="25" t="str">
        <f>IFERROR(__xludf.DUMMYFUNCTION("""COMPUTED_VALUE"""),"RANBAXY (ORTHOLAND)")</f>
        <v>RANBAXY (ORTHOLAND)</v>
      </c>
    </row>
    <row r="2436">
      <c r="H2436" s="25" t="str">
        <f>IFERROR(__xludf.DUMMYFUNCTION("""COMPUTED_VALUE"""),"RANBAXY (OTC)")</f>
        <v>RANBAXY (OTC)</v>
      </c>
    </row>
    <row r="2437">
      <c r="H2437" s="25" t="str">
        <f>IFERROR(__xludf.DUMMYFUNCTION("""COMPUTED_VALUE"""),"RANBAXY (PHARMA)")</f>
        <v>RANBAXY (PHARMA)</v>
      </c>
    </row>
    <row r="2438">
      <c r="H2438" s="25" t="str">
        <f>IFERROR(__xludf.DUMMYFUNCTION("""COMPUTED_VALUE"""),"RANBAXY (PRIMALANDS)")</f>
        <v>RANBAXY (PRIMALANDS)</v>
      </c>
    </row>
    <row r="2439">
      <c r="H2439" s="25" t="str">
        <f>IFERROR(__xludf.DUMMYFUNCTION("""COMPUTED_VALUE"""),"RANBAXY (REXCEL)")</f>
        <v>RANBAXY (REXCEL)</v>
      </c>
    </row>
    <row r="2440">
      <c r="H2440" s="25" t="str">
        <f>IFERROR(__xludf.DUMMYFUNCTION("""COMPUTED_VALUE"""),"RANBAXY (SUNCROS)")</f>
        <v>RANBAXY (SUNCROS)</v>
      </c>
    </row>
    <row r="2441">
      <c r="H2441" s="25" t="str">
        <f>IFERROR(__xludf.DUMMYFUNCTION("""COMPUTED_VALUE"""),"RANBAXY (UROCARE)")</f>
        <v>RANBAXY (UROCARE)</v>
      </c>
    </row>
    <row r="2442">
      <c r="H2442" s="25" t="str">
        <f>IFERROR(__xludf.DUMMYFUNCTION("""COMPUTED_VALUE"""),"Ranbaxy Laboratories Ltd")</f>
        <v>Ranbaxy Laboratories Ltd</v>
      </c>
    </row>
    <row r="2443">
      <c r="H2443" s="25" t="str">
        <f>IFERROR(__xludf.DUMMYFUNCTION("""COMPUTED_VALUE"""),"RAPROSS PHARMACEUTICALS")</f>
        <v>RAPROSS PHARMACEUTICALS</v>
      </c>
    </row>
    <row r="2444">
      <c r="H2444" s="25" t="str">
        <f>IFERROR(__xludf.DUMMYFUNCTION("""COMPUTED_VALUE"""),"Raptakos Brett &amp; Co Ltd")</f>
        <v>Raptakos Brett &amp; Co Ltd</v>
      </c>
    </row>
    <row r="2445">
      <c r="H2445" s="25" t="str">
        <f>IFERROR(__xludf.DUMMYFUNCTION("""COMPUTED_VALUE"""),"RASNA CHEM")</f>
        <v>RASNA CHEM</v>
      </c>
    </row>
    <row r="2446">
      <c r="H2446" s="25" t="str">
        <f>IFERROR(__xludf.DUMMYFUNCTION("""COMPUTED_VALUE"""),"RATAN AYURVEDIC SANSTHAN")</f>
        <v>RATAN AYURVEDIC SANSTHAN</v>
      </c>
    </row>
    <row r="2447">
      <c r="H2447" s="25" t="str">
        <f>IFERROR(__xludf.DUMMYFUNCTION("""COMPUTED_VALUE"""),"RATAN ORGANICA INTERNATIONAL")</f>
        <v>RATAN ORGANICA INTERNATIONAL</v>
      </c>
    </row>
    <row r="2448">
      <c r="H2448" s="25" t="str">
        <f>IFERROR(__xludf.DUMMYFUNCTION("""COMPUTED_VALUE"""),"Rathi Laboratories (Hindustan) Pvt. Ltd.")</f>
        <v>Rathi Laboratories (Hindustan) Pvt. Ltd.</v>
      </c>
    </row>
    <row r="2449">
      <c r="H2449" s="25" t="str">
        <f>IFERROR(__xludf.DUMMYFUNCTION("""COMPUTED_VALUE"""),"RATNAMANI HEALTH P LTD")</f>
        <v>RATNAMANI HEALTH P LTD</v>
      </c>
    </row>
    <row r="2450">
      <c r="H2450" s="25" t="str">
        <f>IFERROR(__xludf.DUMMYFUNCTION("""COMPUTED_VALUE"""),"RATNAMANI HEALTH PVT LTD")</f>
        <v>RATNAMANI HEALTH PVT LTD</v>
      </c>
    </row>
    <row r="2451">
      <c r="H2451" s="25" t="str">
        <f>IFERROR(__xludf.DUMMYFUNCTION("""COMPUTED_VALUE"""),"RAVENBHEL HEALTHCARE")</f>
        <v>RAVENBHEL HEALTHCARE</v>
      </c>
    </row>
    <row r="2452">
      <c r="H2452" s="25" t="str">
        <f>IFERROR(__xludf.DUMMYFUNCTION("""COMPUTED_VALUE"""),"RAYH HEALTH CARE PVT LTD")</f>
        <v>RAYH HEALTH CARE PVT LTD</v>
      </c>
    </row>
    <row r="2453">
      <c r="H2453" s="25" t="str">
        <f>IFERROR(__xludf.DUMMYFUNCTION("""COMPUTED_VALUE"""),"RAYMED")</f>
        <v>RAYMED</v>
      </c>
    </row>
    <row r="2454">
      <c r="H2454" s="25" t="str">
        <f>IFERROR(__xludf.DUMMYFUNCTION("""COMPUTED_VALUE"""),"RAYMED PHARMACEUTICALS")</f>
        <v>RAYMED PHARMACEUTICALS</v>
      </c>
    </row>
    <row r="2455">
      <c r="H2455" s="25" t="str">
        <f>IFERROR(__xludf.DUMMYFUNCTION("""COMPUTED_VALUE"""),"RECENT HEALTHCARE LTD.")</f>
        <v>RECENT HEALTHCARE LTD.</v>
      </c>
    </row>
    <row r="2456">
      <c r="H2456" s="25" t="str">
        <f>IFERROR(__xludf.DUMMYFUNCTION("""COMPUTED_VALUE"""),"RECH ELIST PHARMA")</f>
        <v>RECH ELIST PHARMA</v>
      </c>
    </row>
    <row r="2457">
      <c r="H2457" s="25" t="str">
        <f>IFERROR(__xludf.DUMMYFUNCTION("""COMPUTED_VALUE"""),"RECKEWEG")</f>
        <v>RECKEWEG</v>
      </c>
    </row>
    <row r="2458">
      <c r="H2458" s="25" t="str">
        <f>IFERROR(__xludf.DUMMYFUNCTION("""COMPUTED_VALUE"""),"Reckitt Benckiser")</f>
        <v>Reckitt Benckiser</v>
      </c>
    </row>
    <row r="2459">
      <c r="H2459" s="25" t="str">
        <f>IFERROR(__xludf.DUMMYFUNCTION("""COMPUTED_VALUE"""),"RECOVER HEALTHCARE")</f>
        <v>RECOVER HEALTHCARE</v>
      </c>
    </row>
    <row r="2460">
      <c r="H2460" s="25" t="str">
        <f>IFERROR(__xludf.DUMMYFUNCTION("""COMPUTED_VALUE"""),"REDVIA PHARMACEUTICALS")</f>
        <v>REDVIA PHARMACEUTICALS</v>
      </c>
    </row>
    <row r="2461">
      <c r="H2461" s="25" t="str">
        <f>IFERROR(__xludf.DUMMYFUNCTION("""COMPUTED_VALUE"""),"REEHEL PHARMACEUTICALS PVT LTD")</f>
        <v>REEHEL PHARMACEUTICALS PVT LTD</v>
      </c>
    </row>
    <row r="2462">
      <c r="H2462" s="25" t="str">
        <f>IFERROR(__xludf.DUMMYFUNCTION("""COMPUTED_VALUE"""),"REGAL CHEMICAL WORKS")</f>
        <v>REGAL CHEMICAL WORKS</v>
      </c>
    </row>
    <row r="2463">
      <c r="H2463" s="25" t="str">
        <f>IFERROR(__xludf.DUMMYFUNCTION("""COMPUTED_VALUE"""),"REGALIZ MEDICARE LTD")</f>
        <v>REGALIZ MEDICARE LTD</v>
      </c>
    </row>
    <row r="2464">
      <c r="H2464" s="25" t="str">
        <f>IFERROR(__xludf.DUMMYFUNCTION("""COMPUTED_VALUE"""),"REGENCY HEALTH CARE")</f>
        <v>REGENCY HEALTH CARE</v>
      </c>
    </row>
    <row r="2465">
      <c r="H2465" s="25" t="str">
        <f>IFERROR(__xludf.DUMMYFUNCTION("""COMPUTED_VALUE"""),"REGENT HEALTHCARE")</f>
        <v>REGENT HEALTHCARE</v>
      </c>
    </row>
    <row r="2466">
      <c r="H2466" s="25" t="str">
        <f>IFERROR(__xludf.DUMMYFUNCTION("""COMPUTED_VALUE"""),"REGENT MARKETING")</f>
        <v>REGENT MARKETING</v>
      </c>
    </row>
    <row r="2467">
      <c r="H2467" s="25" t="str">
        <f>IFERROR(__xludf.DUMMYFUNCTION("""COMPUTED_VALUE"""),"REGRESS LIFESCIENCES")</f>
        <v>REGRESS LIFESCIENCES</v>
      </c>
    </row>
    <row r="2468">
      <c r="H2468" s="25" t="str">
        <f>IFERROR(__xludf.DUMMYFUNCTION("""COMPUTED_VALUE"""),"REGRESS LIFESCIENCES (2)")</f>
        <v>REGRESS LIFESCIENCES (2)</v>
      </c>
    </row>
    <row r="2469">
      <c r="H2469" s="25" t="str">
        <f>IFERROR(__xludf.DUMMYFUNCTION("""COMPUTED_VALUE"""),"REJLI HEALTHCARE")</f>
        <v>REJLI HEALTHCARE</v>
      </c>
    </row>
    <row r="2470">
      <c r="H2470" s="25" t="str">
        <f>IFERROR(__xludf.DUMMYFUNCTION("""COMPUTED_VALUE"""),"Rekvina Laboratories Ltd")</f>
        <v>Rekvina Laboratories Ltd</v>
      </c>
    </row>
    <row r="2471">
      <c r="H2471" s="25" t="str">
        <f>IFERROR(__xludf.DUMMYFUNCTION("""COMPUTED_VALUE"""),"RELAXE REHABILITATION AIDS")</f>
        <v>RELAXE REHABILITATION AIDS</v>
      </c>
    </row>
    <row r="2472">
      <c r="H2472" s="25" t="str">
        <f>IFERROR(__xludf.DUMMYFUNCTION("""COMPUTED_VALUE"""),"RELIANCE FORMULATION PVT LTD")</f>
        <v>RELIANCE FORMULATION PVT LTD</v>
      </c>
    </row>
    <row r="2473">
      <c r="H2473" s="25" t="str">
        <f>IFERROR(__xludf.DUMMYFUNCTION("""COMPUTED_VALUE"""),"Reliance Life Sciences")</f>
        <v>Reliance Life Sciences</v>
      </c>
    </row>
    <row r="2474">
      <c r="H2474" s="25" t="str">
        <f>IFERROR(__xludf.DUMMYFUNCTION("""COMPUTED_VALUE"""),"RELIC BIOTECNOLOGY PVT LTD")</f>
        <v>RELIC BIOTECNOLOGY PVT LTD</v>
      </c>
    </row>
    <row r="2475">
      <c r="H2475" s="25" t="str">
        <f>IFERROR(__xludf.DUMMYFUNCTION("""COMPUTED_VALUE"""),"RELIEF FORMULATIONS")</f>
        <v>RELIEF FORMULATIONS</v>
      </c>
    </row>
    <row r="2476">
      <c r="H2476" s="25" t="str">
        <f>IFERROR(__xludf.DUMMYFUNCTION("""COMPUTED_VALUE"""),"REMEDIAL HEALTHCARE")</f>
        <v>REMEDIAL HEALTHCARE</v>
      </c>
    </row>
    <row r="2477">
      <c r="H2477" s="25" t="str">
        <f>IFERROR(__xludf.DUMMYFUNCTION("""COMPUTED_VALUE"""),"RENA EXPORTS PVT LTD")</f>
        <v>RENA EXPORTS PVT LTD</v>
      </c>
    </row>
    <row r="2478">
      <c r="H2478" s="25" t="str">
        <f>IFERROR(__xludf.DUMMYFUNCTION("""COMPUTED_VALUE"""),"RENCORD LIFE SCIENCES (NEPHRO)")</f>
        <v>RENCORD LIFE SCIENCES (NEPHRO)</v>
      </c>
    </row>
    <row r="2479">
      <c r="H2479" s="25" t="str">
        <f>IFERROR(__xludf.DUMMYFUNCTION("""COMPUTED_VALUE"""),"RENE LIFESCIENCE")</f>
        <v>RENE LIFESCIENCE</v>
      </c>
    </row>
    <row r="2480">
      <c r="H2480" s="25" t="str">
        <f>IFERROR(__xludf.DUMMYFUNCTION("""COMPUTED_VALUE"""),"RENE LIFESCIENCES")</f>
        <v>RENE LIFESCIENCES</v>
      </c>
    </row>
    <row r="2481">
      <c r="H2481" s="25" t="str">
        <f>IFERROR(__xludf.DUMMYFUNCTION("""COMPUTED_VALUE"""),"RENE PHARMACEUTICALS")</f>
        <v>RENE PHARMACEUTICALS</v>
      </c>
    </row>
    <row r="2482">
      <c r="H2482" s="25" t="str">
        <f>IFERROR(__xludf.DUMMYFUNCTION("""COMPUTED_VALUE"""),"RENOVISION EXPORTS PVT")</f>
        <v>RENOVISION EXPORTS PVT</v>
      </c>
    </row>
    <row r="2483">
      <c r="H2483" s="25" t="str">
        <f>IFERROR(__xludf.DUMMYFUNCTION("""COMPUTED_VALUE"""),"REPLICA REMEDIES")</f>
        <v>REPLICA REMEDIES</v>
      </c>
    </row>
    <row r="2484">
      <c r="H2484" s="25" t="str">
        <f>IFERROR(__xludf.DUMMYFUNCTION("""COMPUTED_VALUE"""),"REPLIN PHARMA")</f>
        <v>REPLIN PHARMA</v>
      </c>
    </row>
    <row r="2485">
      <c r="H2485" s="25" t="str">
        <f>IFERROR(__xludf.DUMMYFUNCTION("""COMPUTED_VALUE"""),"RES SANCTA  SOLAN")</f>
        <v>RES SANCTA  SOLAN</v>
      </c>
    </row>
    <row r="2486">
      <c r="H2486" s="25" t="str">
        <f>IFERROR(__xludf.DUMMYFUNCTION("""COMPUTED_VALUE"""),"Resilient Cosmecueticals Pvt Ltd")</f>
        <v>Resilient Cosmecueticals Pvt Ltd</v>
      </c>
    </row>
    <row r="2487">
      <c r="H2487" s="25" t="str">
        <f>IFERROR(__xludf.DUMMYFUNCTION("""COMPUTED_VALUE"""),"REVASTO LABORATORIES")</f>
        <v>REVASTO LABORATORIES</v>
      </c>
    </row>
    <row r="2488">
      <c r="H2488" s="25" t="str">
        <f>IFERROR(__xludf.DUMMYFUNCTION("""COMPUTED_VALUE"""),"REVERIE PHARMACEUTICALS")</f>
        <v>REVERIE PHARMACEUTICALS</v>
      </c>
    </row>
    <row r="2489">
      <c r="H2489" s="25" t="str">
        <f>IFERROR(__xludf.DUMMYFUNCTION("""COMPUTED_VALUE"""),"REVLUK LIFE SCIENCES")</f>
        <v>REVLUK LIFE SCIENCES</v>
      </c>
    </row>
    <row r="2490">
      <c r="H2490" s="25" t="str">
        <f>IFERROR(__xludf.DUMMYFUNCTION("""COMPUTED_VALUE"""),"REVOZIP")</f>
        <v>REVOZIP</v>
      </c>
    </row>
    <row r="2491">
      <c r="H2491" s="25" t="str">
        <f>IFERROR(__xludf.DUMMYFUNCTION("""COMPUTED_VALUE"""),"REVOZIP MD")</f>
        <v>REVOZIP MD</v>
      </c>
    </row>
    <row r="2492">
      <c r="H2492" s="25" t="str">
        <f>IFERROR(__xludf.DUMMYFUNCTION("""COMPUTED_VALUE"""),"RHINE BIOGENICS PVT. LTD.")</f>
        <v>RHINE BIOGENICS PVT. LTD.</v>
      </c>
    </row>
    <row r="2493">
      <c r="H2493" s="25" t="str">
        <f>IFERROR(__xludf.DUMMYFUNCTION("""COMPUTED_VALUE"""),"RHOMBIC LAB")</f>
        <v>RHOMBIC LAB</v>
      </c>
    </row>
    <row r="2494">
      <c r="H2494" s="25" t="str">
        <f>IFERROR(__xludf.DUMMYFUNCTION("""COMPUTED_VALUE"""),"RHONE PHARMACIE PVT LTD")</f>
        <v>RHONE PHARMACIE PVT LTD</v>
      </c>
    </row>
    <row r="2495">
      <c r="H2495" s="25" t="str">
        <f>IFERROR(__xludf.DUMMYFUNCTION("""COMPUTED_VALUE"""),"RHONE POULEN RORER (INDIA) LTD")</f>
        <v>RHONE POULEN RORER (INDIA) LTD</v>
      </c>
    </row>
    <row r="2496">
      <c r="H2496" s="25" t="str">
        <f>IFERROR(__xludf.DUMMYFUNCTION("""COMPUTED_VALUE"""),"RICH FAITH PHARMA")</f>
        <v>RICH FAITH PHARMA</v>
      </c>
    </row>
    <row r="2497">
      <c r="H2497" s="25" t="str">
        <f>IFERROR(__xludf.DUMMYFUNCTION("""COMPUTED_VALUE"""),"RIDLEY LIFE SCIENCE PVT LTD")</f>
        <v>RIDLEY LIFE SCIENCE PVT LTD</v>
      </c>
    </row>
    <row r="2498">
      <c r="H2498" s="25" t="str">
        <f>IFERROR(__xludf.DUMMYFUNCTION("""COMPUTED_VALUE"""),"RIEMANN LAB")</f>
        <v>RIEMANN LAB</v>
      </c>
    </row>
    <row r="2499">
      <c r="H2499" s="25" t="str">
        <f>IFERROR(__xludf.DUMMYFUNCTION("""COMPUTED_VALUE"""),"RISHIT PHARMACEUTICALS")</f>
        <v>RISHIT PHARMACEUTICALS</v>
      </c>
    </row>
    <row r="2500">
      <c r="H2500" s="25" t="str">
        <f>IFERROR(__xludf.DUMMYFUNCTION("""COMPUTED_VALUE"""),"RISTRYL")</f>
        <v>RISTRYL</v>
      </c>
    </row>
    <row r="2501">
      <c r="H2501" s="25" t="str">
        <f>IFERROR(__xludf.DUMMYFUNCTION("""COMPUTED_VALUE"""),"RISTRYL FORTE")</f>
        <v>RISTRYL FORTE</v>
      </c>
    </row>
    <row r="2502">
      <c r="H2502" s="25" t="str">
        <f>IFERROR(__xludf.DUMMYFUNCTION("""COMPUTED_VALUE"""),"RIVAN PHARMACEUTICALS PVT LTD")</f>
        <v>RIVAN PHARMACEUTICALS PVT LTD</v>
      </c>
    </row>
    <row r="2503">
      <c r="H2503" s="25" t="str">
        <f>IFERROR(__xludf.DUMMYFUNCTION("""COMPUTED_VALUE"""),"RKM")</f>
        <v>RKM</v>
      </c>
    </row>
    <row r="2504">
      <c r="H2504" s="25" t="str">
        <f>IFERROR(__xludf.DUMMYFUNCTION("""COMPUTED_VALUE"""),"ROCHE (1)")</f>
        <v>ROCHE (1)</v>
      </c>
    </row>
    <row r="2505">
      <c r="H2505" s="25" t="str">
        <f>IFERROR(__xludf.DUMMYFUNCTION("""COMPUTED_VALUE"""),"ROCHE (NEPHROLOGY)")</f>
        <v>ROCHE (NEPHROLOGY)</v>
      </c>
    </row>
    <row r="2506">
      <c r="H2506" s="25" t="str">
        <f>IFERROR(__xludf.DUMMYFUNCTION("""COMPUTED_VALUE"""),"ROCHE (ONCOLOGY)")</f>
        <v>ROCHE (ONCOLOGY)</v>
      </c>
    </row>
    <row r="2507">
      <c r="H2507" s="25" t="str">
        <f>IFERROR(__xludf.DUMMYFUNCTION("""COMPUTED_VALUE"""),"ROCHE (VIROLOGY)")</f>
        <v>ROCHE (VIROLOGY)</v>
      </c>
    </row>
    <row r="2508">
      <c r="H2508" s="25" t="str">
        <f>IFERROR(__xludf.DUMMYFUNCTION("""COMPUTED_VALUE"""),"Roche Products India Pvt Ltd")</f>
        <v>Roche Products India Pvt Ltd</v>
      </c>
    </row>
    <row r="2509">
      <c r="H2509" s="25" t="str">
        <f>IFERROR(__xludf.DUMMYFUNCTION("""COMPUTED_VALUE"""),"ROCKMED PHARMA P LTD")</f>
        <v>ROCKMED PHARMA P LTD</v>
      </c>
    </row>
    <row r="2510">
      <c r="H2510" s="25" t="str">
        <f>IFERROR(__xludf.DUMMYFUNCTION("""COMPUTED_VALUE"""),"ROHAN HERBAL")</f>
        <v>ROHAN HERBAL</v>
      </c>
    </row>
    <row r="2511">
      <c r="H2511" s="25" t="str">
        <f>IFERROR(__xludf.DUMMYFUNCTION("""COMPUTED_VALUE"""),"ROLLICK HEALTHCARE PVT LTD")</f>
        <v>ROLLICK HEALTHCARE PVT LTD</v>
      </c>
    </row>
    <row r="2512">
      <c r="H2512" s="25" t="str">
        <f>IFERROR(__xludf.DUMMYFUNCTION("""COMPUTED_VALUE"""),"ROMA HEALTHCARE")</f>
        <v>ROMA HEALTHCARE</v>
      </c>
    </row>
    <row r="2513">
      <c r="H2513" s="25" t="str">
        <f>IFERROR(__xludf.DUMMYFUNCTION("""COMPUTED_VALUE"""),"ROMSONS SCIENTIFIC AND SURGICAL P LTD")</f>
        <v>ROMSONS SCIENTIFIC AND SURGICAL P LTD</v>
      </c>
    </row>
    <row r="2514">
      <c r="H2514" s="25" t="str">
        <f>IFERROR(__xludf.DUMMYFUNCTION("""COMPUTED_VALUE"""),"RONALD PHARMACUTICALS")</f>
        <v>RONALD PHARMACUTICALS</v>
      </c>
    </row>
    <row r="2515">
      <c r="H2515" s="25" t="str">
        <f>IFERROR(__xludf.DUMMYFUNCTION("""COMPUTED_VALUE"""),"RONAM HEALTHCARE PVT LTD")</f>
        <v>RONAM HEALTHCARE PVT LTD</v>
      </c>
    </row>
    <row r="2516">
      <c r="H2516" s="25" t="str">
        <f>IFERROR(__xludf.DUMMYFUNCTION("""COMPUTED_VALUE"""),"ROOTS &amp; HERBS")</f>
        <v>ROOTS &amp; HERBS</v>
      </c>
    </row>
    <row r="2517">
      <c r="H2517" s="25" t="str">
        <f>IFERROR(__xludf.DUMMYFUNCTION("""COMPUTED_VALUE"""),"ROSELABS BIOSCIENCE LTD")</f>
        <v>ROSELABS BIOSCIENCE LTD</v>
      </c>
    </row>
    <row r="2518">
      <c r="H2518" s="25" t="str">
        <f>IFERROR(__xludf.DUMMYFUNCTION("""COMPUTED_VALUE"""),"ROSSWELL")</f>
        <v>ROSSWELL</v>
      </c>
    </row>
    <row r="2519">
      <c r="H2519" s="25" t="str">
        <f>IFERROR(__xludf.DUMMYFUNCTION("""COMPUTED_VALUE"""),"ROUSSEL INDIA LIMITED")</f>
        <v>ROUSSEL INDIA LIMITED</v>
      </c>
    </row>
    <row r="2520">
      <c r="H2520" s="25" t="str">
        <f>IFERROR(__xludf.DUMMYFUNCTION("""COMPUTED_VALUE"""),"ROUSSET BIOTECH")</f>
        <v>ROUSSET BIOTECH</v>
      </c>
    </row>
    <row r="2521">
      <c r="H2521" s="25" t="str">
        <f>IFERROR(__xludf.DUMMYFUNCTION("""COMPUTED_VALUE"""),"ROUZEL PHARMA")</f>
        <v>ROUZEL PHARMA</v>
      </c>
    </row>
    <row r="2522">
      <c r="H2522" s="25" t="str">
        <f>IFERROR(__xludf.DUMMYFUNCTION("""COMPUTED_VALUE"""),"ROWLINGES LIFE SCIENCES")</f>
        <v>ROWLINGES LIFE SCIENCES</v>
      </c>
    </row>
    <row r="2523">
      <c r="H2523" s="25" t="str">
        <f>IFERROR(__xludf.DUMMYFUNCTION("""COMPUTED_VALUE"""),"ROYAL BEE NATURAL PRODUCTS")</f>
        <v>ROYAL BEE NATURAL PRODUCTS</v>
      </c>
    </row>
    <row r="2524">
      <c r="H2524" s="25" t="str">
        <f>IFERROR(__xludf.DUMMYFUNCTION("""COMPUTED_VALUE"""),"ROYAL HEALTHCARE")</f>
        <v>ROYAL HEALTHCARE</v>
      </c>
    </row>
    <row r="2525">
      <c r="H2525" s="25" t="str">
        <f>IFERROR(__xludf.DUMMYFUNCTION("""COMPUTED_VALUE"""),"RP")</f>
        <v>RP</v>
      </c>
    </row>
    <row r="2526">
      <c r="H2526" s="25" t="str">
        <f>IFERROR(__xludf.DUMMYFUNCTION("""COMPUTED_VALUE"""),"RPG (SEARLE)")</f>
        <v>RPG (SEARLE)</v>
      </c>
    </row>
    <row r="2527">
      <c r="H2527" s="25" t="str">
        <f>IFERROR(__xludf.DUMMYFUNCTION("""COMPUTED_VALUE"""),"RPG Life Sciences (NEPHRO)")</f>
        <v>RPG Life Sciences (NEPHRO)</v>
      </c>
    </row>
    <row r="2528">
      <c r="H2528" s="25" t="str">
        <f>IFERROR(__xludf.DUMMYFUNCTION("""COMPUTED_VALUE"""),"RPG Life Sciences Ltd")</f>
        <v>RPG Life Sciences Ltd</v>
      </c>
    </row>
    <row r="2529">
      <c r="H2529" s="25" t="str">
        <f>IFERROR(__xludf.DUMMYFUNCTION("""COMPUTED_VALUE"""),"RSBP")</f>
        <v>RSBP</v>
      </c>
    </row>
    <row r="2530">
      <c r="H2530" s="25" t="str">
        <f>IFERROR(__xludf.DUMMYFUNCTION("""COMPUTED_VALUE"""),"RUBRA PHARMACEUTICALS")</f>
        <v>RUBRA PHARMACEUTICALS</v>
      </c>
    </row>
    <row r="2531">
      <c r="H2531" s="25" t="str">
        <f>IFERROR(__xludf.DUMMYFUNCTION("""COMPUTED_VALUE"""),"RUPAK ENTERPRISES PVT LTD")</f>
        <v>RUPAK ENTERPRISES PVT LTD</v>
      </c>
    </row>
    <row r="2532">
      <c r="H2532" s="25" t="str">
        <f>IFERROR(__xludf.DUMMYFUNCTION("""COMPUTED_VALUE"""),"RUSAN HEALTHCARE PVT LTD")</f>
        <v>RUSAN HEALTHCARE PVT LTD</v>
      </c>
    </row>
    <row r="2533">
      <c r="H2533" s="25" t="str">
        <f>IFERROR(__xludf.DUMMYFUNCTION("""COMPUTED_VALUE"""),"RUSAN PHARMA")</f>
        <v>RUSAN PHARMA</v>
      </c>
    </row>
    <row r="2534">
      <c r="H2534" s="25" t="str">
        <f>IFERROR(__xludf.DUMMYFUNCTION("""COMPUTED_VALUE"""),"Rusi Remedies P Ltd")</f>
        <v>Rusi Remedies P Ltd</v>
      </c>
    </row>
    <row r="2535">
      <c r="H2535" s="25" t="str">
        <f>IFERROR(__xludf.DUMMYFUNCTION("""COMPUTED_VALUE"""),"RUSLAN NOVO PHARMACEUTICALS")</f>
        <v>RUSLAN NOVO PHARMACEUTICALS</v>
      </c>
    </row>
    <row r="2536">
      <c r="H2536" s="25" t="str">
        <f>IFERROR(__xludf.DUMMYFUNCTION("""COMPUTED_VALUE"""),"RUSLAN NOVO PHARMACIAUTICALS")</f>
        <v>RUSLAN NOVO PHARMACIAUTICALS</v>
      </c>
    </row>
    <row r="2537">
      <c r="H2537" s="25" t="str">
        <f>IFERROR(__xludf.DUMMYFUNCTION("""COMPUTED_VALUE"""),"RUSOMA LABORATORIES PVT LTD")</f>
        <v>RUSOMA LABORATORIES PVT LTD</v>
      </c>
    </row>
    <row r="2538">
      <c r="H2538" s="25" t="str">
        <f>IFERROR(__xludf.DUMMYFUNCTION("""COMPUTED_VALUE"""),"RUTURAJ AYURVEDIC GRUH UDHYOG")</f>
        <v>RUTURAJ AYURVEDIC GRUH UDHYOG</v>
      </c>
    </row>
    <row r="2539">
      <c r="H2539" s="25" t="str">
        <f>IFERROR(__xludf.DUMMYFUNCTION("""COMPUTED_VALUE"""),"RYAN HEALTHCARE")</f>
        <v>RYAN HEALTHCARE</v>
      </c>
    </row>
    <row r="2540">
      <c r="H2540" s="25" t="str">
        <f>IFERROR(__xludf.DUMMYFUNCTION("""COMPUTED_VALUE"""),"RYZE LIFECARE")</f>
        <v>RYZE LIFECARE</v>
      </c>
    </row>
    <row r="2541">
      <c r="H2541" s="25" t="str">
        <f>IFERROR(__xludf.DUMMYFUNCTION("""COMPUTED_VALUE"""),"S A REMEDIES")</f>
        <v>S A REMEDIES</v>
      </c>
    </row>
    <row r="2542">
      <c r="H2542" s="25" t="str">
        <f>IFERROR(__xludf.DUMMYFUNCTION("""COMPUTED_VALUE"""),"S ABDUR RASHEED")</f>
        <v>S ABDUR RASHEED</v>
      </c>
    </row>
    <row r="2543">
      <c r="H2543" s="25" t="str">
        <f>IFERROR(__xludf.DUMMYFUNCTION("""COMPUTED_VALUE"""),"S R BIOTECH")</f>
        <v>S R BIOTECH</v>
      </c>
    </row>
    <row r="2544">
      <c r="H2544" s="25" t="str">
        <f>IFERROR(__xludf.DUMMYFUNCTION("""COMPUTED_VALUE"""),"S R PHARMACEUTICALS")</f>
        <v>S R PHARMACEUTICALS</v>
      </c>
    </row>
    <row r="2545">
      <c r="H2545" s="25" t="str">
        <f>IFERROR(__xludf.DUMMYFUNCTION("""COMPUTED_VALUE"""),"S V BIOVAC PHARMACEUTICALS")</f>
        <v>S V BIOVAC PHARMACEUTICALS</v>
      </c>
    </row>
    <row r="2546">
      <c r="H2546" s="25" t="str">
        <f>IFERROR(__xludf.DUMMYFUNCTION("""COMPUTED_VALUE"""),"S.K.J.S. PHARMACEUTICALS")</f>
        <v>S.K.J.S. PHARMACEUTICALS</v>
      </c>
    </row>
    <row r="2547">
      <c r="H2547" s="25" t="str">
        <f>IFERROR(__xludf.DUMMYFUNCTION("""COMPUTED_VALUE"""),"SAC PHARMACEUTICAL")</f>
        <v>SAC PHARMACEUTICAL</v>
      </c>
    </row>
    <row r="2548">
      <c r="H2548" s="25" t="str">
        <f>IFERROR(__xludf.DUMMYFUNCTION("""COMPUTED_VALUE"""),"SAF FERMION (NUVO)")</f>
        <v>SAF FERMION (NUVO)</v>
      </c>
    </row>
    <row r="2549">
      <c r="H2549" s="25" t="str">
        <f>IFERROR(__xludf.DUMMYFUNCTION("""COMPUTED_VALUE"""),"SAF Fermion Ltd")</f>
        <v>SAF Fermion Ltd</v>
      </c>
    </row>
    <row r="2550">
      <c r="H2550" s="25" t="str">
        <f>IFERROR(__xludf.DUMMYFUNCTION("""COMPUTED_VALUE"""),"SAFFRON FORMULATION")</f>
        <v>SAFFRON FORMULATION</v>
      </c>
    </row>
    <row r="2551">
      <c r="H2551" s="25" t="str">
        <f>IFERROR(__xludf.DUMMYFUNCTION("""COMPUTED_VALUE"""),"Saffron Therapeutics Pvt Ltd")</f>
        <v>Saffron Therapeutics Pvt Ltd</v>
      </c>
    </row>
    <row r="2552">
      <c r="H2552" s="25" t="str">
        <f>IFERROR(__xludf.DUMMYFUNCTION("""COMPUTED_VALUE"""),"SAGA LABORATORIES")</f>
        <v>SAGA LABORATORIES</v>
      </c>
    </row>
    <row r="2553">
      <c r="H2553" s="25" t="str">
        <f>IFERROR(__xludf.DUMMYFUNCTION("""COMPUTED_VALUE"""),"SAGE NUTRAVEDICS")</f>
        <v>SAGE NUTRAVEDICS</v>
      </c>
    </row>
    <row r="2554">
      <c r="H2554" s="25" t="str">
        <f>IFERROR(__xludf.DUMMYFUNCTION("""COMPUTED_VALUE"""),"SAHAJANAND HEALTH CARE (SHC)")</f>
        <v>SAHAJANAND HEALTH CARE (SHC)</v>
      </c>
    </row>
    <row r="2555">
      <c r="H2555" s="25" t="str">
        <f>IFERROR(__xludf.DUMMYFUNCTION("""COMPUTED_VALUE"""),"SAHAJANAND HERBALS")</f>
        <v>SAHAJANAND HERBALS</v>
      </c>
    </row>
    <row r="2556">
      <c r="H2556" s="25" t="str">
        <f>IFERROR(__xludf.DUMMYFUNCTION("""COMPUTED_VALUE"""),"SAIBOON LIFECARE")</f>
        <v>SAIBOON LIFECARE</v>
      </c>
    </row>
    <row r="2557">
      <c r="H2557" s="25" t="str">
        <f>IFERROR(__xludf.DUMMYFUNCTION("""COMPUTED_VALUE"""),"SAIFA SEVAAASHRAM")</f>
        <v>SAIFA SEVAAASHRAM</v>
      </c>
    </row>
    <row r="2558">
      <c r="H2558" s="25" t="str">
        <f>IFERROR(__xludf.DUMMYFUNCTION("""COMPUTED_VALUE"""),"SAIN MICHEAL BIOTECH")</f>
        <v>SAIN MICHEAL BIOTECH</v>
      </c>
    </row>
    <row r="2559">
      <c r="H2559" s="25" t="str">
        <f>IFERROR(__xludf.DUMMYFUNCTION("""COMPUTED_VALUE"""),"SAINTLIFE PHARMACEUTICALS LTD")</f>
        <v>SAINTLIFE PHARMACEUTICALS LTD</v>
      </c>
    </row>
    <row r="2560">
      <c r="H2560" s="25" t="str">
        <f>IFERROR(__xludf.DUMMYFUNCTION("""COMPUTED_VALUE"""),"SAITECH MEDICARE PVT.LTD.K")</f>
        <v>SAITECH MEDICARE PVT.LTD.K</v>
      </c>
    </row>
    <row r="2561">
      <c r="H2561" s="25" t="str">
        <f>IFERROR(__xludf.DUMMYFUNCTION("""COMPUTED_VALUE"""),"SALASAR BLESSED HERBALS")</f>
        <v>SALASAR BLESSED HERBALS</v>
      </c>
    </row>
    <row r="2562">
      <c r="H2562" s="25" t="str">
        <f>IFERROR(__xludf.DUMMYFUNCTION("""COMPUTED_VALUE"""),"SALASAR PHARMACEUTICALS")</f>
        <v>SALASAR PHARMACEUTICALS</v>
      </c>
    </row>
    <row r="2563">
      <c r="H2563" s="25" t="str">
        <f>IFERROR(__xludf.DUMMYFUNCTION("""COMPUTED_VALUE"""),"SALIUS PHARMA PVT LTD")</f>
        <v>SALIUS PHARMA PVT LTD</v>
      </c>
    </row>
    <row r="2564">
      <c r="H2564" s="25" t="str">
        <f>IFERROR(__xludf.DUMMYFUNCTION("""COMPUTED_VALUE"""),"Salud Care India Pvt Ltd")</f>
        <v>Salud Care India Pvt Ltd</v>
      </c>
    </row>
    <row r="2565">
      <c r="H2565" s="25" t="str">
        <f>IFERROR(__xludf.DUMMYFUNCTION("""COMPUTED_VALUE"""),"SALUTE")</f>
        <v>SALUTE</v>
      </c>
    </row>
    <row r="2566">
      <c r="H2566" s="25" t="str">
        <f>IFERROR(__xludf.DUMMYFUNCTION("""COMPUTED_VALUE"""),"SALVADOR BIOTECH")</f>
        <v>SALVADOR BIOTECH</v>
      </c>
    </row>
    <row r="2567">
      <c r="H2567" s="25" t="str">
        <f>IFERROR(__xludf.DUMMYFUNCTION("""COMPUTED_VALUE"""),"SALVEO LIFE SCIENCES LTD")</f>
        <v>SALVEO LIFE SCIENCES LTD</v>
      </c>
    </row>
    <row r="2568">
      <c r="H2568" s="25" t="str">
        <f>IFERROR(__xludf.DUMMYFUNCTION("""COMPUTED_VALUE"""),"SAMARTH LIFE SCIENCES")</f>
        <v>SAMARTH LIFE SCIENCES</v>
      </c>
    </row>
    <row r="2569">
      <c r="H2569" s="25" t="str">
        <f>IFERROR(__xludf.DUMMYFUNCTION("""COMPUTED_VALUE"""),"SAMARTH PHARMA")</f>
        <v>SAMARTH PHARMA</v>
      </c>
    </row>
    <row r="2570">
      <c r="H2570" s="25" t="str">
        <f>IFERROR(__xludf.DUMMYFUNCTION("""COMPUTED_VALUE"""),"SAMARTH PHARMA (ANCARD)")</f>
        <v>SAMARTH PHARMA (ANCARD)</v>
      </c>
    </row>
    <row r="2571">
      <c r="H2571" s="25" t="str">
        <f>IFERROR(__xludf.DUMMYFUNCTION("""COMPUTED_VALUE"""),"SAMARTH PHARMA (CRITIGEN)")</f>
        <v>SAMARTH PHARMA (CRITIGEN)</v>
      </c>
    </row>
    <row r="2572">
      <c r="H2572" s="25" t="str">
        <f>IFERROR(__xludf.DUMMYFUNCTION("""COMPUTED_VALUE"""),"SAMARTH PHARMA (EUGENIC)")</f>
        <v>SAMARTH PHARMA (EUGENIC)</v>
      </c>
    </row>
    <row r="2573">
      <c r="H2573" s="25" t="str">
        <f>IFERROR(__xludf.DUMMYFUNCTION("""COMPUTED_VALUE"""),"SAMARTH PHARMA (SAMGEN)")</f>
        <v>SAMARTH PHARMA (SAMGEN)</v>
      </c>
    </row>
    <row r="2574">
      <c r="H2574" s="25" t="str">
        <f>IFERROR(__xludf.DUMMYFUNCTION("""COMPUTED_VALUE"""),"SAMAY SURGICALS")</f>
        <v>SAMAY SURGICALS</v>
      </c>
    </row>
    <row r="2575">
      <c r="H2575" s="25" t="str">
        <f>IFERROR(__xludf.DUMMYFUNCTION("""COMPUTED_VALUE"""),"SAMKEM PHARMACEUTICALS PVT LTD")</f>
        <v>SAMKEM PHARMACEUTICALS PVT LTD</v>
      </c>
    </row>
    <row r="2576">
      <c r="H2576" s="25" t="str">
        <f>IFERROR(__xludf.DUMMYFUNCTION("""COMPUTED_VALUE"""),"SAMSON LAB P LTD, SOLAN")</f>
        <v>SAMSON LAB P LTD, SOLAN</v>
      </c>
    </row>
    <row r="2577">
      <c r="H2577" s="25" t="str">
        <f>IFERROR(__xludf.DUMMYFUNCTION("""COMPUTED_VALUE"""),"SAMTECH REMEDIES")</f>
        <v>SAMTECH REMEDIES</v>
      </c>
    </row>
    <row r="2578">
      <c r="H2578" s="25" t="str">
        <f>IFERROR(__xludf.DUMMYFUNCTION("""COMPUTED_VALUE"""),"SANA GENETICA")</f>
        <v>SANA GENETICA</v>
      </c>
    </row>
    <row r="2579">
      <c r="H2579" s="25" t="str">
        <f>IFERROR(__xludf.DUMMYFUNCTION("""COMPUTED_VALUE"""),"Sanat Products Ltd")</f>
        <v>Sanat Products Ltd</v>
      </c>
    </row>
    <row r="2580">
      <c r="H2580" s="25" t="str">
        <f>IFERROR(__xludf.DUMMYFUNCTION("""COMPUTED_VALUE"""),"Sanctus Global")</f>
        <v>Sanctus Global</v>
      </c>
    </row>
    <row r="2581">
      <c r="H2581" s="25" t="str">
        <f>IFERROR(__xludf.DUMMYFUNCTION("""COMPUTED_VALUE"""),"SANDOZ (GENERIC)")</f>
        <v>SANDOZ (GENERIC)</v>
      </c>
    </row>
    <row r="2582">
      <c r="H2582" s="25" t="str">
        <f>IFERROR(__xludf.DUMMYFUNCTION("""COMPUTED_VALUE"""),"SANDU BROTHERS")</f>
        <v>SANDU BROTHERS</v>
      </c>
    </row>
    <row r="2583">
      <c r="H2583" s="25" t="str">
        <f>IFERROR(__xludf.DUMMYFUNCTION("""COMPUTED_VALUE"""),"SANIFY HEALTHCARE")</f>
        <v>SANIFY HEALTHCARE</v>
      </c>
    </row>
    <row r="2584">
      <c r="H2584" s="25" t="str">
        <f>IFERROR(__xludf.DUMMYFUNCTION("""COMPUTED_VALUE"""),"SANIX FORMULATION PVT LTD")</f>
        <v>SANIX FORMULATION PVT LTD</v>
      </c>
    </row>
    <row r="2585">
      <c r="H2585" s="25" t="str">
        <f>IFERROR(__xludf.DUMMYFUNCTION("""COMPUTED_VALUE"""),"SANJIVNI PARENTERAL")</f>
        <v>SANJIVNI PARENTERAL</v>
      </c>
    </row>
    <row r="2586">
      <c r="H2586" s="25" t="str">
        <f>IFERROR(__xludf.DUMMYFUNCTION("""COMPUTED_VALUE"""),"SANMATI UDYOG")</f>
        <v>SANMATI UDYOG</v>
      </c>
    </row>
    <row r="2587">
      <c r="H2587" s="25" t="str">
        <f>IFERROR(__xludf.DUMMYFUNCTION("""COMPUTED_VALUE"""),"SANOFI GENZYME")</f>
        <v>SANOFI GENZYME</v>
      </c>
    </row>
    <row r="2588">
      <c r="H2588" s="25" t="str">
        <f>IFERROR(__xludf.DUMMYFUNCTION("""COMPUTED_VALUE"""),"Sanofi India Ltd")</f>
        <v>Sanofi India Ltd</v>
      </c>
    </row>
    <row r="2589">
      <c r="H2589" s="25" t="str">
        <f>IFERROR(__xludf.DUMMYFUNCTION("""COMPUTED_VALUE"""),"SANOFI PASTEUR")</f>
        <v>SANOFI PASTEUR</v>
      </c>
    </row>
    <row r="2590">
      <c r="H2590" s="25" t="str">
        <f>IFERROR(__xludf.DUMMYFUNCTION("""COMPUTED_VALUE"""),"SANTIAGO LIFE SCIENCES")</f>
        <v>SANTIAGO LIFE SCIENCES</v>
      </c>
    </row>
    <row r="2591">
      <c r="H2591" s="25" t="str">
        <f>IFERROR(__xludf.DUMMYFUNCTION("""COMPUTED_VALUE"""),"SANTO MEDI SCIENCES")</f>
        <v>SANTO MEDI SCIENCES</v>
      </c>
    </row>
    <row r="2592">
      <c r="H2592" s="25" t="str">
        <f>IFERROR(__xludf.DUMMYFUNCTION("""COMPUTED_VALUE"""),"SANZYME (ART)")</f>
        <v>SANZYME (ART)</v>
      </c>
    </row>
    <row r="2593">
      <c r="H2593" s="25" t="str">
        <f>IFERROR(__xludf.DUMMYFUNCTION("""COMPUTED_VALUE"""),"Sanzyme Ltd (NEPHRO URO)")</f>
        <v>Sanzyme Ltd (NEPHRO URO)</v>
      </c>
    </row>
    <row r="2594">
      <c r="H2594" s="25" t="str">
        <f>IFERROR(__xludf.DUMMYFUNCTION("""COMPUTED_VALUE"""),"Sanzyme Ltd (UNI SANKYO)")</f>
        <v>Sanzyme Ltd (UNI SANKYO)</v>
      </c>
    </row>
    <row r="2595">
      <c r="H2595" s="25" t="str">
        <f>IFERROR(__xludf.DUMMYFUNCTION("""COMPUTED_VALUE"""),"Sanzyme Ltd (ZEST)")</f>
        <v>Sanzyme Ltd (ZEST)</v>
      </c>
    </row>
    <row r="2596">
      <c r="H2596" s="25" t="str">
        <f>IFERROR(__xludf.DUMMYFUNCTION("""COMPUTED_VALUE"""),"SAPAT &amp; COMPANY")</f>
        <v>SAPAT &amp; COMPANY</v>
      </c>
    </row>
    <row r="2597">
      <c r="H2597" s="25" t="str">
        <f>IFERROR(__xludf.DUMMYFUNCTION("""COMPUTED_VALUE"""),"SAPHNIX LIFE SCIENCES")</f>
        <v>SAPHNIX LIFE SCIENCES</v>
      </c>
    </row>
    <row r="2598">
      <c r="H2598" s="25" t="str">
        <f>IFERROR(__xludf.DUMMYFUNCTION("""COMPUTED_VALUE"""),"SAPIENT LABORATORIES")</f>
        <v>SAPIENT LABORATORIES</v>
      </c>
    </row>
    <row r="2599">
      <c r="H2599" s="25" t="str">
        <f>IFERROR(__xludf.DUMMYFUNCTION("""COMPUTED_VALUE"""),"SARA LIFE SCIENCE")</f>
        <v>SARA LIFE SCIENCE</v>
      </c>
    </row>
    <row r="2600">
      <c r="H2600" s="25" t="str">
        <f>IFERROR(__xludf.DUMMYFUNCTION("""COMPUTED_VALUE"""),"SARA REMEDIES LTD")</f>
        <v>SARA REMEDIES LTD</v>
      </c>
    </row>
    <row r="2601">
      <c r="H2601" s="25" t="str">
        <f>IFERROR(__xludf.DUMMYFUNCTION("""COMPUTED_VALUE"""),"SARABHAI CHEMICALS")</f>
        <v>SARABHAI CHEMICALS</v>
      </c>
    </row>
    <row r="2602">
      <c r="H2602" s="25" t="str">
        <f>IFERROR(__xludf.DUMMYFUNCTION("""COMPUTED_VALUE"""),"SARANSH PHARMACEUTICALS")</f>
        <v>SARANSH PHARMACEUTICALS</v>
      </c>
    </row>
    <row r="2603">
      <c r="H2603" s="25" t="str">
        <f>IFERROR(__xludf.DUMMYFUNCTION("""COMPUTED_VALUE"""),"SARIAN HEALTHCARE")</f>
        <v>SARIAN HEALTHCARE</v>
      </c>
    </row>
    <row r="2604">
      <c r="H2604" s="25" t="str">
        <f>IFERROR(__xludf.DUMMYFUNCTION("""COMPUTED_VALUE"""),"SARTHAK BIOTECHNICS")</f>
        <v>SARTHAK BIOTECHNICS</v>
      </c>
    </row>
    <row r="2605">
      <c r="H2605" s="25" t="str">
        <f>IFERROR(__xludf.DUMMYFUNCTION("""COMPUTED_VALUE"""),"SAS BIOSYNTH")</f>
        <v>SAS BIOSYNTH</v>
      </c>
    </row>
    <row r="2606">
      <c r="H2606" s="25" t="str">
        <f>IFERROR(__xludf.DUMMYFUNCTION("""COMPUTED_VALUE"""),"SATNAM HERBALS")</f>
        <v>SATNAM HERBALS</v>
      </c>
    </row>
    <row r="2607">
      <c r="H2607" s="25" t="str">
        <f>IFERROR(__xludf.DUMMYFUNCTION("""COMPUTED_VALUE"""),"SATURN LAB")</f>
        <v>SATURN LAB</v>
      </c>
    </row>
    <row r="2608">
      <c r="H2608" s="25" t="str">
        <f>IFERROR(__xludf.DUMMYFUNCTION("""COMPUTED_VALUE"""),"SATYAM HEALTHCARE P.LTD.")</f>
        <v>SATYAM HEALTHCARE P.LTD.</v>
      </c>
    </row>
    <row r="2609">
      <c r="H2609" s="25" t="str">
        <f>IFERROR(__xludf.DUMMYFUNCTION("""COMPUTED_VALUE"""),"SATYAM OPHTHALMICS")</f>
        <v>SATYAM OPHTHALMICS</v>
      </c>
    </row>
    <row r="2610">
      <c r="H2610" s="25" t="str">
        <f>IFERROR(__xludf.DUMMYFUNCTION("""COMPUTED_VALUE"""),"SATYAM REMEDIES")</f>
        <v>SATYAM REMEDIES</v>
      </c>
    </row>
    <row r="2611">
      <c r="H2611" s="25" t="str">
        <f>IFERROR(__xludf.DUMMYFUNCTION("""COMPUTED_VALUE"""),"SAVA MEDICA LTD")</f>
        <v>SAVA MEDICA LTD</v>
      </c>
    </row>
    <row r="2612">
      <c r="H2612" s="25" t="str">
        <f>IFERROR(__xludf.DUMMYFUNCTION("""COMPUTED_VALUE"""),"SAVESOL PHARMA")</f>
        <v>SAVESOL PHARMA</v>
      </c>
    </row>
    <row r="2613">
      <c r="H2613" s="25" t="str">
        <f>IFERROR(__xludf.DUMMYFUNCTION("""COMPUTED_VALUE"""),"SAYRE THERAPEUTICS")</f>
        <v>SAYRE THERAPEUTICS</v>
      </c>
    </row>
    <row r="2614">
      <c r="H2614" s="25" t="str">
        <f>IFERROR(__xludf.DUMMYFUNCTION("""COMPUTED_VALUE"""),"SAYUJYA PHARMACEUTICALS")</f>
        <v>SAYUJYA PHARMACEUTICALS</v>
      </c>
    </row>
    <row r="2615">
      <c r="H2615" s="25" t="str">
        <f>IFERROR(__xludf.DUMMYFUNCTION("""COMPUTED_VALUE"""),"SB LIFESCIENCE")</f>
        <v>SB LIFESCIENCE</v>
      </c>
    </row>
    <row r="2616">
      <c r="H2616" s="25" t="str">
        <f>IFERROR(__xludf.DUMMYFUNCTION("""COMPUTED_VALUE"""),"Sbeed Pharmaceuticals")</f>
        <v>Sbeed Pharmaceuticals</v>
      </c>
    </row>
    <row r="2617">
      <c r="H2617" s="25" t="str">
        <f>IFERROR(__xludf.DUMMYFUNCTION("""COMPUTED_VALUE"""),"SBL")</f>
        <v>SBL</v>
      </c>
    </row>
    <row r="2618">
      <c r="H2618" s="25" t="str">
        <f>IFERROR(__xludf.DUMMYFUNCTION("""COMPUTED_VALUE"""),"SBS BIOTECH")</f>
        <v>SBS BIOTECH</v>
      </c>
    </row>
    <row r="2619">
      <c r="H2619" s="25" t="str">
        <f>IFERROR(__xludf.DUMMYFUNCTION("""COMPUTED_VALUE"""),"SCALA PHARMACEUTICALS")</f>
        <v>SCALA PHARMACEUTICALS</v>
      </c>
    </row>
    <row r="2620">
      <c r="H2620" s="25" t="str">
        <f>IFERROR(__xludf.DUMMYFUNCTION("""COMPUTED_VALUE"""),"SCHNELLER HEATHCARE")</f>
        <v>SCHNELLER HEATHCARE</v>
      </c>
    </row>
    <row r="2621">
      <c r="H2621" s="25" t="str">
        <f>IFERROR(__xludf.DUMMYFUNCTION("""COMPUTED_VALUE"""),"SCHON PHARMACEUTICALS LTD")</f>
        <v>SCHON PHARMACEUTICALS LTD</v>
      </c>
    </row>
    <row r="2622">
      <c r="H2622" s="25" t="str">
        <f>IFERROR(__xludf.DUMMYFUNCTION("""COMPUTED_VALUE"""),"SCORRTIS PHARMA")</f>
        <v>SCORRTIS PHARMA</v>
      </c>
    </row>
    <row r="2623">
      <c r="H2623" s="25" t="str">
        <f>IFERROR(__xludf.DUMMYFUNCTION("""COMPUTED_VALUE"""),"Scott Edil Pharmacia Ltd")</f>
        <v>Scott Edil Pharmacia Ltd</v>
      </c>
    </row>
    <row r="2624">
      <c r="H2624" s="25" t="str">
        <f>IFERROR(__xludf.DUMMYFUNCTION("""COMPUTED_VALUE"""),"SDD TORIC")</f>
        <v>SDD TORIC</v>
      </c>
    </row>
    <row r="2625">
      <c r="H2625" s="25" t="str">
        <f>IFERROR(__xludf.DUMMYFUNCTION("""COMPUTED_VALUE"""),"SDS NUTRACEUTICALS")</f>
        <v>SDS NUTRACEUTICALS</v>
      </c>
    </row>
    <row r="2626">
      <c r="H2626" s="25" t="str">
        <f>IFERROR(__xludf.DUMMYFUNCTION("""COMPUTED_VALUE"""),"SEAGULL PHARMACEUTICALS PVT LTD")</f>
        <v>SEAGULL PHARMACEUTICALS PVT LTD</v>
      </c>
    </row>
    <row r="2627">
      <c r="H2627" s="25" t="str">
        <f>IFERROR(__xludf.DUMMYFUNCTION("""COMPUTED_VALUE"""),"SEARCH CREATION")</f>
        <v>SEARCH CREATION</v>
      </c>
    </row>
    <row r="2628">
      <c r="H2628" s="25" t="str">
        <f>IFERROR(__xludf.DUMMYFUNCTION("""COMPUTED_VALUE"""),"SEARUB")</f>
        <v>SEARUB</v>
      </c>
    </row>
    <row r="2629">
      <c r="H2629" s="25" t="str">
        <f>IFERROR(__xludf.DUMMYFUNCTION("""COMPUTED_VALUE"""),"SEEMA INTERNATIONAL")</f>
        <v>SEEMA INTERNATIONAL</v>
      </c>
    </row>
    <row r="2630">
      <c r="H2630" s="25" t="str">
        <f>IFERROR(__xludf.DUMMYFUNCTION("""COMPUTED_VALUE"""),"SEGMENT CARE")</f>
        <v>SEGMENT CARE</v>
      </c>
    </row>
    <row r="2631">
      <c r="H2631" s="25" t="str">
        <f>IFERROR(__xludf.DUMMYFUNCTION("""COMPUTED_VALUE"""),"SELVADOR LTD")</f>
        <v>SELVADOR LTD</v>
      </c>
    </row>
    <row r="2632">
      <c r="H2632" s="25" t="str">
        <f>IFERROR(__xludf.DUMMYFUNCTION("""COMPUTED_VALUE"""),"SELWAY LIFE SCIENCES PVT LTD")</f>
        <v>SELWAY LIFE SCIENCES PVT LTD</v>
      </c>
    </row>
    <row r="2633">
      <c r="H2633" s="25" t="str">
        <f>IFERROR(__xludf.DUMMYFUNCTION("""COMPUTED_VALUE"""),"SENATE LABORATORIES ROORKE")</f>
        <v>SENATE LABORATORIES ROORKE</v>
      </c>
    </row>
    <row r="2634">
      <c r="H2634" s="25" t="str">
        <f>IFERROR(__xludf.DUMMYFUNCTION("""COMPUTED_VALUE"""),"SENCARE LIFE SCIENCES")</f>
        <v>SENCARE LIFE SCIENCES</v>
      </c>
    </row>
    <row r="2635">
      <c r="H2635" s="25" t="str">
        <f>IFERROR(__xludf.DUMMYFUNCTION("""COMPUTED_VALUE"""),"SENEN BIOTECH")</f>
        <v>SENEN BIOTECH</v>
      </c>
    </row>
    <row r="2636">
      <c r="H2636" s="25" t="str">
        <f>IFERROR(__xludf.DUMMYFUNCTION("""COMPUTED_VALUE"""),"SENERA ESSENTIALS")</f>
        <v>SENERA ESSENTIALS</v>
      </c>
    </row>
    <row r="2637">
      <c r="H2637" s="25" t="str">
        <f>IFERROR(__xludf.DUMMYFUNCTION("""COMPUTED_VALUE"""),"SENERA ETHICAL")</f>
        <v>SENERA ETHICAL</v>
      </c>
    </row>
    <row r="2638">
      <c r="H2638" s="25" t="str">
        <f>IFERROR(__xludf.DUMMYFUNCTION("""COMPUTED_VALUE"""),"SENSES PHARMACEUTICALS")</f>
        <v>SENSES PHARMACEUTICALS</v>
      </c>
    </row>
    <row r="2639">
      <c r="H2639" s="25" t="str">
        <f>IFERROR(__xludf.DUMMYFUNCTION("""COMPUTED_VALUE"""),"SENTISS PHARMA")</f>
        <v>SENTISS PHARMA</v>
      </c>
    </row>
    <row r="2640">
      <c r="H2640" s="25" t="str">
        <f>IFERROR(__xludf.DUMMYFUNCTION("""COMPUTED_VALUE"""),"SEPTALYST LIFESCIENCES (CNS)")</f>
        <v>SEPTALYST LIFESCIENCES (CNS)</v>
      </c>
    </row>
    <row r="2641">
      <c r="H2641" s="25" t="str">
        <f>IFERROR(__xludf.DUMMYFUNCTION("""COMPUTED_VALUE"""),"SEPTALYST LIFESCIENCES (NEPHRO)")</f>
        <v>SEPTALYST LIFESCIENCES (NEPHRO)</v>
      </c>
    </row>
    <row r="2642">
      <c r="H2642" s="25" t="str">
        <f>IFERROR(__xludf.DUMMYFUNCTION("""COMPUTED_VALUE"""),"Septalyst Lifesciences Pvt. Ltd")</f>
        <v>Septalyst Lifesciences Pvt. Ltd</v>
      </c>
    </row>
    <row r="2643">
      <c r="H2643" s="25" t="str">
        <f>IFERROR(__xludf.DUMMYFUNCTION("""COMPUTED_VALUE"""),"Serdia Pharmaceuticals India Pvt Ltd")</f>
        <v>Serdia Pharmaceuticals India Pvt Ltd</v>
      </c>
    </row>
    <row r="2644">
      <c r="H2644" s="25" t="str">
        <f>IFERROR(__xludf.DUMMYFUNCTION("""COMPUTED_VALUE"""),"SERUM BIOTECH LTD")</f>
        <v>SERUM BIOTECH LTD</v>
      </c>
    </row>
    <row r="2645">
      <c r="H2645" s="25" t="str">
        <f>IFERROR(__xludf.DUMMYFUNCTION("""COMPUTED_VALUE"""),"Serum Institute Of India Ltd")</f>
        <v>Serum Institute Of India Ltd</v>
      </c>
    </row>
    <row r="2646">
      <c r="H2646" s="25" t="str">
        <f>IFERROR(__xludf.DUMMYFUNCTION("""COMPUTED_VALUE"""),"SERVETUS")</f>
        <v>SERVETUS</v>
      </c>
    </row>
    <row r="2647">
      <c r="H2647" s="25" t="str">
        <f>IFERROR(__xludf.DUMMYFUNCTION("""COMPUTED_VALUE"""),"SERWINA PHARMACEUTICALS (GENERIC)")</f>
        <v>SERWINA PHARMACEUTICALS (GENERIC)</v>
      </c>
    </row>
    <row r="2648">
      <c r="H2648" s="25" t="str">
        <f>IFERROR(__xludf.DUMMYFUNCTION("""COMPUTED_VALUE"""),"SESDERMA INDIA PVT LTD")</f>
        <v>SESDERMA INDIA PVT LTD</v>
      </c>
    </row>
    <row r="2649">
      <c r="H2649" s="25" t="str">
        <f>IFERROR(__xludf.DUMMYFUNCTION("""COMPUTED_VALUE"""),"SEVA HEALTHCARE(P)LTD")</f>
        <v>SEVA HEALTHCARE(P)LTD</v>
      </c>
    </row>
    <row r="2650">
      <c r="H2650" s="25" t="str">
        <f>IFERROR(__xludf.DUMMYFUNCTION("""COMPUTED_VALUE"""),"SEVEN BIOSCIENCES")</f>
        <v>SEVEN BIOSCIENCES</v>
      </c>
    </row>
    <row r="2651">
      <c r="H2651" s="25" t="str">
        <f>IFERROR(__xludf.DUMMYFUNCTION("""COMPUTED_VALUE"""),"SEVEN SEAS")</f>
        <v>SEVEN SEAS</v>
      </c>
    </row>
    <row r="2652">
      <c r="H2652" s="25" t="str">
        <f>IFERROR(__xludf.DUMMYFUNCTION("""COMPUTED_VALUE"""),"SEVENHILLS LIFESCIENCES")</f>
        <v>SEVENHILLS LIFESCIENCES</v>
      </c>
    </row>
    <row r="2653">
      <c r="H2653" s="25" t="str">
        <f>IFERROR(__xludf.DUMMYFUNCTION("""COMPUTED_VALUE"""),"SG LIFECARE")</f>
        <v>SG LIFECARE</v>
      </c>
    </row>
    <row r="2654">
      <c r="H2654" s="25" t="str">
        <f>IFERROR(__xludf.DUMMYFUNCTION("""COMPUTED_VALUE"""),"SG PHARMA")</f>
        <v>SG PHARMA</v>
      </c>
    </row>
    <row r="2655">
      <c r="H2655" s="25" t="str">
        <f>IFERROR(__xludf.DUMMYFUNCTION("""COMPUTED_VALUE"""),"SG PHYTO PHARMA P LTD")</f>
        <v>SG PHYTO PHARMA P LTD</v>
      </c>
    </row>
    <row r="2656">
      <c r="H2656" s="25" t="str">
        <f>IFERROR(__xludf.DUMMYFUNCTION("""COMPUTED_VALUE"""),"SGS")</f>
        <v>SGS</v>
      </c>
    </row>
    <row r="2657">
      <c r="H2657" s="25" t="str">
        <f>IFERROR(__xludf.DUMMYFUNCTION("""COMPUTED_VALUE"""),"SH PHARMACEUTICALS LTD")</f>
        <v>SH PHARMACEUTICALS LTD</v>
      </c>
    </row>
    <row r="2658">
      <c r="H2658" s="25" t="str">
        <f>IFERROR(__xludf.DUMMYFUNCTION("""COMPUTED_VALUE"""),"SHALMAN PHARMACEUTICAL")</f>
        <v>SHALMAN PHARMACEUTICAL</v>
      </c>
    </row>
    <row r="2659">
      <c r="H2659" s="25" t="str">
        <f>IFERROR(__xludf.DUMMYFUNCTION("""COMPUTED_VALUE"""),"SHAMAC HEALTHCARE")</f>
        <v>SHAMAC HEALTHCARE</v>
      </c>
    </row>
    <row r="2660">
      <c r="H2660" s="25" t="str">
        <f>IFERROR(__xludf.DUMMYFUNCTION("""COMPUTED_VALUE"""),"SHANKHIN HEALTHCARE")</f>
        <v>SHANKHIN HEALTHCARE</v>
      </c>
    </row>
    <row r="2661">
      <c r="H2661" s="25" t="str">
        <f>IFERROR(__xludf.DUMMYFUNCTION("""COMPUTED_VALUE"""),"SHANKUS ACME PHARMA")</f>
        <v>SHANKUS ACME PHARMA</v>
      </c>
    </row>
    <row r="2662">
      <c r="H2662" s="25" t="str">
        <f>IFERROR(__xludf.DUMMYFUNCTION("""COMPUTED_VALUE"""),"SHANTA BIOTECH LTD")</f>
        <v>SHANTA BIOTECH LTD</v>
      </c>
    </row>
    <row r="2663">
      <c r="H2663" s="25" t="str">
        <f>IFERROR(__xludf.DUMMYFUNCTION("""COMPUTED_VALUE"""),"SHARANGDHAR")</f>
        <v>SHARANGDHAR</v>
      </c>
    </row>
    <row r="2664">
      <c r="H2664" s="25" t="str">
        <f>IFERROR(__xludf.DUMMYFUNCTION("""COMPUTED_VALUE"""),"SHARMAYU AYURVED BHAWAN")</f>
        <v>SHARMAYU AYURVED BHAWAN</v>
      </c>
    </row>
    <row r="2665">
      <c r="H2665" s="25" t="str">
        <f>IFERROR(__xludf.DUMMYFUNCTION("""COMPUTED_VALUE"""),"SHE BIOLOGICALS")</f>
        <v>SHE BIOLOGICALS</v>
      </c>
    </row>
    <row r="2666">
      <c r="H2666" s="25" t="str">
        <f>IFERROR(__xludf.DUMMYFUNCTION("""COMPUTED_VALUE"""),"SHEBA INDUSTRIES")</f>
        <v>SHEBA INDUSTRIES</v>
      </c>
    </row>
    <row r="2667">
      <c r="H2667" s="25" t="str">
        <f>IFERROR(__xludf.DUMMYFUNCTION("""COMPUTED_VALUE"""),"SHERINGS")</f>
        <v>SHERINGS</v>
      </c>
    </row>
    <row r="2668">
      <c r="H2668" s="25" t="str">
        <f>IFERROR(__xludf.DUMMYFUNCTION("""COMPUTED_VALUE"""),"SHETH BROS.")</f>
        <v>SHETH BROS.</v>
      </c>
    </row>
    <row r="2669">
      <c r="H2669" s="25" t="str">
        <f>IFERROR(__xludf.DUMMYFUNCTION("""COMPUTED_VALUE"""),"SHILPACHEM INDUSTRIES")</f>
        <v>SHILPACHEM INDUSTRIES</v>
      </c>
    </row>
    <row r="2670">
      <c r="H2670" s="25" t="str">
        <f>IFERROR(__xludf.DUMMYFUNCTION("""COMPUTED_VALUE"""),"Shine Pharmaceuticals Ltd")</f>
        <v>Shine Pharmaceuticals Ltd</v>
      </c>
    </row>
    <row r="2671">
      <c r="H2671" s="25" t="str">
        <f>IFERROR(__xludf.DUMMYFUNCTION("""COMPUTED_VALUE"""),"SHINTO ORGANICS")</f>
        <v>SHINTO ORGANICS</v>
      </c>
    </row>
    <row r="2672">
      <c r="H2672" s="25" t="str">
        <f>IFERROR(__xludf.DUMMYFUNCTION("""COMPUTED_VALUE"""),"SHIVANI COTTON")</f>
        <v>SHIVANI COTTON</v>
      </c>
    </row>
    <row r="2673">
      <c r="H2673" s="25" t="str">
        <f>IFERROR(__xludf.DUMMYFUNCTION("""COMPUTED_VALUE"""),"SHIVAYU HERBAL CARE")</f>
        <v>SHIVAYU HERBAL CARE</v>
      </c>
    </row>
    <row r="2674">
      <c r="H2674" s="25" t="str">
        <f>IFERROR(__xludf.DUMMYFUNCTION("""COMPUTED_VALUE"""),"SHIVAYUR HEALTHCARE (GENERIC)")</f>
        <v>SHIVAYUR HEALTHCARE (GENERIC)</v>
      </c>
    </row>
    <row r="2675">
      <c r="H2675" s="25" t="str">
        <f>IFERROR(__xludf.DUMMYFUNCTION("""COMPUTED_VALUE"""),"SHL")</f>
        <v>SHL</v>
      </c>
    </row>
    <row r="2676">
      <c r="H2676" s="25" t="str">
        <f>IFERROR(__xludf.DUMMYFUNCTION("""COMPUTED_VALUE"""),"Shree Baidyanath Ayurved Bhawan Pvt Ltd")</f>
        <v>Shree Baidyanath Ayurved Bhawan Pvt Ltd</v>
      </c>
    </row>
    <row r="2677">
      <c r="H2677" s="25" t="str">
        <f>IFERROR(__xludf.DUMMYFUNCTION("""COMPUTED_VALUE"""),"SHREE DHANWANTRI HERBALS")</f>
        <v>SHREE DHANWANTRI HERBALS</v>
      </c>
    </row>
    <row r="2678">
      <c r="H2678" s="25" t="str">
        <f>IFERROR(__xludf.DUMMYFUNCTION("""COMPUTED_VALUE"""),"SHREE GANESH PHARMACEUTICALS")</f>
        <v>SHREE GANESH PHARMACEUTICALS</v>
      </c>
    </row>
    <row r="2679">
      <c r="H2679" s="25" t="str">
        <f>IFERROR(__xludf.DUMMYFUNCTION("""COMPUTED_VALUE"""),"SHREE KRISHNA PHARMACEUTICALS")</f>
        <v>SHREE KRISHNA PHARMACEUTICALS</v>
      </c>
    </row>
    <row r="2680">
      <c r="H2680" s="25" t="str">
        <f>IFERROR(__xludf.DUMMYFUNCTION("""COMPUTED_VALUE"""),"SHREE MARUTI HERBAL")</f>
        <v>SHREE MARUTI HERBAL</v>
      </c>
    </row>
    <row r="2681">
      <c r="H2681" s="25" t="str">
        <f>IFERROR(__xludf.DUMMYFUNCTION("""COMPUTED_VALUE"""),"SHREE NATH PHARMACEUTICALS LTD")</f>
        <v>SHREE NATH PHARMACEUTICALS LTD</v>
      </c>
    </row>
    <row r="2682">
      <c r="H2682" s="25" t="str">
        <f>IFERROR(__xludf.DUMMYFUNCTION("""COMPUTED_VALUE"""),"SHREE NUTRITIONS VIDHYAVIH")</f>
        <v>SHREE NUTRITIONS VIDHYAVIH</v>
      </c>
    </row>
    <row r="2683">
      <c r="H2683" s="25" t="str">
        <f>IFERROR(__xludf.DUMMYFUNCTION("""COMPUTED_VALUE"""),"SHREE SHARMA AYURVED MANDIR")</f>
        <v>SHREE SHARMA AYURVED MANDIR</v>
      </c>
    </row>
    <row r="2684">
      <c r="H2684" s="25" t="str">
        <f>IFERROR(__xludf.DUMMYFUNCTION("""COMPUTED_VALUE"""),"SHREE SIDDHA AYURVED &amp; RESEARCH")</f>
        <v>SHREE SIDDHA AYURVED &amp; RESEARCH</v>
      </c>
    </row>
    <row r="2685">
      <c r="H2685" s="25" t="str">
        <f>IFERROR(__xludf.DUMMYFUNCTION("""COMPUTED_VALUE"""),"SHREE SITARAGHAVA VAIDYASALA")</f>
        <v>SHREE SITARAGHAVA VAIDYASALA</v>
      </c>
    </row>
    <row r="2686">
      <c r="H2686" s="25" t="str">
        <f>IFERROR(__xludf.DUMMYFUNCTION("""COMPUTED_VALUE"""),"SHREEJI AGENCY (OMP)")</f>
        <v>SHREEJI AGENCY (OMP)</v>
      </c>
    </row>
    <row r="2687">
      <c r="H2687" s="25" t="str">
        <f>IFERROR(__xludf.DUMMYFUNCTION("""COMPUTED_VALUE"""),"SHREEM DRUGS P LTD")</f>
        <v>SHREEM DRUGS P LTD</v>
      </c>
    </row>
    <row r="2688">
      <c r="H2688" s="25" t="str">
        <f>IFERROR(__xludf.DUMMYFUNCTION("""COMPUTED_VALUE"""),"SHREEYAM HEALTH CARE")</f>
        <v>SHREEYAM HEALTH CARE</v>
      </c>
    </row>
    <row r="2689">
      <c r="H2689" s="25" t="str">
        <f>IFERROR(__xludf.DUMMYFUNCTION("""COMPUTED_VALUE"""),"Shreeyam Healthcare")</f>
        <v>Shreeyam Healthcare</v>
      </c>
    </row>
    <row r="2690">
      <c r="H2690" s="25" t="str">
        <f>IFERROR(__xludf.DUMMYFUNCTION("""COMPUTED_VALUE"""),"Shrey Nutraceuticals &amp; Herbals Pvt Ltd")</f>
        <v>Shrey Nutraceuticals &amp; Herbals Pvt Ltd</v>
      </c>
    </row>
    <row r="2691">
      <c r="H2691" s="25" t="str">
        <f>IFERROR(__xludf.DUMMYFUNCTION("""COMPUTED_VALUE"""),"Shreya Life Sciences Pvt Ltd")</f>
        <v>Shreya Life Sciences Pvt Ltd</v>
      </c>
    </row>
    <row r="2692">
      <c r="H2692" s="25" t="str">
        <f>IFERROR(__xludf.DUMMYFUNCTION("""COMPUTED_VALUE"""),"SHRI AYURVED SEVA SADAN")</f>
        <v>SHRI AYURVED SEVA SADAN</v>
      </c>
    </row>
    <row r="2693">
      <c r="H2693" s="25" t="str">
        <f>IFERROR(__xludf.DUMMYFUNCTION("""COMPUTED_VALUE"""),"SHRINIVAS (ESSENTIAL)")</f>
        <v>SHRINIVAS (ESSENTIAL)</v>
      </c>
    </row>
    <row r="2694">
      <c r="H2694" s="25" t="str">
        <f>IFERROR(__xludf.DUMMYFUNCTION("""COMPUTED_VALUE"""),"SHRINIVAS (GUJRAT) LABORATORIES")</f>
        <v>SHRINIVAS (GUJRAT) LABORATORIES</v>
      </c>
    </row>
    <row r="2695">
      <c r="H2695" s="25" t="str">
        <f>IFERROR(__xludf.DUMMYFUNCTION("""COMPUTED_VALUE"""),"SIDDHAYU")</f>
        <v>SIDDHAYU</v>
      </c>
    </row>
    <row r="2696">
      <c r="H2696" s="25" t="str">
        <f>IFERROR(__xludf.DUMMYFUNCTION("""COMPUTED_VALUE"""),"SIENNA FORMULATIONS")</f>
        <v>SIENNA FORMULATIONS</v>
      </c>
    </row>
    <row r="2697">
      <c r="H2697" s="25" t="str">
        <f>IFERROR(__xludf.DUMMYFUNCTION("""COMPUTED_VALUE"""),"SIESTA PHARMA")</f>
        <v>SIESTA PHARMA</v>
      </c>
    </row>
    <row r="2698">
      <c r="H2698" s="25" t="str">
        <f>IFERROR(__xludf.DUMMYFUNCTION("""COMPUTED_VALUE"""),"SIFCO PHARMA")</f>
        <v>SIFCO PHARMA</v>
      </c>
    </row>
    <row r="2699">
      <c r="H2699" s="25" t="str">
        <f>IFERROR(__xludf.DUMMYFUNCTION("""COMPUTED_VALUE"""),"SIGMA LABORATORIES")</f>
        <v>SIGMA LABORATORIES</v>
      </c>
    </row>
    <row r="2700">
      <c r="H2700" s="25" t="str">
        <f>IFERROR(__xludf.DUMMYFUNCTION("""COMPUTED_VALUE"""),"SIGMAN WELLNESS")</f>
        <v>SIGMAN WELLNESS</v>
      </c>
    </row>
    <row r="2701">
      <c r="H2701" s="25" t="str">
        <f>IFERROR(__xludf.DUMMYFUNCTION("""COMPUTED_VALUE"""),"Sigmund Promedica")</f>
        <v>Sigmund Promedica</v>
      </c>
    </row>
    <row r="2702">
      <c r="H2702" s="25" t="str">
        <f>IFERROR(__xludf.DUMMYFUNCTION("""COMPUTED_VALUE"""),"SIGNITY PHARMACEUTICALS")</f>
        <v>SIGNITY PHARMACEUTICALS</v>
      </c>
    </row>
    <row r="2703">
      <c r="H2703" s="25" t="str">
        <f>IFERROR(__xludf.DUMMYFUNCTION("""COMPUTED_VALUE"""),"Signova Pharma Pvt Ltd")</f>
        <v>Signova Pharma Pvt Ltd</v>
      </c>
    </row>
    <row r="2704">
      <c r="H2704" s="25" t="str">
        <f>IFERROR(__xludf.DUMMYFUNCTION("""COMPUTED_VALUE"""),"SIGNUTRA INC")</f>
        <v>SIGNUTRA INC</v>
      </c>
    </row>
    <row r="2705">
      <c r="H2705" s="25" t="str">
        <f>IFERROR(__xludf.DUMMYFUNCTION("""COMPUTED_VALUE"""),"SIMCO ORGANICS")</f>
        <v>SIMCO ORGANICS</v>
      </c>
    </row>
    <row r="2706">
      <c r="H2706" s="25" t="str">
        <f>IFERROR(__xludf.DUMMYFUNCTION("""COMPUTED_VALUE"""),"SIMPLY SATVIK")</f>
        <v>SIMPLY SATVIK</v>
      </c>
    </row>
    <row r="2707">
      <c r="H2707" s="25" t="str">
        <f>IFERROR(__xludf.DUMMYFUNCTION("""COMPUTED_VALUE"""),"SINGHAL PHARMA")</f>
        <v>SINGHAL PHARMA</v>
      </c>
    </row>
    <row r="2708">
      <c r="H2708" s="25" t="str">
        <f>IFERROR(__xludf.DUMMYFUNCTION("""COMPUTED_VALUE"""),"SINSAN PHARMACEUTICALS")</f>
        <v>SINSAN PHARMACEUTICALS</v>
      </c>
    </row>
    <row r="2709">
      <c r="H2709" s="25" t="str">
        <f>IFERROR(__xludf.DUMMYFUNCTION("""COMPUTED_VALUE"""),"SIXTH SENSE PHARMACEUTICALS")</f>
        <v>SIXTH SENSE PHARMACEUTICALS</v>
      </c>
    </row>
    <row r="2710">
      <c r="H2710" s="25" t="str">
        <f>IFERROR(__xludf.DUMMYFUNCTION("""COMPUTED_VALUE"""),"SKIN SCIENCE")</f>
        <v>SKIN SCIENCE</v>
      </c>
    </row>
    <row r="2711">
      <c r="H2711" s="25" t="str">
        <f>IFERROR(__xludf.DUMMYFUNCTION("""COMPUTED_VALUE"""),"SKINWAVE INDIA")</f>
        <v>SKINWAVE INDIA</v>
      </c>
    </row>
    <row r="2712">
      <c r="H2712" s="25" t="str">
        <f>IFERROR(__xludf.DUMMYFUNCTION("""COMPUTED_VALUE"""),"SKN ORGANICS")</f>
        <v>SKN ORGANICS</v>
      </c>
    </row>
    <row r="2713">
      <c r="H2713" s="25" t="str">
        <f>IFERROR(__xludf.DUMMYFUNCTION("""COMPUTED_VALUE"""),"SL  TORIC")</f>
        <v>SL  TORIC</v>
      </c>
    </row>
    <row r="2714">
      <c r="H2714" s="25" t="str">
        <f>IFERROR(__xludf.DUMMYFUNCTION("""COMPUTED_VALUE"""),"SLANEY HEALTHCARE")</f>
        <v>SLANEY HEALTHCARE</v>
      </c>
    </row>
    <row r="2715">
      <c r="H2715" s="25" t="str">
        <f>IFERROR(__xludf.DUMMYFUNCTION("""COMPUTED_VALUE"""),"SMART LABORATORIES (CONVEX)")</f>
        <v>SMART LABORATORIES (CONVEX)</v>
      </c>
    </row>
    <row r="2716">
      <c r="H2716" s="25" t="str">
        <f>IFERROR(__xludf.DUMMYFUNCTION("""COMPUTED_VALUE"""),"SMITHSONS LIFE SCIENCE")</f>
        <v>SMITHSONS LIFE SCIENCE</v>
      </c>
    </row>
    <row r="2717">
      <c r="H2717" s="25" t="str">
        <f>IFERROR(__xludf.DUMMYFUNCTION("""COMPUTED_VALUE"""),"SNDAR")</f>
        <v>SNDAR</v>
      </c>
    </row>
    <row r="2718">
      <c r="H2718" s="25" t="str">
        <f>IFERROR(__xludf.DUMMYFUNCTION("""COMPUTED_VALUE"""),"SNERVOTEC PHARMACIUTICAL B")</f>
        <v>SNERVOTEC PHARMACIUTICAL B</v>
      </c>
    </row>
    <row r="2719">
      <c r="H2719" s="25" t="str">
        <f>IFERROR(__xludf.DUMMYFUNCTION("""COMPUTED_VALUE"""),"SNERVOTEC PHARMACUTICAL")</f>
        <v>SNERVOTEC PHARMACUTICAL</v>
      </c>
    </row>
    <row r="2720">
      <c r="H2720" s="25" t="str">
        <f>IFERROR(__xludf.DUMMYFUNCTION("""COMPUTED_VALUE"""),"SOCRUS PHARMACUTICAL")</f>
        <v>SOCRUS PHARMACUTICAL</v>
      </c>
    </row>
    <row r="2721">
      <c r="H2721" s="25" t="str">
        <f>IFERROR(__xludf.DUMMYFUNCTION("""COMPUTED_VALUE"""),"SOFLENS DAILY DISP")</f>
        <v>SOFLENS DAILY DISP</v>
      </c>
    </row>
    <row r="2722">
      <c r="H2722" s="25" t="str">
        <f>IFERROR(__xludf.DUMMYFUNCTION("""COMPUTED_VALUE"""),"SOFT MEDICAPS")</f>
        <v>SOFT MEDICAPS</v>
      </c>
    </row>
    <row r="2723">
      <c r="H2723" s="25" t="str">
        <f>IFERROR(__xludf.DUMMYFUNCTION("""COMPUTED_VALUE"""),"Sol Derma")</f>
        <v>Sol Derma</v>
      </c>
    </row>
    <row r="2724">
      <c r="H2724" s="25" t="str">
        <f>IFERROR(__xludf.DUMMYFUNCTION("""COMPUTED_VALUE"""),"SOLACE (CARMENTA)")</f>
        <v>SOLACE (CARMENTA)</v>
      </c>
    </row>
    <row r="2725">
      <c r="H2725" s="25" t="str">
        <f>IFERROR(__xludf.DUMMYFUNCTION("""COMPUTED_VALUE"""),"SOLACE (DENTAL)")</f>
        <v>SOLACE (DENTAL)</v>
      </c>
    </row>
    <row r="2726">
      <c r="H2726" s="25" t="str">
        <f>IFERROR(__xludf.DUMMYFUNCTION("""COMPUTED_VALUE"""),"SOLACE (EOS)")</f>
        <v>SOLACE (EOS)</v>
      </c>
    </row>
    <row r="2727">
      <c r="H2727" s="25" t="str">
        <f>IFERROR(__xludf.DUMMYFUNCTION("""COMPUTED_VALUE"""),"SOLACE (NUTRITION NEXT )")</f>
        <v>SOLACE (NUTRITION NEXT )</v>
      </c>
    </row>
    <row r="2728">
      <c r="H2728" s="25" t="str">
        <f>IFERROR(__xludf.DUMMYFUNCTION("""COMPUTED_VALUE"""),"SOLACE (NUTRITION NEXT)")</f>
        <v>SOLACE (NUTRITION NEXT)</v>
      </c>
    </row>
    <row r="2729">
      <c r="H2729" s="25" t="str">
        <f>IFERROR(__xludf.DUMMYFUNCTION("""COMPUTED_VALUE"""),"SOLACE (OSTEO)")</f>
        <v>SOLACE (OSTEO)</v>
      </c>
    </row>
    <row r="2730">
      <c r="H2730" s="25" t="str">
        <f>IFERROR(__xludf.DUMMYFUNCTION("""COMPUTED_VALUE"""),"SOLACE (PICCOLO)")</f>
        <v>SOLACE (PICCOLO)</v>
      </c>
    </row>
    <row r="2731">
      <c r="H2731" s="25" t="str">
        <f>IFERROR(__xludf.DUMMYFUNCTION("""COMPUTED_VALUE"""),"SOLACE (SOLTECH)")</f>
        <v>SOLACE (SOLTECH)</v>
      </c>
    </row>
    <row r="2732">
      <c r="H2732" s="25" t="str">
        <f>IFERROR(__xludf.DUMMYFUNCTION("""COMPUTED_VALUE"""),"Solace Biotech Ltd")</f>
        <v>Solace Biotech Ltd</v>
      </c>
    </row>
    <row r="2733">
      <c r="H2733" s="25" t="str">
        <f>IFERROR(__xludf.DUMMYFUNCTION("""COMPUTED_VALUE"""),"SOLEIL INTERNATIONAL")</f>
        <v>SOLEIL INTERNATIONAL</v>
      </c>
    </row>
    <row r="2734">
      <c r="H2734" s="25" t="str">
        <f>IFERROR(__xludf.DUMMYFUNCTION("""COMPUTED_VALUE"""),"SOLERA LIFE SCIENCES P LTD")</f>
        <v>SOLERA LIFE SCIENCES P LTD</v>
      </c>
    </row>
    <row r="2735">
      <c r="H2735" s="25" t="str">
        <f>IFERROR(__xludf.DUMMYFUNCTION("""COMPUTED_VALUE"""),"SOLOWIN PHARMA")</f>
        <v>SOLOWIN PHARMA</v>
      </c>
    </row>
    <row r="2736">
      <c r="H2736" s="25" t="str">
        <f>IFERROR(__xludf.DUMMYFUNCTION("""COMPUTED_VALUE"""),"SOLOZEN LIFESCIENCES")</f>
        <v>SOLOZEN LIFESCIENCES</v>
      </c>
    </row>
    <row r="2737">
      <c r="H2737" s="25" t="str">
        <f>IFERROR(__xludf.DUMMYFUNCTION("""COMPUTED_VALUE"""),"Solumiks Piramal Ltd")</f>
        <v>Solumiks Piramal Ltd</v>
      </c>
    </row>
    <row r="2738">
      <c r="H2738" s="25" t="str">
        <f>IFERROR(__xludf.DUMMYFUNCTION("""COMPUTED_VALUE"""),"SOLUTION ENTERPRISES PVT LTD")</f>
        <v>SOLUTION ENTERPRISES PVT LTD</v>
      </c>
    </row>
    <row r="2739">
      <c r="H2739" s="25" t="str">
        <f>IFERROR(__xludf.DUMMYFUNCTION("""COMPUTED_VALUE"""),"Solvate Laboratries Pvt Ltd")</f>
        <v>Solvate Laboratries Pvt Ltd</v>
      </c>
    </row>
    <row r="2740">
      <c r="H2740" s="25" t="str">
        <f>IFERROR(__xludf.DUMMYFUNCTION("""COMPUTED_VALUE"""),"SONAM PHARMA (OTHER PRODUCTS)")</f>
        <v>SONAM PHARMA (OTHER PRODUCTS)</v>
      </c>
    </row>
    <row r="2741">
      <c r="H2741" s="25" t="str">
        <f>IFERROR(__xludf.DUMMYFUNCTION("""COMPUTED_VALUE"""),"SONIKA LIFE SCIENCE")</f>
        <v>SONIKA LIFE SCIENCE</v>
      </c>
    </row>
    <row r="2742">
      <c r="H2742" s="25" t="str">
        <f>IFERROR(__xludf.DUMMYFUNCTION("""COMPUTED_VALUE"""),"SONTEX ROLLED BANDAGE WORKS")</f>
        <v>SONTEX ROLLED BANDAGE WORKS</v>
      </c>
    </row>
    <row r="2743">
      <c r="H2743" s="25" t="str">
        <f>IFERROR(__xludf.DUMMYFUNCTION("""COMPUTED_VALUE"""),"SOUL PHARMA")</f>
        <v>SOUL PHARMA</v>
      </c>
    </row>
    <row r="2744">
      <c r="H2744" s="25" t="str">
        <f>IFERROR(__xludf.DUMMYFUNCTION("""COMPUTED_VALUE"""),"SPA NEWTRACEUTICALS")</f>
        <v>SPA NEWTRACEUTICALS</v>
      </c>
    </row>
    <row r="2745">
      <c r="H2745" s="25" t="str">
        <f>IFERROR(__xludf.DUMMYFUNCTION("""COMPUTED_VALUE"""),"SPARK BLESS PHARMA")</f>
        <v>SPARK BLESS PHARMA</v>
      </c>
    </row>
    <row r="2746">
      <c r="H2746" s="25" t="str">
        <f>IFERROR(__xludf.DUMMYFUNCTION("""COMPUTED_VALUE"""),"SPECTRUM PHARMACEUTICAL")</f>
        <v>SPECTRUM PHARMACEUTICAL</v>
      </c>
    </row>
    <row r="2747">
      <c r="H2747" s="25" t="str">
        <f>IFERROR(__xludf.DUMMYFUNCTION("""COMPUTED_VALUE"""),"SPEY MEDICAL P LTD")</f>
        <v>SPEY MEDICAL P LTD</v>
      </c>
    </row>
    <row r="2748">
      <c r="H2748" s="25" t="str">
        <f>IFERROR(__xludf.DUMMYFUNCTION("""COMPUTED_VALUE"""),"SPLENDID PHARMACEUTICALS")</f>
        <v>SPLENDID PHARMACEUTICALS</v>
      </c>
    </row>
    <row r="2749">
      <c r="H2749" s="25" t="str">
        <f>IFERROR(__xludf.DUMMYFUNCTION("""COMPUTED_VALUE"""),"SR PHARMA")</f>
        <v>SR PHARMA</v>
      </c>
    </row>
    <row r="2750">
      <c r="H2750" s="25" t="str">
        <f>IFERROR(__xludf.DUMMYFUNCTION("""COMPUTED_VALUE"""),"SRESAN")</f>
        <v>SRESAN</v>
      </c>
    </row>
    <row r="2751">
      <c r="H2751" s="25" t="str">
        <f>IFERROR(__xludf.DUMMYFUNCTION("""COMPUTED_VALUE"""),"SRI MAHALAKSHMI TEXTILES")</f>
        <v>SRI MAHALAKSHMI TEXTILES</v>
      </c>
    </row>
    <row r="2752">
      <c r="H2752" s="25" t="str">
        <f>IFERROR(__xludf.DUMMYFUNCTION("""COMPUTED_VALUE"""),"SRI SIDDHDATA FARMLAD PVT LTD")</f>
        <v>SRI SIDDHDATA FARMLAD PVT LTD</v>
      </c>
    </row>
    <row r="2753">
      <c r="H2753" s="25" t="str">
        <f>IFERROR(__xludf.DUMMYFUNCTION("""COMPUTED_VALUE"""),"ST GABERIEL PHARMACEUTICALS")</f>
        <v>ST GABERIEL PHARMACEUTICALS</v>
      </c>
    </row>
    <row r="2754">
      <c r="H2754" s="25" t="str">
        <f>IFERROR(__xludf.DUMMYFUNCTION("""COMPUTED_VALUE"""),"Stadchem Of India")</f>
        <v>Stadchem Of India</v>
      </c>
    </row>
    <row r="2755">
      <c r="H2755" s="25" t="str">
        <f>IFERROR(__xludf.DUMMYFUNCTION("""COMPUTED_VALUE"""),"STADIA BIOTECH")</f>
        <v>STADIA BIOTECH</v>
      </c>
    </row>
    <row r="2756">
      <c r="H2756" s="25" t="str">
        <f>IFERROR(__xludf.DUMMYFUNCTION("""COMPUTED_VALUE"""),"Stadmed Pvt Ltd")</f>
        <v>Stadmed Pvt Ltd</v>
      </c>
    </row>
    <row r="2757">
      <c r="H2757" s="25" t="str">
        <f>IFERROR(__xludf.DUMMYFUNCTION("""COMPUTED_VALUE"""),"Stallion Laboratories Pvt Ltd")</f>
        <v>Stallion Laboratories Pvt Ltd</v>
      </c>
    </row>
    <row r="2758">
      <c r="H2758" s="25" t="str">
        <f>IFERROR(__xludf.DUMMYFUNCTION("""COMPUTED_VALUE"""),"STALWART REMEDIES")</f>
        <v>STALWART REMEDIES</v>
      </c>
    </row>
    <row r="2759">
      <c r="H2759" s="25" t="str">
        <f>IFERROR(__xludf.DUMMYFUNCTION("""COMPUTED_VALUE"""),"STAMINE")</f>
        <v>STAMINE</v>
      </c>
    </row>
    <row r="2760">
      <c r="H2760" s="25" t="str">
        <f>IFERROR(__xludf.DUMMYFUNCTION("""COMPUTED_VALUE"""),"STANMARK PHARMA")</f>
        <v>STANMARK PHARMA</v>
      </c>
    </row>
    <row r="2761">
      <c r="H2761" s="25" t="str">
        <f>IFERROR(__xludf.DUMMYFUNCTION("""COMPUTED_VALUE"""),"STARELL BIOCEUTICALS PVT LTD")</f>
        <v>STARELL BIOCEUTICALS PVT LTD</v>
      </c>
    </row>
    <row r="2762">
      <c r="H2762" s="25" t="str">
        <f>IFERROR(__xludf.DUMMYFUNCTION("""COMPUTED_VALUE"""),"STARUS PHARMACEUTICALS P LTD")</f>
        <v>STARUS PHARMACEUTICALS P LTD</v>
      </c>
    </row>
    <row r="2763">
      <c r="H2763" s="25" t="str">
        <f>IFERROR(__xludf.DUMMYFUNCTION("""COMPUTED_VALUE"""),"STAUNCH HEALTH CARE")</f>
        <v>STAUNCH HEALTH CARE</v>
      </c>
    </row>
    <row r="2764">
      <c r="H2764" s="25" t="str">
        <f>IFERROR(__xludf.DUMMYFUNCTION("""COMPUTED_VALUE"""),"Staunch Health Care Pvt Ltd")</f>
        <v>Staunch Health Care Pvt Ltd</v>
      </c>
    </row>
    <row r="2765">
      <c r="H2765" s="25" t="str">
        <f>IFERROR(__xludf.DUMMYFUNCTION("""COMPUTED_VALUE"""),"STAYWELL FORMULATION P LTD")</f>
        <v>STAYWELL FORMULATION P LTD</v>
      </c>
    </row>
    <row r="2766">
      <c r="H2766" s="25" t="str">
        <f>IFERROR(__xludf.DUMMYFUNCTION("""COMPUTED_VALUE"""),"STEADFAST MEDISHIELD PVT LTD")</f>
        <v>STEADFAST MEDISHIELD PVT LTD</v>
      </c>
    </row>
    <row r="2767">
      <c r="H2767" s="25" t="str">
        <f>IFERROR(__xludf.DUMMYFUNCTION("""COMPUTED_VALUE"""),"Stedman Pharmaceuticals Pvt Ltd")</f>
        <v>Stedman Pharmaceuticals Pvt Ltd</v>
      </c>
    </row>
    <row r="2768">
      <c r="H2768" s="25" t="str">
        <f>IFERROR(__xludf.DUMMYFUNCTION("""COMPUTED_VALUE"""),"STEIGEN PHARMA")</f>
        <v>STEIGEN PHARMA</v>
      </c>
    </row>
    <row r="2769">
      <c r="H2769" s="25" t="str">
        <f>IFERROR(__xludf.DUMMYFUNCTION("""COMPUTED_VALUE"""),"STELLAR BIO LABS")</f>
        <v>STELLAR BIO LABS</v>
      </c>
    </row>
    <row r="2770">
      <c r="H2770" s="25" t="str">
        <f>IFERROR(__xludf.DUMMYFUNCTION("""COMPUTED_VALUE"""),"STENHIL LABS")</f>
        <v>STENHIL LABS</v>
      </c>
    </row>
    <row r="2771">
      <c r="H2771" s="25" t="str">
        <f>IFERROR(__xludf.DUMMYFUNCTION("""COMPUTED_VALUE"""),"STENROZ BIOTECH")</f>
        <v>STENROZ BIOTECH</v>
      </c>
    </row>
    <row r="2772">
      <c r="H2772" s="25" t="str">
        <f>IFERROR(__xludf.DUMMYFUNCTION("""COMPUTED_VALUE"""),"STEPAN LABORATORIES P LTD")</f>
        <v>STEPAN LABORATORIES P LTD</v>
      </c>
    </row>
    <row r="2773">
      <c r="H2773" s="25" t="str">
        <f>IFERROR(__xludf.DUMMYFUNCTION("""COMPUTED_VALUE"""),"STERANCO HEALTHCARE PVT LTD")</f>
        <v>STERANCO HEALTHCARE PVT LTD</v>
      </c>
    </row>
    <row r="2774">
      <c r="H2774" s="25" t="str">
        <f>IFERROR(__xludf.DUMMYFUNCTION("""COMPUTED_VALUE"""),"STERIS HEALTHCARE PVT LTD")</f>
        <v>STERIS HEALTHCARE PVT LTD</v>
      </c>
    </row>
    <row r="2775">
      <c r="H2775" s="25" t="str">
        <f>IFERROR(__xludf.DUMMYFUNCTION("""COMPUTED_VALUE"""),"Stiefel India Pvt Ltd")</f>
        <v>Stiefel India Pvt Ltd</v>
      </c>
    </row>
    <row r="2776">
      <c r="H2776" s="25" t="str">
        <f>IFERROR(__xludf.DUMMYFUNCTION("""COMPUTED_VALUE"""),"STIM BRUSHES")</f>
        <v>STIM BRUSHES</v>
      </c>
    </row>
    <row r="2777">
      <c r="H2777" s="25" t="str">
        <f>IFERROR(__xludf.DUMMYFUNCTION("""COMPUTED_VALUE"""),"Strassenburg Pharmaceuticals.Ltd")</f>
        <v>Strassenburg Pharmaceuticals.Ltd</v>
      </c>
    </row>
    <row r="2778">
      <c r="H2778" s="25" t="str">
        <f>IFERROR(__xludf.DUMMYFUNCTION("""COMPUTED_VALUE"""),"STRENGTHEN PHARMA")</f>
        <v>STRENGTHEN PHARMA</v>
      </c>
    </row>
    <row r="2779">
      <c r="H2779" s="25" t="str">
        <f>IFERROR(__xludf.DUMMYFUNCTION("""COMPUTED_VALUE"""),"STRIDES SHASUN")</f>
        <v>STRIDES SHASUN</v>
      </c>
    </row>
    <row r="2780">
      <c r="H2780" s="25" t="str">
        <f>IFERROR(__xludf.DUMMYFUNCTION("""COMPUTED_VALUE"""),"STRIDES SHASUN (AVETO)")</f>
        <v>STRIDES SHASUN (AVETO)</v>
      </c>
    </row>
    <row r="2781">
      <c r="H2781" s="25" t="str">
        <f>IFERROR(__xludf.DUMMYFUNCTION("""COMPUTED_VALUE"""),"STRIDES SHASUN (EXCEDO)")</f>
        <v>STRIDES SHASUN (EXCEDO)</v>
      </c>
    </row>
    <row r="2782">
      <c r="H2782" s="25" t="str">
        <f>IFERROR(__xludf.DUMMYFUNCTION("""COMPUTED_VALUE"""),"SUBLIME THERAPEUTICS PVT LTD")</f>
        <v>SUBLIME THERAPEUTICS PVT LTD</v>
      </c>
    </row>
    <row r="2783">
      <c r="H2783" s="25" t="str">
        <f>IFERROR(__xludf.DUMMYFUNCTION("""COMPUTED_VALUE"""),"SUBSIST PHARMA")</f>
        <v>SUBSIST PHARMA</v>
      </c>
    </row>
    <row r="2784">
      <c r="H2784" s="25" t="str">
        <f>IFERROR(__xludf.DUMMYFUNCTION("""COMPUTED_VALUE"""),"SUDHA")</f>
        <v>SUDHA</v>
      </c>
    </row>
    <row r="2785">
      <c r="H2785" s="25" t="str">
        <f>IFERROR(__xludf.DUMMYFUNCTION("""COMPUTED_VALUE"""),"SUFFUSE PHARMA")</f>
        <v>SUFFUSE PHARMA</v>
      </c>
    </row>
    <row r="2786">
      <c r="H2786" s="25" t="str">
        <f>IFERROR(__xludf.DUMMYFUNCTION("""COMPUTED_VALUE"""),"SUGANDHA LABOROTRIES")</f>
        <v>SUGANDHA LABOROTRIES</v>
      </c>
    </row>
    <row r="2787">
      <c r="H2787" s="25" t="str">
        <f>IFERROR(__xludf.DUMMYFUNCTION("""COMPUTED_VALUE"""),"SUJANIL CHEMO INDUSTRIES")</f>
        <v>SUJANIL CHEMO INDUSTRIES</v>
      </c>
    </row>
    <row r="2788">
      <c r="H2788" s="25" t="str">
        <f>IFERROR(__xludf.DUMMYFUNCTION("""COMPUTED_VALUE"""),"SUJATA MEDICOSE (OTHER PRODUCTS)")</f>
        <v>SUJATA MEDICOSE (OTHER PRODUCTS)</v>
      </c>
    </row>
    <row r="2789">
      <c r="H2789" s="25" t="str">
        <f>IFERROR(__xludf.DUMMYFUNCTION("""COMPUTED_VALUE"""),"SULZDERM PHARMA")</f>
        <v>SULZDERM PHARMA</v>
      </c>
    </row>
    <row r="2790">
      <c r="H2790" s="25" t="str">
        <f>IFERROR(__xludf.DUMMYFUNCTION("""COMPUTED_VALUE"""),"SUMANDEEP LIFE SCIENCES LLP")</f>
        <v>SUMANDEEP LIFE SCIENCES LLP</v>
      </c>
    </row>
    <row r="2791">
      <c r="H2791" s="25" t="str">
        <f>IFERROR(__xludf.DUMMYFUNCTION("""COMPUTED_VALUE"""),"SUMER HEALTHCARE")</f>
        <v>SUMER HEALTHCARE</v>
      </c>
    </row>
    <row r="2792">
      <c r="H2792" s="25" t="str">
        <f>IFERROR(__xludf.DUMMYFUNCTION("""COMPUTED_VALUE"""),"SUN (ONCOLOGY)")</f>
        <v>SUN (ONCOLOGY)</v>
      </c>
    </row>
    <row r="2793">
      <c r="H2793" s="25" t="str">
        <f>IFERROR(__xludf.DUMMYFUNCTION("""COMPUTED_VALUE"""),"SUN AJ PHARMA")</f>
        <v>SUN AJ PHARMA</v>
      </c>
    </row>
    <row r="2794">
      <c r="H2794" s="25" t="str">
        <f>IFERROR(__xludf.DUMMYFUNCTION("""COMPUTED_VALUE"""),"SUN HERITAGE PHARMA")</f>
        <v>SUN HERITAGE PHARMA</v>
      </c>
    </row>
    <row r="2795">
      <c r="H2795" s="25" t="str">
        <f>IFERROR(__xludf.DUMMYFUNCTION("""COMPUTED_VALUE"""),"SUN INDIA LABORATORIES")</f>
        <v>SUN INDIA LABORATORIES</v>
      </c>
    </row>
    <row r="2796">
      <c r="H2796" s="25" t="str">
        <f>IFERROR(__xludf.DUMMYFUNCTION("""COMPUTED_VALUE"""),"SUN LIFE SCIENCES PVT LTD")</f>
        <v>SUN LIFE SCIENCES PVT LTD</v>
      </c>
    </row>
    <row r="2797">
      <c r="H2797" s="25" t="str">
        <f>IFERROR(__xludf.DUMMYFUNCTION("""COMPUTED_VALUE"""),"SUN PHARMA (AKUNA AV)")</f>
        <v>SUN PHARMA (AKUNA AV)</v>
      </c>
    </row>
    <row r="2798">
      <c r="H2798" s="25" t="str">
        <f>IFERROR(__xludf.DUMMYFUNCTION("""COMPUTED_VALUE"""),"SUN PHARMA (AKUNA)")</f>
        <v>SUN PHARMA (AKUNA)</v>
      </c>
    </row>
    <row r="2799">
      <c r="H2799" s="25" t="str">
        <f>IFERROR(__xludf.DUMMYFUNCTION("""COMPUTED_VALUE"""),"SUN PHARMA (ALTAN)")</f>
        <v>SUN PHARMA (ALTAN)</v>
      </c>
    </row>
    <row r="2800">
      <c r="H2800" s="25" t="str">
        <f>IFERROR(__xludf.DUMMYFUNCTION("""COMPUTED_VALUE"""),"SUN PHARMA (ARIAN)")</f>
        <v>SUN PHARMA (ARIAN)</v>
      </c>
    </row>
    <row r="2801">
      <c r="H2801" s="25" t="str">
        <f>IFERROR(__xludf.DUMMYFUNCTION("""COMPUTED_VALUE"""),"SUN PHARMA (AVESTA)")</f>
        <v>SUN PHARMA (AVESTA)</v>
      </c>
    </row>
    <row r="2802">
      <c r="H2802" s="25" t="str">
        <f>IFERROR(__xludf.DUMMYFUNCTION("""COMPUTED_VALUE"""),"SUN PHARMA (AVIOR)")</f>
        <v>SUN PHARMA (AVIOR)</v>
      </c>
    </row>
    <row r="2803">
      <c r="H2803" s="25" t="str">
        <f>IFERROR(__xludf.DUMMYFUNCTION("""COMPUTED_VALUE"""),"SUN PHARMA (AZURA LIFE)")</f>
        <v>SUN PHARMA (AZURA LIFE)</v>
      </c>
    </row>
    <row r="2804">
      <c r="H2804" s="25" t="str">
        <f>IFERROR(__xludf.DUMMYFUNCTION("""COMPUTED_VALUE"""),"SUN PHARMA (AZURA)")</f>
        <v>SUN PHARMA (AZURA)</v>
      </c>
    </row>
    <row r="2805">
      <c r="H2805" s="25" t="str">
        <f>IFERROR(__xludf.DUMMYFUNCTION("""COMPUTED_VALUE"""),"SUN PHARMA (CORONUS)")</f>
        <v>SUN PHARMA (CORONUS)</v>
      </c>
    </row>
    <row r="2806">
      <c r="H2806" s="25" t="str">
        <f>IFERROR(__xludf.DUMMYFUNCTION("""COMPUTED_VALUE"""),"SUN PHARMA (INCA)")</f>
        <v>SUN PHARMA (INCA)</v>
      </c>
    </row>
    <row r="2807">
      <c r="H2807" s="25" t="str">
        <f>IFERROR(__xludf.DUMMYFUNCTION("""COMPUTED_VALUE"""),"SUN PHARMA (MAIN)")</f>
        <v>SUN PHARMA (MAIN)</v>
      </c>
    </row>
    <row r="2808">
      <c r="H2808" s="25" t="str">
        <f>IFERROR(__xludf.DUMMYFUNCTION("""COMPUTED_VALUE"""),"SUN PHARMA (MILMEL)")</f>
        <v>SUN PHARMA (MILMEL)</v>
      </c>
    </row>
    <row r="2809">
      <c r="H2809" s="25" t="str">
        <f>IFERROR(__xludf.DUMMYFUNCTION("""COMPUTED_VALUE"""),"SUN PHARMA (MILMET)")</f>
        <v>SUN PHARMA (MILMET)</v>
      </c>
    </row>
    <row r="2810">
      <c r="H2810" s="25" t="str">
        <f>IFERROR(__xludf.DUMMYFUNCTION("""COMPUTED_VALUE"""),"SUN PHARMA (ORTUS)")</f>
        <v>SUN PHARMA (ORTUS)</v>
      </c>
    </row>
    <row r="2811">
      <c r="H2811" s="25" t="str">
        <f>IFERROR(__xludf.DUMMYFUNCTION("""COMPUTED_VALUE"""),"SUN PHARMA (OTC)")</f>
        <v>SUN PHARMA (OTC)</v>
      </c>
    </row>
    <row r="2812">
      <c r="H2812" s="25" t="str">
        <f>IFERROR(__xludf.DUMMYFUNCTION("""COMPUTED_VALUE"""),"SUN PHARMA (PRIMALENT)")</f>
        <v>SUN PHARMA (PRIMALENT)</v>
      </c>
    </row>
    <row r="2813">
      <c r="H2813" s="25" t="str">
        <f>IFERROR(__xludf.DUMMYFUNCTION("""COMPUTED_VALUE"""),"SUN PHARMA (RADIANT)")</f>
        <v>SUN PHARMA (RADIANT)</v>
      </c>
    </row>
    <row r="2814">
      <c r="H2814" s="25" t="str">
        <f>IFERROR(__xludf.DUMMYFUNCTION("""COMPUTED_VALUE"""),"SUN PHARMA (SELECTA)")</f>
        <v>SUN PHARMA (SELECTA)</v>
      </c>
    </row>
    <row r="2815">
      <c r="H2815" s="25" t="str">
        <f>IFERROR(__xludf.DUMMYFUNCTION("""COMPUTED_VALUE"""),"SUN PHARMA (SENORA)")</f>
        <v>SUN PHARMA (SENORA)</v>
      </c>
    </row>
    <row r="2816">
      <c r="H2816" s="25" t="str">
        <f>IFERROR(__xludf.DUMMYFUNCTION("""COMPUTED_VALUE"""),"SUN PHARMA (SEPHEUS)")</f>
        <v>SUN PHARMA (SEPHEUS)</v>
      </c>
    </row>
    <row r="2817">
      <c r="H2817" s="25" t="str">
        <f>IFERROR(__xludf.DUMMYFUNCTION("""COMPUTED_VALUE"""),"SUN PHARMA (SIRIUS)")</f>
        <v>SUN PHARMA (SIRIUS)</v>
      </c>
    </row>
    <row r="2818">
      <c r="H2818" s="25" t="str">
        <f>IFERROR(__xludf.DUMMYFUNCTION("""COMPUTED_VALUE"""),"SUN PHARMA (SOLARES)")</f>
        <v>SUN PHARMA (SOLARES)</v>
      </c>
    </row>
    <row r="2819">
      <c r="H2819" s="25" t="str">
        <f>IFERROR(__xludf.DUMMYFUNCTION("""COMPUTED_VALUE"""),"SUN PHARMA (SPECTRA)")</f>
        <v>SUN PHARMA (SPECTRA)</v>
      </c>
    </row>
    <row r="2820">
      <c r="H2820" s="25" t="str">
        <f>IFERROR(__xludf.DUMMYFUNCTION("""COMPUTED_VALUE"""),"SUN PHARMA (SUNRION)")</f>
        <v>SUN PHARMA (SUNRION)</v>
      </c>
    </row>
    <row r="2821">
      <c r="H2821" s="25" t="str">
        <f>IFERROR(__xludf.DUMMYFUNCTION("""COMPUTED_VALUE"""),"SUN PHARMA (SYGUNS)")</f>
        <v>SUN PHARMA (SYGUNS)</v>
      </c>
    </row>
    <row r="2822">
      <c r="H2822" s="25" t="str">
        <f>IFERROR(__xludf.DUMMYFUNCTION("""COMPUTED_VALUE"""),"SUN PHARMA (SYMBIOSIS)")</f>
        <v>SUN PHARMA (SYMBIOSIS)</v>
      </c>
    </row>
    <row r="2823">
      <c r="H2823" s="25" t="str">
        <f>IFERROR(__xludf.DUMMYFUNCTION("""COMPUTED_VALUE"""),"SUN PHARMA (SYMENTA)")</f>
        <v>SUN PHARMA (SYMENTA)</v>
      </c>
    </row>
    <row r="2824">
      <c r="H2824" s="25" t="str">
        <f>IFERROR(__xludf.DUMMYFUNCTION("""COMPUTED_VALUE"""),"SUN PHARMA (SYNERGY)")</f>
        <v>SUN PHARMA (SYNERGY)</v>
      </c>
    </row>
    <row r="2825">
      <c r="H2825" s="25" t="str">
        <f>IFERROR(__xludf.DUMMYFUNCTION("""COMPUTED_VALUE"""),"SUN PHARMA (TR)")</f>
        <v>SUN PHARMA (TR)</v>
      </c>
    </row>
    <row r="2826">
      <c r="H2826" s="25" t="str">
        <f>IFERROR(__xludf.DUMMYFUNCTION("""COMPUTED_VALUE"""),"Sun Pharmaceuticals")</f>
        <v>Sun Pharmaceuticals</v>
      </c>
    </row>
    <row r="2827">
      <c r="H2827" s="25" t="str">
        <f>IFERROR(__xludf.DUMMYFUNCTION("""COMPUTED_VALUE"""),"SUN VISION HEALTHCARE")</f>
        <v>SUN VISION HEALTHCARE</v>
      </c>
    </row>
    <row r="2828">
      <c r="H2828" s="25" t="str">
        <f>IFERROR(__xludf.DUMMYFUNCTION("""COMPUTED_VALUE"""),"SUN-AJ PHARMA")</f>
        <v>SUN-AJ PHARMA</v>
      </c>
    </row>
    <row r="2829">
      <c r="H2829" s="25" t="str">
        <f>IFERROR(__xludf.DUMMYFUNCTION("""COMPUTED_VALUE"""),"SUNCARE PHARMACETUCALS")</f>
        <v>SUNCARE PHARMACETUCALS</v>
      </c>
    </row>
    <row r="2830">
      <c r="H2830" s="25" t="str">
        <f>IFERROR(__xludf.DUMMYFUNCTION("""COMPUTED_VALUE"""),"Sundyota Numandis Pharmaceuticals Pvt Ltd")</f>
        <v>Sundyota Numandis Pharmaceuticals Pvt Ltd</v>
      </c>
    </row>
    <row r="2831">
      <c r="H2831" s="25" t="str">
        <f>IFERROR(__xludf.DUMMYFUNCTION("""COMPUTED_VALUE"""),"SUNRISE PHARMACEUTICALS")</f>
        <v>SUNRISE PHARMACEUTICALS</v>
      </c>
    </row>
    <row r="2832">
      <c r="H2832" s="25" t="str">
        <f>IFERROR(__xludf.DUMMYFUNCTION("""COMPUTED_VALUE"""),"SUNUP HUMACARE PVT LTD")</f>
        <v>SUNUP HUMACARE PVT LTD</v>
      </c>
    </row>
    <row r="2833">
      <c r="H2833" s="25" t="str">
        <f>IFERROR(__xludf.DUMMYFUNCTION("""COMPUTED_VALUE"""),"SUNUP PHARMA PVT LTD")</f>
        <v>SUNUP PHARMA PVT LTD</v>
      </c>
    </row>
    <row r="2834">
      <c r="H2834" s="25" t="str">
        <f>IFERROR(__xludf.DUMMYFUNCTION("""COMPUTED_VALUE"""),"SUNVET PHARMA P LTD, SIRMOR")</f>
        <v>SUNVET PHARMA P LTD, SIRMOR</v>
      </c>
    </row>
    <row r="2835">
      <c r="H2835" s="25" t="str">
        <f>IFERROR(__xludf.DUMMYFUNCTION("""COMPUTED_VALUE"""),"SUNVIJ DRUGS")</f>
        <v>SUNVIJ DRUGS</v>
      </c>
    </row>
    <row r="2836">
      <c r="H2836" s="25" t="str">
        <f>IFERROR(__xludf.DUMMYFUNCTION("""COMPUTED_VALUE"""),"Sunways India Pvt Ltd")</f>
        <v>Sunways India Pvt Ltd</v>
      </c>
    </row>
    <row r="2837">
      <c r="H2837" s="25" t="str">
        <f>IFERROR(__xludf.DUMMYFUNCTION("""COMPUTED_VALUE"""),"SUPER PHARMA")</f>
        <v>SUPER PHARMA</v>
      </c>
    </row>
    <row r="2838">
      <c r="H2838" s="25" t="str">
        <f>IFERROR(__xludf.DUMMYFUNCTION("""COMPUTED_VALUE"""),"SUPERB PHARMA")</f>
        <v>SUPERB PHARMA</v>
      </c>
    </row>
    <row r="2839">
      <c r="H2839" s="25" t="str">
        <f>IFERROR(__xludf.DUMMYFUNCTION("""COMPUTED_VALUE"""),"SUPERLATIVE HEALTHCARE")</f>
        <v>SUPERLATIVE HEALTHCARE</v>
      </c>
    </row>
    <row r="2840">
      <c r="H2840" s="25" t="str">
        <f>IFERROR(__xludf.DUMMYFUNCTION("""COMPUTED_VALUE"""),"SUPREME PHARMA")</f>
        <v>SUPREME PHARMA</v>
      </c>
    </row>
    <row r="2841">
      <c r="H2841" s="25" t="str">
        <f>IFERROR(__xludf.DUMMYFUNCTION("""COMPUTED_VALUE"""),"SUPREX LABORATORIES")</f>
        <v>SUPREX LABORATORIES</v>
      </c>
    </row>
    <row r="2842">
      <c r="H2842" s="25" t="str">
        <f>IFERROR(__xludf.DUMMYFUNCTION("""COMPUTED_VALUE"""),"SURE LIFESCIENCE")</f>
        <v>SURE LIFESCIENCE</v>
      </c>
    </row>
    <row r="2843">
      <c r="H2843" s="25" t="str">
        <f>IFERROR(__xludf.DUMMYFUNCTION("""COMPUTED_VALUE"""),"SURGE PHARMACEUTICAL PVT LTD")</f>
        <v>SURGE PHARMACEUTICAL PVT LTD</v>
      </c>
    </row>
    <row r="2844">
      <c r="H2844" s="25" t="str">
        <f>IFERROR(__xludf.DUMMYFUNCTION("""COMPUTED_VALUE"""),"SURGICARE")</f>
        <v>SURGICARE</v>
      </c>
    </row>
    <row r="2845">
      <c r="H2845" s="25" t="str">
        <f>IFERROR(__xludf.DUMMYFUNCTION("""COMPUTED_VALUE"""),"SURJAN AYURVEDIC PHARMACY")</f>
        <v>SURJAN AYURVEDIC PHARMACY</v>
      </c>
    </row>
    <row r="2846">
      <c r="H2846" s="25" t="str">
        <f>IFERROR(__xludf.DUMMYFUNCTION("""COMPUTED_VALUE"""),"SURYA PHARMA AYURVEDIC")</f>
        <v>SURYA PHARMA AYURVEDIC</v>
      </c>
    </row>
    <row r="2847">
      <c r="H2847" s="25" t="str">
        <f>IFERROR(__xludf.DUMMYFUNCTION("""COMPUTED_VALUE"""),"SURYA PHARMA, VARANASI")</f>
        <v>SURYA PHARMA, VARANASI</v>
      </c>
    </row>
    <row r="2848">
      <c r="H2848" s="25" t="str">
        <f>IFERROR(__xludf.DUMMYFUNCTION("""COMPUTED_VALUE"""),"SURYA PHARMACEUTICALS")</f>
        <v>SURYA PHARMACEUTICALS</v>
      </c>
    </row>
    <row r="2849">
      <c r="H2849" s="25" t="str">
        <f>IFERROR(__xludf.DUMMYFUNCTION("""COMPUTED_VALUE"""),"SV LIFECARE")</f>
        <v>SV LIFECARE</v>
      </c>
    </row>
    <row r="2850">
      <c r="H2850" s="25" t="str">
        <f>IFERROR(__xludf.DUMMYFUNCTION("""COMPUTED_VALUE"""),"SVEN GENTECH LTD")</f>
        <v>SVEN GENTECH LTD</v>
      </c>
    </row>
    <row r="2851">
      <c r="H2851" s="25" t="str">
        <f>IFERROR(__xludf.DUMMYFUNCTION("""COMPUTED_VALUE"""),"SVIZERA")</f>
        <v>SVIZERA</v>
      </c>
    </row>
    <row r="2852">
      <c r="H2852" s="25" t="str">
        <f>IFERROR(__xludf.DUMMYFUNCTION("""COMPUTED_VALUE"""),"SWAGDARE LIFESCIENCE")</f>
        <v>SWAGDARE LIFESCIENCE</v>
      </c>
    </row>
    <row r="2853">
      <c r="H2853" s="25" t="str">
        <f>IFERROR(__xludf.DUMMYFUNCTION("""COMPUTED_VALUE"""),"SWAROOP PHARMACEUTICALS PVT LTD")</f>
        <v>SWAROOP PHARMACEUTICALS PVT LTD</v>
      </c>
    </row>
    <row r="2854">
      <c r="H2854" s="25" t="str">
        <f>IFERROR(__xludf.DUMMYFUNCTION("""COMPUTED_VALUE"""),"SWASTH BIOTECH P LTD")</f>
        <v>SWASTH BIOTECH P LTD</v>
      </c>
    </row>
    <row r="2855">
      <c r="H2855" s="25" t="str">
        <f>IFERROR(__xludf.DUMMYFUNCTION("""COMPUTED_VALUE"""),"SWASTIK FORMULATION PVT LTD")</f>
        <v>SWASTIK FORMULATION PVT LTD</v>
      </c>
    </row>
    <row r="2856">
      <c r="H2856" s="25" t="str">
        <f>IFERROR(__xludf.DUMMYFUNCTION("""COMPUTED_VALUE"""),"SWEDISH LIFESCIENCES")</f>
        <v>SWEDISH LIFESCIENCES</v>
      </c>
    </row>
    <row r="2857">
      <c r="H2857" s="25" t="str">
        <f>IFERROR(__xludf.DUMMYFUNCTION("""COMPUTED_VALUE"""),"SWEIZ PHARMACEUTICAL PVT LTD")</f>
        <v>SWEIZ PHARMACEUTICAL PVT LTD</v>
      </c>
    </row>
    <row r="2858">
      <c r="H2858" s="25" t="str">
        <f>IFERROR(__xludf.DUMMYFUNCTION("""COMPUTED_VALUE"""),"SWISS INTERNATIONAL")</f>
        <v>SWISS INTERNATIONAL</v>
      </c>
    </row>
    <row r="2859">
      <c r="H2859" s="25" t="str">
        <f>IFERROR(__xludf.DUMMYFUNCTION("""COMPUTED_VALUE"""),"SYGNUS BIOTECH")</f>
        <v>SYGNUS BIOTECH</v>
      </c>
    </row>
    <row r="2860">
      <c r="H2860" s="25" t="str">
        <f>IFERROR(__xludf.DUMMYFUNCTION("""COMPUTED_VALUE"""),"Symbiosis Lab")</f>
        <v>Symbiosis Lab</v>
      </c>
    </row>
    <row r="2861">
      <c r="H2861" s="25" t="str">
        <f>IFERROR(__xludf.DUMMYFUNCTION("""COMPUTED_VALUE"""),"SYMBIOSIS LIFESCIENCES")</f>
        <v>SYMBIOSIS LIFESCIENCES</v>
      </c>
    </row>
    <row r="2862">
      <c r="H2862" s="25" t="str">
        <f>IFERROR(__xludf.DUMMYFUNCTION("""COMPUTED_VALUE"""),"SYMBIOSIS PHARMA")</f>
        <v>SYMBIOSIS PHARMA</v>
      </c>
    </row>
    <row r="2863">
      <c r="H2863" s="25" t="str">
        <f>IFERROR(__xludf.DUMMYFUNCTION("""COMPUTED_VALUE"""),"Synchem Lab")</f>
        <v>Synchem Lab</v>
      </c>
    </row>
    <row r="2864">
      <c r="H2864" s="25" t="str">
        <f>IFERROR(__xludf.DUMMYFUNCTION("""COMPUTED_VALUE"""),"SYNCOM FORMULATIONS (INDIA) LTD")</f>
        <v>SYNCOM FORMULATIONS (INDIA) LTD</v>
      </c>
    </row>
    <row r="2865">
      <c r="H2865" s="25" t="str">
        <f>IFERROR(__xludf.DUMMYFUNCTION("""COMPUTED_VALUE"""),"SYNCOM FORMULATIONS PVT LTD")</f>
        <v>SYNCOM FORMULATIONS PVT LTD</v>
      </c>
    </row>
    <row r="2866">
      <c r="H2866" s="25" t="str">
        <f>IFERROR(__xludf.DUMMYFUNCTION("""COMPUTED_VALUE"""),"SYNDICATE PHARMA")</f>
        <v>SYNDICATE PHARMA</v>
      </c>
    </row>
    <row r="2867">
      <c r="H2867" s="25" t="str">
        <f>IFERROR(__xludf.DUMMYFUNCTION("""COMPUTED_VALUE"""),"SYNERGY")</f>
        <v>SYNERGY</v>
      </c>
    </row>
    <row r="2868">
      <c r="H2868" s="25" t="str">
        <f>IFERROR(__xludf.DUMMYFUNCTION("""COMPUTED_VALUE"""),"SYNERGY DIAGNOSTICS")</f>
        <v>SYNERGY DIAGNOSTICS</v>
      </c>
    </row>
    <row r="2869">
      <c r="H2869" s="25" t="str">
        <f>IFERROR(__xludf.DUMMYFUNCTION("""COMPUTED_VALUE"""),"SYNERGY VACCINES LLP")</f>
        <v>SYNERGY VACCINES LLP</v>
      </c>
    </row>
    <row r="2870">
      <c r="H2870" s="25" t="str">
        <f>IFERROR(__xludf.DUMMYFUNCTION("""COMPUTED_VALUE"""),"SYNODIC LIFESCIENCES P LTD")</f>
        <v>SYNODIC LIFESCIENCES P LTD</v>
      </c>
    </row>
    <row r="2871">
      <c r="H2871" s="25" t="str">
        <f>IFERROR(__xludf.DUMMYFUNCTION("""COMPUTED_VALUE"""),"SYNOPTIC LIFE SCIENCES")</f>
        <v>SYNOPTIC LIFE SCIENCES</v>
      </c>
    </row>
    <row r="2872">
      <c r="H2872" s="25" t="str">
        <f>IFERROR(__xludf.DUMMYFUNCTION("""COMPUTED_VALUE"""),"SYNOVIA LIFESCIENCES")</f>
        <v>SYNOVIA LIFESCIENCES</v>
      </c>
    </row>
    <row r="2873">
      <c r="H2873" s="25" t="str">
        <f>IFERROR(__xludf.DUMMYFUNCTION("""COMPUTED_VALUE"""),"SYNTHESIS")</f>
        <v>SYNTHESIS</v>
      </c>
    </row>
    <row r="2874">
      <c r="H2874" s="25" t="str">
        <f>IFERROR(__xludf.DUMMYFUNCTION("""COMPUTED_VALUE"""),"SYNTHIKO EXPORTS")</f>
        <v>SYNTHIKO EXPORTS</v>
      </c>
    </row>
    <row r="2875">
      <c r="H2875" s="25" t="str">
        <f>IFERROR(__xludf.DUMMYFUNCTION("""COMPUTED_VALUE"""),"Syntho Pharmaceuticals Pvt Ltd")</f>
        <v>Syntho Pharmaceuticals Pvt Ltd</v>
      </c>
    </row>
    <row r="2876">
      <c r="H2876" s="25" t="str">
        <f>IFERROR(__xludf.DUMMYFUNCTION("""COMPUTED_VALUE"""),"SYNTHOKIND PHARMACEUTICALS PVT LTD")</f>
        <v>SYNTHOKIND PHARMACEUTICALS PVT LTD</v>
      </c>
    </row>
    <row r="2877">
      <c r="H2877" s="25" t="str">
        <f>IFERROR(__xludf.DUMMYFUNCTION("""COMPUTED_VALUE"""),"SYNTONIX BIOFARM")</f>
        <v>SYNTONIX BIOFARM</v>
      </c>
    </row>
    <row r="2878">
      <c r="H2878" s="25" t="str">
        <f>IFERROR(__xludf.DUMMYFUNCTION("""COMPUTED_VALUE"""),"SYSCOM")</f>
        <v>SYSCOM</v>
      </c>
    </row>
    <row r="2879">
      <c r="H2879" s="25" t="str">
        <f>IFERROR(__xludf.DUMMYFUNCTION("""COMPUTED_VALUE"""),"SYSMED LABORATORIES PVT LTD")</f>
        <v>SYSMED LABORATORIES PVT LTD</v>
      </c>
    </row>
    <row r="2880">
      <c r="H2880" s="25" t="str">
        <f>IFERROR(__xludf.DUMMYFUNCTION("""COMPUTED_VALUE"""),"SYSTEMIC HEALTHCARE")</f>
        <v>SYSTEMIC HEALTHCARE</v>
      </c>
    </row>
    <row r="2881">
      <c r="H2881" s="25" t="str">
        <f>IFERROR(__xludf.DUMMYFUNCTION("""COMPUTED_VALUE"""),"SYSTOCHEM")</f>
        <v>SYSTOCHEM</v>
      </c>
    </row>
    <row r="2882">
      <c r="H2882" s="25" t="str">
        <f>IFERROR(__xludf.DUMMYFUNCTION("""COMPUTED_VALUE"""),"Systopic Laboratories Pvt Ltd")</f>
        <v>Systopic Laboratories Pvt Ltd</v>
      </c>
    </row>
    <row r="2883">
      <c r="H2883" s="25" t="str">
        <f>IFERROR(__xludf.DUMMYFUNCTION("""COMPUTED_VALUE"""),"TABLETS INDIA")</f>
        <v>TABLETS INDIA</v>
      </c>
    </row>
    <row r="2884">
      <c r="H2884" s="25" t="str">
        <f>IFERROR(__xludf.DUMMYFUNCTION("""COMPUTED_VALUE"""),"TABLETS INDIA (LUCID)")</f>
        <v>TABLETS INDIA (LUCID)</v>
      </c>
    </row>
    <row r="2885">
      <c r="H2885" s="25" t="str">
        <f>IFERROR(__xludf.DUMMYFUNCTION("""COMPUTED_VALUE"""),"TABLETS INDIA (TABZEN)")</f>
        <v>TABLETS INDIA (TABZEN)</v>
      </c>
    </row>
    <row r="2886">
      <c r="H2886" s="25" t="str">
        <f>IFERROR(__xludf.DUMMYFUNCTION("""COMPUTED_VALUE"""),"TABLETS INDIA (VIBRANZ)")</f>
        <v>TABLETS INDIA (VIBRANZ)</v>
      </c>
    </row>
    <row r="2887">
      <c r="H2887" s="25" t="str">
        <f>IFERROR(__xludf.DUMMYFUNCTION("""COMPUTED_VALUE"""),"Talent Healthcare")</f>
        <v>Talent Healthcare</v>
      </c>
    </row>
    <row r="2888">
      <c r="H2888" s="25" t="str">
        <f>IFERROR(__xludf.DUMMYFUNCTION("""COMPUTED_VALUE"""),"TALENT INDIA")</f>
        <v>TALENT INDIA</v>
      </c>
    </row>
    <row r="2889">
      <c r="H2889" s="25" t="str">
        <f>IFERROR(__xludf.DUMMYFUNCTION("""COMPUTED_VALUE"""),"TALIN REMEDIES")</f>
        <v>TALIN REMEDIES</v>
      </c>
    </row>
    <row r="2890">
      <c r="H2890" s="25" t="str">
        <f>IFERROR(__xludf.DUMMYFUNCTION("""COMPUTED_VALUE"""),"TARAGOD PHARMACALS")</f>
        <v>TARAGOD PHARMACALS</v>
      </c>
    </row>
    <row r="2891">
      <c r="H2891" s="25" t="str">
        <f>IFERROR(__xludf.DUMMYFUNCTION("""COMPUTED_VALUE"""),"taronto")</f>
        <v>taronto</v>
      </c>
    </row>
    <row r="2892">
      <c r="H2892" s="25" t="str">
        <f>IFERROR(__xludf.DUMMYFUNCTION("""COMPUTED_VALUE"""),"TASMED LAB")</f>
        <v>TASMED LAB</v>
      </c>
    </row>
    <row r="2893">
      <c r="H2893" s="25" t="str">
        <f>IFERROR(__xludf.DUMMYFUNCTION("""COMPUTED_VALUE"""),"TASMED LAB (DERMA)")</f>
        <v>TASMED LAB (DERMA)</v>
      </c>
    </row>
    <row r="2894">
      <c r="H2894" s="25" t="str">
        <f>IFERROR(__xludf.DUMMYFUNCTION("""COMPUTED_VALUE"""),"TEBLIK DRUG P LTD")</f>
        <v>TEBLIK DRUG P LTD</v>
      </c>
    </row>
    <row r="2895">
      <c r="H2895" s="25" t="str">
        <f>IFERROR(__xludf.DUMMYFUNCTION("""COMPUTED_VALUE"""),"TECHNOPHARMA PHARMACEUTICALS")</f>
        <v>TECHNOPHARMA PHARMACEUTICALS</v>
      </c>
    </row>
    <row r="2896">
      <c r="H2896" s="25" t="str">
        <f>IFERROR(__xludf.DUMMYFUNCTION("""COMPUTED_VALUE"""),"TEETHYS INC")</f>
        <v>TEETHYS INC</v>
      </c>
    </row>
    <row r="2897">
      <c r="H2897" s="25" t="str">
        <f>IFERROR(__xludf.DUMMYFUNCTION("""COMPUTED_VALUE"""),"TEMOMAPS 100")</f>
        <v>TEMOMAPS 100</v>
      </c>
    </row>
    <row r="2898">
      <c r="H2898" s="25" t="str">
        <f>IFERROR(__xludf.DUMMYFUNCTION("""COMPUTED_VALUE"""),"TEMOMAPS 20")</f>
        <v>TEMOMAPS 20</v>
      </c>
    </row>
    <row r="2899">
      <c r="H2899" s="25" t="str">
        <f>IFERROR(__xludf.DUMMYFUNCTION("""COMPUTED_VALUE"""),"TEMOMAPS 250")</f>
        <v>TEMOMAPS 250</v>
      </c>
    </row>
    <row r="2900">
      <c r="H2900" s="25" t="str">
        <f>IFERROR(__xludf.DUMMYFUNCTION("""COMPUTED_VALUE"""),"TERAPIO PHARMA P LTD")</f>
        <v>TERAPIO PHARMA P LTD</v>
      </c>
    </row>
    <row r="2901">
      <c r="H2901" s="25" t="str">
        <f>IFERROR(__xludf.DUMMYFUNCTION("""COMPUTED_VALUE"""),"TETRAMED BIOTEK PVT LTD")</f>
        <v>TETRAMED BIOTEK PVT LTD</v>
      </c>
    </row>
    <row r="2902">
      <c r="H2902" s="25" t="str">
        <f>IFERROR(__xludf.DUMMYFUNCTION("""COMPUTED_VALUE"""),"THE ARIYANPHARMACEUTICALS")</f>
        <v>THE ARIYANPHARMACEUTICALS</v>
      </c>
    </row>
    <row r="2903">
      <c r="H2903" s="25" t="str">
        <f>IFERROR(__xludf.DUMMYFUNCTION("""COMPUTED_VALUE"""),"THE BIHARI AYURVEDIC PHARMACY")</f>
        <v>THE BIHARI AYURVEDIC PHARMACY</v>
      </c>
    </row>
    <row r="2904">
      <c r="H2904" s="25" t="str">
        <f>IFERROR(__xludf.DUMMYFUNCTION("""COMPUTED_VALUE"""),"THE TAYYEBI DAWAKHANA")</f>
        <v>THE TAYYEBI DAWAKHANA</v>
      </c>
    </row>
    <row r="2905">
      <c r="H2905" s="25" t="str">
        <f>IFERROR(__xludf.DUMMYFUNCTION("""COMPUTED_VALUE"""),"THE ZONE CHEMICAL COMPANY")</f>
        <v>THE ZONE CHEMICAL COMPANY</v>
      </c>
    </row>
    <row r="2906">
      <c r="H2906" s="25" t="str">
        <f>IFERROR(__xludf.DUMMYFUNCTION("""COMPUTED_VALUE"""),"Themis Medicare Ltd")</f>
        <v>Themis Medicare Ltd</v>
      </c>
    </row>
    <row r="2907">
      <c r="H2907" s="25" t="str">
        <f>IFERROR(__xludf.DUMMYFUNCTION("""COMPUTED_VALUE"""),"Themis Medicare Ltd (SPECIALITY)")</f>
        <v>Themis Medicare Ltd (SPECIALITY)</v>
      </c>
    </row>
    <row r="2908">
      <c r="H2908" s="25" t="str">
        <f>IFERROR(__xludf.DUMMYFUNCTION("""COMPUTED_VALUE"""),"THEOGEN P LTD")</f>
        <v>THEOGEN P LTD</v>
      </c>
    </row>
    <row r="2909">
      <c r="H2909" s="25" t="str">
        <f>IFERROR(__xludf.DUMMYFUNCTION("""COMPUTED_VALUE"""),"THERMED LIFESCIENCES")</f>
        <v>THERMED LIFESCIENCES</v>
      </c>
    </row>
    <row r="2910">
      <c r="H2910" s="25" t="str">
        <f>IFERROR(__xludf.DUMMYFUNCTION("""COMPUTED_VALUE"""),"Theta Lab Pvt Ltd")</f>
        <v>Theta Lab Pvt Ltd</v>
      </c>
    </row>
    <row r="2911">
      <c r="H2911" s="25" t="str">
        <f>IFERROR(__xludf.DUMMYFUNCTION("""COMPUTED_VALUE"""),"TIARA")</f>
        <v>TIARA</v>
      </c>
    </row>
    <row r="2912">
      <c r="H2912" s="25" t="str">
        <f>IFERROR(__xludf.DUMMYFUNCTION("""COMPUTED_VALUE"""),"Tidal Laboratories Pvt Ltd")</f>
        <v>Tidal Laboratories Pvt Ltd</v>
      </c>
    </row>
    <row r="2913">
      <c r="H2913" s="25" t="str">
        <f>IFERROR(__xludf.DUMMYFUNCTION("""COMPUTED_VALUE"""),"TILLU SOUL PHARMA")</f>
        <v>TILLU SOUL PHARMA</v>
      </c>
    </row>
    <row r="2914">
      <c r="H2914" s="25" t="str">
        <f>IFERROR(__xludf.DUMMYFUNCTION("""COMPUTED_VALUE"""),"TIRUPATI MEDICARE LTD")</f>
        <v>TIRUPATI MEDICARE LTD</v>
      </c>
    </row>
    <row r="2915">
      <c r="H2915" s="25" t="str">
        <f>IFERROR(__xludf.DUMMYFUNCTION("""COMPUTED_VALUE"""),"TISCON")</f>
        <v>TISCON</v>
      </c>
    </row>
    <row r="2916">
      <c r="H2916" s="25" t="str">
        <f>IFERROR(__xludf.DUMMYFUNCTION("""COMPUTED_VALUE"""),"TITAN (BIOSCIENCES)")</f>
        <v>TITAN (BIOSCIENCES)</v>
      </c>
    </row>
    <row r="2917">
      <c r="H2917" s="25" t="str">
        <f>IFERROR(__xludf.DUMMYFUNCTION("""COMPUTED_VALUE"""),"TITAN (FUTURA)")</f>
        <v>TITAN (FUTURA)</v>
      </c>
    </row>
    <row r="2918">
      <c r="H2918" s="25" t="str">
        <f>IFERROR(__xludf.DUMMYFUNCTION("""COMPUTED_VALUE"""),"TJS BEAUTY SECREAT")</f>
        <v>TJS BEAUTY SECREAT</v>
      </c>
    </row>
    <row r="2919">
      <c r="H2919" s="25" t="str">
        <f>IFERROR(__xludf.DUMMYFUNCTION("""COMPUTED_VALUE"""),"TN SYS MERYL PHARMA PVT LTD")</f>
        <v>TN SYS MERYL PHARMA PVT LTD</v>
      </c>
    </row>
    <row r="2920">
      <c r="H2920" s="25" t="str">
        <f>IFERROR(__xludf.DUMMYFUNCTION("""COMPUTED_VALUE"""),"TODAY REMEDIES")</f>
        <v>TODAY REMEDIES</v>
      </c>
    </row>
    <row r="2921">
      <c r="H2921" s="25" t="str">
        <f>IFERROR(__xludf.DUMMYFUNCTION("""COMPUTED_VALUE"""),"TORAINSE LIFECARE")</f>
        <v>TORAINSE LIFECARE</v>
      </c>
    </row>
    <row r="2922">
      <c r="H2922" s="25" t="str">
        <f>IFERROR(__xludf.DUMMYFUNCTION("""COMPUTED_VALUE"""),"TORINO LABOTATORIES PVT LTD")</f>
        <v>TORINO LABOTATORIES PVT LTD</v>
      </c>
    </row>
    <row r="2923">
      <c r="H2923" s="25" t="str">
        <f>IFERROR(__xludf.DUMMYFUNCTION("""COMPUTED_VALUE"""),"Torque Pharmaceuticals Pvt Ltd")</f>
        <v>Torque Pharmaceuticals Pvt Ltd</v>
      </c>
    </row>
    <row r="2924">
      <c r="H2924" s="25" t="str">
        <f>IFERROR(__xludf.DUMMYFUNCTION("""COMPUTED_VALUE"""),"TORQUE PHRAMACUETICAL")</f>
        <v>TORQUE PHRAMACUETICAL</v>
      </c>
    </row>
    <row r="2925">
      <c r="H2925" s="25" t="str">
        <f>IFERROR(__xludf.DUMMYFUNCTION("""COMPUTED_VALUE"""),"TORRENT (AXON)")</f>
        <v>TORRENT (AXON)</v>
      </c>
    </row>
    <row r="2926">
      <c r="H2926" s="25" t="str">
        <f>IFERROR(__xludf.DUMMYFUNCTION("""COMPUTED_VALUE"""),"TORRENT (AZUCA)")</f>
        <v>TORRENT (AZUCA)</v>
      </c>
    </row>
    <row r="2927">
      <c r="H2927" s="25" t="str">
        <f>IFERROR(__xludf.DUMMYFUNCTION("""COMPUTED_VALUE"""),"TORRENT (B WELL)")</f>
        <v>TORRENT (B WELL)</v>
      </c>
    </row>
    <row r="2928">
      <c r="H2928" s="25" t="str">
        <f>IFERROR(__xludf.DUMMYFUNCTION("""COMPUTED_VALUE"""),"TORRENT (B-GYNE)")</f>
        <v>TORRENT (B-GYNE)</v>
      </c>
    </row>
    <row r="2929">
      <c r="H2929" s="25" t="str">
        <f>IFERROR(__xludf.DUMMYFUNCTION("""COMPUTED_VALUE"""),"TORRENT (DELTA)")</f>
        <v>TORRENT (DELTA)</v>
      </c>
    </row>
    <row r="2930">
      <c r="H2930" s="25" t="str">
        <f>IFERROR(__xludf.DUMMYFUNCTION("""COMPUTED_VALUE"""),"TORRENT (MIND)")</f>
        <v>TORRENT (MIND)</v>
      </c>
    </row>
    <row r="2931">
      <c r="H2931" s="25" t="str">
        <f>IFERROR(__xludf.DUMMYFUNCTION("""COMPUTED_VALUE"""),"TORRENT (NEURON)")</f>
        <v>TORRENT (NEURON)</v>
      </c>
    </row>
    <row r="2932">
      <c r="H2932" s="25" t="str">
        <f>IFERROR(__xludf.DUMMYFUNCTION("""COMPUTED_VALUE"""),"TORRENT (PRIMA)")</f>
        <v>TORRENT (PRIMA)</v>
      </c>
    </row>
    <row r="2933">
      <c r="H2933" s="25" t="str">
        <f>IFERROR(__xludf.DUMMYFUNCTION("""COMPUTED_VALUE"""),"TORRENT (PSYCAN-CND)")</f>
        <v>TORRENT (PSYCAN-CND)</v>
      </c>
    </row>
    <row r="2934">
      <c r="H2934" s="25" t="str">
        <f>IFERROR(__xludf.DUMMYFUNCTION("""COMPUTED_VALUE"""),"TORRENT (PSYCAN)")</f>
        <v>TORRENT (PSYCAN)</v>
      </c>
    </row>
    <row r="2935">
      <c r="H2935" s="25" t="str">
        <f>IFERROR(__xludf.DUMMYFUNCTION("""COMPUTED_VALUE"""),"TORRENT (SENSA PV)")</f>
        <v>TORRENT (SENSA PV)</v>
      </c>
    </row>
    <row r="2936">
      <c r="H2936" s="25" t="str">
        <f>IFERROR(__xludf.DUMMYFUNCTION("""COMPUTED_VALUE"""),"TORRENT (SPARSH)")</f>
        <v>TORRENT (SPARSH)</v>
      </c>
    </row>
    <row r="2937">
      <c r="H2937" s="25" t="str">
        <f>IFERROR(__xludf.DUMMYFUNCTION("""COMPUTED_VALUE"""),"TORRENT (SPRRITUS)")</f>
        <v>TORRENT (SPRRITUS)</v>
      </c>
    </row>
    <row r="2938">
      <c r="H2938" s="25" t="str">
        <f>IFERROR(__xludf.DUMMYFUNCTION("""COMPUTED_VALUE"""),"TORRENT (Unichem-UVA)")</f>
        <v>TORRENT (Unichem-UVA)</v>
      </c>
    </row>
    <row r="2939">
      <c r="H2939" s="25" t="str">
        <f>IFERROR(__xludf.DUMMYFUNCTION("""COMPUTED_VALUE"""),"TORRENT (UNO SPRIT)")</f>
        <v>TORRENT (UNO SPRIT)</v>
      </c>
    </row>
    <row r="2940">
      <c r="H2940" s="25" t="str">
        <f>IFERROR(__xludf.DUMMYFUNCTION("""COMPUTED_VALUE"""),"TORRENT (UNO VISTA)")</f>
        <v>TORRENT (UNO VISTA)</v>
      </c>
    </row>
    <row r="2941">
      <c r="H2941" s="25" t="str">
        <f>IFERROR(__xludf.DUMMYFUNCTION("""COMPUTED_VALUE"""),"TORRENT (VISTA)")</f>
        <v>TORRENT (VISTA)</v>
      </c>
    </row>
    <row r="2942">
      <c r="H2942" s="25" t="str">
        <f>IFERROR(__xludf.DUMMYFUNCTION("""COMPUTED_VALUE"""),"TORRENT (VIVA)")</f>
        <v>TORRENT (VIVA)</v>
      </c>
    </row>
    <row r="2943">
      <c r="H2943" s="25" t="str">
        <f>IFERROR(__xludf.DUMMYFUNCTION("""COMPUTED_VALUE"""),"Torrent Pharmaceuticals Ltd")</f>
        <v>Torrent Pharmaceuticals Ltd</v>
      </c>
    </row>
    <row r="2944">
      <c r="H2944" s="25" t="str">
        <f>IFERROR(__xludf.DUMMYFUNCTION("""COMPUTED_VALUE"""),"TREATWELL PHARMA")</f>
        <v>TREATWELL PHARMA</v>
      </c>
    </row>
    <row r="2945">
      <c r="H2945" s="25" t="str">
        <f>IFERROR(__xludf.DUMMYFUNCTION("""COMPUTED_VALUE"""),"TRIBUNE PHARMACEUTICALS")</f>
        <v>TRIBUNE PHARMACEUTICALS</v>
      </c>
    </row>
    <row r="2946">
      <c r="H2946" s="25" t="str">
        <f>IFERROR(__xludf.DUMMYFUNCTION("""COMPUTED_VALUE"""),"TRIFARMA")</f>
        <v>TRIFARMA</v>
      </c>
    </row>
    <row r="2947">
      <c r="H2947" s="25" t="str">
        <f>IFERROR(__xludf.DUMMYFUNCTION("""COMPUTED_VALUE"""),"TRIGLOBAL BIOSCIENCE")</f>
        <v>TRIGLOBAL BIOSCIENCE</v>
      </c>
    </row>
    <row r="2948">
      <c r="H2948" s="25" t="str">
        <f>IFERROR(__xludf.DUMMYFUNCTION("""COMPUTED_VALUE"""),"TRIKONA PHARMACEUTICALS PVT LTD")</f>
        <v>TRIKONA PHARMACEUTICALS PVT LTD</v>
      </c>
    </row>
    <row r="2949">
      <c r="H2949" s="25" t="str">
        <f>IFERROR(__xludf.DUMMYFUNCTION("""COMPUTED_VALUE"""),"TRIO LIFESCIENCE")</f>
        <v>TRIO LIFESCIENCE</v>
      </c>
    </row>
    <row r="2950">
      <c r="H2950" s="25" t="str">
        <f>IFERROR(__xludf.DUMMYFUNCTION("""COMPUTED_VALUE"""),"TRIPADA HEALTHCARE")</f>
        <v>TRIPADA HEALTHCARE</v>
      </c>
    </row>
    <row r="2951">
      <c r="H2951" s="25" t="str">
        <f>IFERROR(__xludf.DUMMYFUNCTION("""COMPUTED_VALUE"""),"TRIPADA LIFECARE")</f>
        <v>TRIPADA LIFECARE</v>
      </c>
    </row>
    <row r="2952">
      <c r="H2952" s="25" t="str">
        <f>IFERROR(__xludf.DUMMYFUNCTION("""COMPUTED_VALUE"""),"TRITON")</f>
        <v>TRITON</v>
      </c>
    </row>
    <row r="2953">
      <c r="H2953" s="25" t="str">
        <f>IFERROR(__xludf.DUMMYFUNCTION("""COMPUTED_VALUE"""),"TRIUMPH")</f>
        <v>TRIUMPH</v>
      </c>
    </row>
    <row r="2954">
      <c r="H2954" s="25" t="str">
        <f>IFERROR(__xludf.DUMMYFUNCTION("""COMPUTED_VALUE"""),"TRIVIGYA BIOSCIENCE")</f>
        <v>TRIVIGYA BIOSCIENCE</v>
      </c>
    </row>
    <row r="2955">
      <c r="H2955" s="25" t="str">
        <f>IFERROR(__xludf.DUMMYFUNCTION("""COMPUTED_VALUE"""),"TROIKAA (ALTIUS)")</f>
        <v>TROIKAA (ALTIUS)</v>
      </c>
    </row>
    <row r="2956">
      <c r="H2956" s="25" t="str">
        <f>IFERROR(__xludf.DUMMYFUNCTION("""COMPUTED_VALUE"""),"TROIKAA (AURA)")</f>
        <v>TROIKAA (AURA)</v>
      </c>
    </row>
    <row r="2957">
      <c r="H2957" s="25" t="str">
        <f>IFERROR(__xludf.DUMMYFUNCTION("""COMPUTED_VALUE"""),"TROIKAA (CITIUS)")</f>
        <v>TROIKAA (CITIUS)</v>
      </c>
    </row>
    <row r="2958">
      <c r="H2958" s="25" t="str">
        <f>IFERROR(__xludf.DUMMYFUNCTION("""COMPUTED_VALUE"""),"TROIKAA (GENERIC)")</f>
        <v>TROIKAA (GENERIC)</v>
      </c>
    </row>
    <row r="2959">
      <c r="H2959" s="25" t="str">
        <f>IFERROR(__xludf.DUMMYFUNCTION("""COMPUTED_VALUE"""),"TROIKAA (HOS)")</f>
        <v>TROIKAA (HOS)</v>
      </c>
    </row>
    <row r="2960">
      <c r="H2960" s="25" t="str">
        <f>IFERROR(__xludf.DUMMYFUNCTION("""COMPUTED_VALUE"""),"TROIKAA (SPECTRA)")</f>
        <v>TROIKAA (SPECTRA)</v>
      </c>
    </row>
    <row r="2961">
      <c r="H2961" s="25" t="str">
        <f>IFERROR(__xludf.DUMMYFUNCTION("""COMPUTED_VALUE"""),"Troikaa Pharmaceuticals Ltd")</f>
        <v>Troikaa Pharmaceuticals Ltd</v>
      </c>
    </row>
    <row r="2962">
      <c r="H2962" s="25" t="str">
        <f>IFERROR(__xludf.DUMMYFUNCTION("""COMPUTED_VALUE"""),"TROPHIC (WELLNESS)")</f>
        <v>TROPHIC (WELLNESS)</v>
      </c>
    </row>
    <row r="2963">
      <c r="H2963" s="25" t="str">
        <f>IFERROR(__xludf.DUMMYFUNCTION("""COMPUTED_VALUE"""),"TRULAM LIFE SCIENCES")</f>
        <v>TRULAM LIFE SCIENCES</v>
      </c>
    </row>
    <row r="2964">
      <c r="H2964" s="25" t="str">
        <f>IFERROR(__xludf.DUMMYFUNCTION("""COMPUTED_VALUE"""),"TRUMAC HEALTHCARE PVT LTD")</f>
        <v>TRUMAC HEALTHCARE PVT LTD</v>
      </c>
    </row>
    <row r="2965">
      <c r="H2965" s="25" t="str">
        <f>IFERROR(__xludf.DUMMYFUNCTION("""COMPUTED_VALUE"""),"TRUWORTH HEALTHCARE")</f>
        <v>TRUWORTH HEALTHCARE</v>
      </c>
    </row>
    <row r="2966">
      <c r="H2966" s="25" t="str">
        <f>IFERROR(__xludf.DUMMYFUNCTION("""COMPUTED_VALUE"""),"TRY BIRD HEALTHCARE PVT LTD")</f>
        <v>TRY BIRD HEALTHCARE PVT LTD</v>
      </c>
    </row>
    <row r="2967">
      <c r="H2967" s="25" t="str">
        <f>IFERROR(__xludf.DUMMYFUNCTION("""COMPUTED_VALUE"""),"TTK HEALTHCARE (ENDURA)")</f>
        <v>TTK HEALTHCARE (ENDURA)</v>
      </c>
    </row>
    <row r="2968">
      <c r="H2968" s="25" t="str">
        <f>IFERROR(__xludf.DUMMYFUNCTION("""COMPUTED_VALUE"""),"TTK HEALTHCARE (NOVA)")</f>
        <v>TTK HEALTHCARE (NOVA)</v>
      </c>
    </row>
    <row r="2969">
      <c r="H2969" s="25" t="str">
        <f>IFERROR(__xludf.DUMMYFUNCTION("""COMPUTED_VALUE"""),"TTK HEALTHCARE (VENTURA GYNIC)")</f>
        <v>TTK HEALTHCARE (VENTURA GYNIC)</v>
      </c>
    </row>
    <row r="2970">
      <c r="H2970" s="25" t="str">
        <f>IFERROR(__xludf.DUMMYFUNCTION("""COMPUTED_VALUE"""),"TTK HEALTHCARE (VENTURA)")</f>
        <v>TTK HEALTHCARE (VENTURA)</v>
      </c>
    </row>
    <row r="2971">
      <c r="H2971" s="25" t="str">
        <f>IFERROR(__xludf.DUMMYFUNCTION("""COMPUTED_VALUE"""),"TTK Healthcare Ltd")</f>
        <v>TTK Healthcare Ltd</v>
      </c>
    </row>
    <row r="2972">
      <c r="H2972" s="25" t="str">
        <f>IFERROR(__xludf.DUMMYFUNCTION("""COMPUTED_VALUE"""),"TUHI LIFE SCIENCES P LTD")</f>
        <v>TUHI LIFE SCIENCES P LTD</v>
      </c>
    </row>
    <row r="2973">
      <c r="H2973" s="25" t="str">
        <f>IFERROR(__xludf.DUMMYFUNCTION("""COMPUTED_VALUE"""),"TULAS PHARMACEUTICALS PVT LTD")</f>
        <v>TULAS PHARMACEUTICALS PVT LTD</v>
      </c>
    </row>
    <row r="2974">
      <c r="H2974" s="25" t="str">
        <f>IFERROR(__xludf.DUMMYFUNCTION("""COMPUTED_VALUE"""),"TULIP LAB PVT LTD")</f>
        <v>TULIP LAB PVT LTD</v>
      </c>
    </row>
    <row r="2975">
      <c r="H2975" s="25" t="str">
        <f>IFERROR(__xludf.DUMMYFUNCTION("""COMPUTED_VALUE"""),"TUTON PHARMACEUTICALS")</f>
        <v>TUTON PHARMACEUTICALS</v>
      </c>
    </row>
    <row r="2976">
      <c r="H2976" s="25" t="str">
        <f>IFERROR(__xludf.DUMMYFUNCTION("""COMPUTED_VALUE"""),"TWEET INDIA")</f>
        <v>TWEET INDIA</v>
      </c>
    </row>
    <row r="2977">
      <c r="H2977" s="25" t="str">
        <f>IFERROR(__xludf.DUMMYFUNCTION("""COMPUTED_VALUE"""),"UA BIOTECH PVT LTD")</f>
        <v>UA BIOTECH PVT LTD</v>
      </c>
    </row>
    <row r="2978">
      <c r="H2978" s="25" t="str">
        <f>IFERROR(__xludf.DUMMYFUNCTION("""COMPUTED_VALUE"""),"UCB India Pvt Ltd")</f>
        <v>UCB India Pvt Ltd</v>
      </c>
    </row>
    <row r="2979">
      <c r="H2979" s="25" t="str">
        <f>IFERROR(__xludf.DUMMYFUNCTION("""COMPUTED_VALUE"""),"ULTRATECH PHARMACEUTICALS")</f>
        <v>ULTRATECH PHARMACEUTICALS</v>
      </c>
    </row>
    <row r="2980">
      <c r="H2980" s="25" t="str">
        <f>IFERROR(__xludf.DUMMYFUNCTION("""COMPUTED_VALUE"""),"ULTRON PHARMA PVT TD")</f>
        <v>ULTRON PHARMA PVT TD</v>
      </c>
    </row>
    <row r="2981">
      <c r="H2981" s="25" t="str">
        <f>IFERROR(__xludf.DUMMYFUNCTION("""COMPUTED_VALUE"""),"UMARK PHARMACEUTICALS")</f>
        <v>UMARK PHARMACEUTICALS</v>
      </c>
    </row>
    <row r="2982">
      <c r="H2982" s="25" t="str">
        <f>IFERROR(__xludf.DUMMYFUNCTION("""COMPUTED_VALUE"""),"UNANI AYUR SEWA ASHRAM")</f>
        <v>UNANI AYUR SEWA ASHRAM</v>
      </c>
    </row>
    <row r="2983">
      <c r="H2983" s="25" t="str">
        <f>IFERROR(__xludf.DUMMYFUNCTION("""COMPUTED_VALUE"""),"UNI PLUS HEALTHCARE INDIA PVT LTD")</f>
        <v>UNI PLUS HEALTHCARE INDIA PVT LTD</v>
      </c>
    </row>
    <row r="2984">
      <c r="H2984" s="25" t="str">
        <f>IFERROR(__xludf.DUMMYFUNCTION("""COMPUTED_VALUE"""),"UNIALL PHARMA")</f>
        <v>UNIALL PHARMA</v>
      </c>
    </row>
    <row r="2985">
      <c r="H2985" s="25" t="str">
        <f>IFERROR(__xludf.DUMMYFUNCTION("""COMPUTED_VALUE"""),"UNIASTHA LIFE SCIENCES,SOLAN")</f>
        <v>UNIASTHA LIFE SCIENCES,SOLAN</v>
      </c>
    </row>
    <row r="2986">
      <c r="H2986" s="25" t="str">
        <f>IFERROR(__xludf.DUMMYFUNCTION("""COMPUTED_VALUE"""),"UNICHEM (GENERIC)")</f>
        <v>UNICHEM (GENERIC)</v>
      </c>
    </row>
    <row r="2987">
      <c r="H2987" s="25" t="str">
        <f>IFERROR(__xludf.DUMMYFUNCTION("""COMPUTED_VALUE"""),"Unichem Laboratories (LIFECARE)")</f>
        <v>Unichem Laboratories (LIFECARE)</v>
      </c>
    </row>
    <row r="2988">
      <c r="H2988" s="25" t="str">
        <f>IFERROR(__xludf.DUMMYFUNCTION("""COMPUTED_VALUE"""),"UNICHEM LABORATORIES LTD")</f>
        <v>UNICHEM LABORATORIES LTD</v>
      </c>
    </row>
    <row r="2989">
      <c r="H2989" s="25" t="str">
        <f>IFERROR(__xludf.DUMMYFUNCTION("""COMPUTED_VALUE"""),"Unicure India Pvt Ltd")</f>
        <v>Unicure India Pvt Ltd</v>
      </c>
    </row>
    <row r="2990">
      <c r="H2990" s="25" t="str">
        <f>IFERROR(__xludf.DUMMYFUNCTION("""COMPUTED_VALUE"""),"Unicure Remedies Pvt Ltd")</f>
        <v>Unicure Remedies Pvt Ltd</v>
      </c>
    </row>
    <row r="2991">
      <c r="H2991" s="25" t="str">
        <f>IFERROR(__xludf.DUMMYFUNCTION("""COMPUTED_VALUE"""),"UNIFAITH  BIOTECH P LTD")</f>
        <v>UNIFAITH  BIOTECH P LTD</v>
      </c>
    </row>
    <row r="2992">
      <c r="H2992" s="25" t="str">
        <f>IFERROR(__xludf.DUMMYFUNCTION("""COMPUTED_VALUE"""),"UNIFARMA HERBALS")</f>
        <v>UNIFARMA HERBALS</v>
      </c>
    </row>
    <row r="2993">
      <c r="H2993" s="25" t="str">
        <f>IFERROR(__xludf.DUMMYFUNCTION("""COMPUTED_VALUE"""),"UNIJULES LIFESCIENCES (UNIVERSAL MEDIKIT)")</f>
        <v>UNIJULES LIFESCIENCES (UNIVERSAL MEDIKIT)</v>
      </c>
    </row>
    <row r="2994">
      <c r="H2994" s="25" t="str">
        <f>IFERROR(__xludf.DUMMYFUNCTION("""COMPUTED_VALUE"""),"UNIKIND PHARMA")</f>
        <v>UNIKIND PHARMA</v>
      </c>
    </row>
    <row r="2995">
      <c r="H2995" s="25" t="str">
        <f>IFERROR(__xludf.DUMMYFUNCTION("""COMPUTED_VALUE"""),"Unimarck Healthcare Ltd")</f>
        <v>Unimarck Healthcare Ltd</v>
      </c>
    </row>
    <row r="2996">
      <c r="H2996" s="25" t="str">
        <f>IFERROR(__xludf.DUMMYFUNCTION("""COMPUTED_VALUE"""),"UNIMARCK PHARMA INDIA LTD")</f>
        <v>UNIMARCK PHARMA INDIA LTD</v>
      </c>
    </row>
    <row r="2997">
      <c r="H2997" s="25" t="str">
        <f>IFERROR(__xludf.DUMMYFUNCTION("""COMPUTED_VALUE"""),"Unimark Remedies Ltd")</f>
        <v>Unimark Remedies Ltd</v>
      </c>
    </row>
    <row r="2998">
      <c r="H2998" s="25" t="str">
        <f>IFERROR(__xludf.DUMMYFUNCTION("""COMPUTED_VALUE"""),"UNINOR BIOTECH")</f>
        <v>UNINOR BIOTECH</v>
      </c>
    </row>
    <row r="2999">
      <c r="H2999" s="25" t="str">
        <f>IFERROR(__xludf.DUMMYFUNCTION("""COMPUTED_VALUE"""),"UNIPEX")</f>
        <v>UNIPEX</v>
      </c>
    </row>
    <row r="3000">
      <c r="H3000" s="25" t="str">
        <f>IFERROR(__xludf.DUMMYFUNCTION("""COMPUTED_VALUE"""),"UNIQUE DRUGS LAB NEEMANVAS")</f>
        <v>UNIQUE DRUGS LAB NEEMANVAS</v>
      </c>
    </row>
    <row r="3001">
      <c r="H3001" s="25" t="str">
        <f>IFERROR(__xludf.DUMMYFUNCTION("""COMPUTED_VALUE"""),"UNIROSE PHARMA PVT LTD")</f>
        <v>UNIROSE PHARMA PVT LTD</v>
      </c>
    </row>
    <row r="3002">
      <c r="H3002" s="25" t="str">
        <f>IFERROR(__xludf.DUMMYFUNCTION("""COMPUTED_VALUE"""),"UNISAFE BIOSCIENCE")</f>
        <v>UNISAFE BIOSCIENCE</v>
      </c>
    </row>
    <row r="3003">
      <c r="H3003" s="25" t="str">
        <f>IFERROR(__xludf.DUMMYFUNCTION("""COMPUTED_VALUE"""),"UNISANKYO")</f>
        <v>UNISANKYO</v>
      </c>
    </row>
    <row r="3004">
      <c r="H3004" s="25" t="str">
        <f>IFERROR(__xludf.DUMMYFUNCTION("""COMPUTED_VALUE"""),"Unison Pharmaceutical (UNICARE)")</f>
        <v>Unison Pharmaceutical (UNICARE)</v>
      </c>
    </row>
    <row r="3005">
      <c r="H3005" s="25" t="str">
        <f>IFERROR(__xludf.DUMMYFUNCTION("""COMPUTED_VALUE"""),"UNISON PHARMACEUTICALS PVT LTD")</f>
        <v>UNISON PHARMACEUTICALS PVT LTD</v>
      </c>
    </row>
    <row r="3006">
      <c r="H3006" s="25" t="str">
        <f>IFERROR(__xludf.DUMMYFUNCTION("""COMPUTED_VALUE"""),"UNISURE BIOTECH")</f>
        <v>UNISURE BIOTECH</v>
      </c>
    </row>
    <row r="3007">
      <c r="H3007" s="25" t="str">
        <f>IFERROR(__xludf.DUMMYFUNCTION("""COMPUTED_VALUE"""),"UNITECH HEALTHCARE")</f>
        <v>UNITECH HEALTHCARE</v>
      </c>
    </row>
    <row r="3008">
      <c r="H3008" s="25" t="str">
        <f>IFERROR(__xludf.DUMMYFUNCTION("""COMPUTED_VALUE"""),"UNITECH HEALTHCARE P LTD")</f>
        <v>UNITECH HEALTHCARE P LTD</v>
      </c>
    </row>
    <row r="3009">
      <c r="H3009" s="25" t="str">
        <f>IFERROR(__xludf.DUMMYFUNCTION("""COMPUTED_VALUE"""),"UNITED BIOTECH")</f>
        <v>UNITED BIOTECH</v>
      </c>
    </row>
    <row r="3010">
      <c r="H3010" s="25" t="str">
        <f>IFERROR(__xludf.DUMMYFUNCTION("""COMPUTED_VALUE"""),"UNITED BIOTECH (CRITICAL CARE)")</f>
        <v>UNITED BIOTECH (CRITICAL CARE)</v>
      </c>
    </row>
    <row r="3011">
      <c r="H3011" s="25" t="str">
        <f>IFERROR(__xludf.DUMMYFUNCTION("""COMPUTED_VALUE"""),"UNITED BIOTECH (HYGEA DIVISION)")</f>
        <v>UNITED BIOTECH (HYGEA DIVISION)</v>
      </c>
    </row>
    <row r="3012">
      <c r="H3012" s="25" t="str">
        <f>IFERROR(__xludf.DUMMYFUNCTION("""COMPUTED_VALUE"""),"UNITED BIOTECH (SPECIALTY DIVISION)")</f>
        <v>UNITED BIOTECH (SPECIALTY DIVISION)</v>
      </c>
    </row>
    <row r="3013">
      <c r="H3013" s="25" t="str">
        <f>IFERROR(__xludf.DUMMYFUNCTION("""COMPUTED_VALUE"""),"UNIVENTIS")</f>
        <v>UNIVENTIS</v>
      </c>
    </row>
    <row r="3014">
      <c r="H3014" s="25" t="str">
        <f>IFERROR(__xludf.DUMMYFUNCTION("""COMPUTED_VALUE"""),"UNIVENTIS MEDICARE LTD")</f>
        <v>UNIVENTIS MEDICARE LTD</v>
      </c>
    </row>
    <row r="3015">
      <c r="H3015" s="25" t="str">
        <f>IFERROR(__xludf.DUMMYFUNCTION("""COMPUTED_VALUE"""),"UNIVERSAL BIOSCIENCES (GENERIC)")</f>
        <v>UNIVERSAL BIOSCIENCES (GENERIC)</v>
      </c>
    </row>
    <row r="3016">
      <c r="H3016" s="25" t="str">
        <f>IFERROR(__xludf.DUMMYFUNCTION("""COMPUTED_VALUE"""),"Universal Drug House Pvt Ltd")</f>
        <v>Universal Drug House Pvt Ltd</v>
      </c>
    </row>
    <row r="3017">
      <c r="H3017" s="25" t="str">
        <f>IFERROR(__xludf.DUMMYFUNCTION("""COMPUTED_VALUE"""),"UNIVERSAL HELTHCARE BADDI")</f>
        <v>UNIVERSAL HELTHCARE BADDI</v>
      </c>
    </row>
    <row r="3018">
      <c r="H3018" s="25" t="str">
        <f>IFERROR(__xludf.DUMMYFUNCTION("""COMPUTED_VALUE"""),"UNIVERSAL LIFE SCIENCES (GENERIC)")</f>
        <v>UNIVERSAL LIFE SCIENCES (GENERIC)</v>
      </c>
    </row>
    <row r="3019">
      <c r="H3019" s="25" t="str">
        <f>IFERROR(__xludf.DUMMYFUNCTION("""COMPUTED_VALUE"""),"UNIVERSAL LTD")</f>
        <v>UNIVERSAL LTD</v>
      </c>
    </row>
    <row r="3020">
      <c r="H3020" s="25" t="str">
        <f>IFERROR(__xludf.DUMMYFUNCTION("""COMPUTED_VALUE"""),"Universal Medikit")</f>
        <v>Universal Medikit</v>
      </c>
    </row>
    <row r="3021">
      <c r="H3021" s="25" t="str">
        <f>IFERROR(__xludf.DUMMYFUNCTION("""COMPUTED_VALUE"""),"Universal Twin Labs (GENERIC)")</f>
        <v>Universal Twin Labs (GENERIC)</v>
      </c>
    </row>
    <row r="3022">
      <c r="H3022" s="25" t="str">
        <f>IFERROR(__xludf.DUMMYFUNCTION("""COMPUTED_VALUE"""),"UNIVICTOR HEALTHCARE")</f>
        <v>UNIVICTOR HEALTHCARE</v>
      </c>
    </row>
    <row r="3023">
      <c r="H3023" s="25" t="str">
        <f>IFERROR(__xludf.DUMMYFUNCTION("""COMPUTED_VALUE"""),"UNIX")</f>
        <v>UNIX</v>
      </c>
    </row>
    <row r="3024">
      <c r="H3024" s="25" t="str">
        <f>IFERROR(__xludf.DUMMYFUNCTION("""COMPUTED_VALUE"""),"UNIZA HEALTHCARE")</f>
        <v>UNIZA HEALTHCARE</v>
      </c>
    </row>
    <row r="3025">
      <c r="H3025" s="25" t="str">
        <f>IFERROR(__xludf.DUMMYFUNCTION("""COMPUTED_VALUE"""),"UNJHA PHARMACY")</f>
        <v>UNJHA PHARMACY</v>
      </c>
    </row>
    <row r="3026">
      <c r="H3026" s="25" t="str">
        <f>IFERROR(__xludf.DUMMYFUNCTION("""COMPUTED_VALUE"""),"UPJONE LAB PVT LTD")</f>
        <v>UPJONE LAB PVT LTD</v>
      </c>
    </row>
    <row r="3027">
      <c r="H3027" s="25" t="str">
        <f>IFERROR(__xludf.DUMMYFUNCTION("""COMPUTED_VALUE"""),"URIHK PHARMACEUTICAL PVT LTD")</f>
        <v>URIHK PHARMACEUTICAL PVT LTD</v>
      </c>
    </row>
    <row r="3028">
      <c r="H3028" s="25" t="str">
        <f>IFERROR(__xludf.DUMMYFUNCTION("""COMPUTED_VALUE"""),"URMED PHARMACEUTICAL")</f>
        <v>URMED PHARMACEUTICAL</v>
      </c>
    </row>
    <row r="3029">
      <c r="H3029" s="25" t="str">
        <f>IFERROR(__xludf.DUMMYFUNCTION("""COMPUTED_VALUE"""),"USV (CENTRA)")</f>
        <v>USV (CENTRA)</v>
      </c>
    </row>
    <row r="3030">
      <c r="H3030" s="25" t="str">
        <f>IFERROR(__xludf.DUMMYFUNCTION("""COMPUTED_VALUE"""),"USV (CHANNEL)")</f>
        <v>USV (CHANNEL)</v>
      </c>
    </row>
    <row r="3031">
      <c r="H3031" s="25" t="str">
        <f>IFERROR(__xludf.DUMMYFUNCTION("""COMPUTED_VALUE"""),"USV (CLASSIC)")</f>
        <v>USV (CLASSIC)</v>
      </c>
    </row>
    <row r="3032">
      <c r="H3032" s="25" t="str">
        <f>IFERROR(__xludf.DUMMYFUNCTION("""COMPUTED_VALUE"""),"USV (CONDOR)")</f>
        <v>USV (CONDOR)</v>
      </c>
    </row>
    <row r="3033">
      <c r="H3033" s="25" t="str">
        <f>IFERROR(__xludf.DUMMYFUNCTION("""COMPUTED_VALUE"""),"USV (CONQUER)")</f>
        <v>USV (CONQUER)</v>
      </c>
    </row>
    <row r="3034">
      <c r="H3034" s="25" t="str">
        <f>IFERROR(__xludf.DUMMYFUNCTION("""COMPUTED_VALUE"""),"USV (CORONA)")</f>
        <v>USV (CORONA)</v>
      </c>
    </row>
    <row r="3035">
      <c r="H3035" s="25" t="str">
        <f>IFERROR(__xludf.DUMMYFUNCTION("""COMPUTED_VALUE"""),"USV (CORVETT)")</f>
        <v>USV (CORVETT)</v>
      </c>
    </row>
    <row r="3036">
      <c r="H3036" s="25" t="str">
        <f>IFERROR(__xludf.DUMMYFUNCTION("""COMPUTED_VALUE"""),"USV (COSMETICS)")</f>
        <v>USV (COSMETICS)</v>
      </c>
    </row>
    <row r="3037">
      <c r="H3037" s="25" t="str">
        <f>IFERROR(__xludf.DUMMYFUNCTION("""COMPUTED_VALUE"""),"USV (CRESCENDO)")</f>
        <v>USV (CRESCENDO)</v>
      </c>
    </row>
    <row r="3038">
      <c r="H3038" s="25" t="str">
        <f>IFERROR(__xludf.DUMMYFUNCTION("""COMPUTED_VALUE"""),"USV (CREST)")</f>
        <v>USV (CREST)</v>
      </c>
    </row>
    <row r="3039">
      <c r="H3039" s="25" t="str">
        <f>IFERROR(__xludf.DUMMYFUNCTION("""COMPUTED_VALUE"""),"USV (GENERAL)")</f>
        <v>USV (GENERAL)</v>
      </c>
    </row>
    <row r="3040">
      <c r="H3040" s="25" t="str">
        <f>IFERROR(__xludf.DUMMYFUNCTION("""COMPUTED_VALUE"""),"USV (LIFEON)")</f>
        <v>USV (LIFEON)</v>
      </c>
    </row>
    <row r="3041">
      <c r="H3041" s="25" t="str">
        <f>IFERROR(__xludf.DUMMYFUNCTION("""COMPUTED_VALUE"""),"USV (MULTI SPECIALITY)")</f>
        <v>USV (MULTI SPECIALITY)</v>
      </c>
    </row>
    <row r="3042">
      <c r="H3042" s="25" t="str">
        <f>IFERROR(__xludf.DUMMYFUNCTION("""COMPUTED_VALUE"""),"USV (TAZLOC TEAM)")</f>
        <v>USV (TAZLOC TEAM)</v>
      </c>
    </row>
    <row r="3043">
      <c r="H3043" s="25" t="str">
        <f>IFERROR(__xludf.DUMMYFUNCTION("""COMPUTED_VALUE"""),"USV Ltd")</f>
        <v>USV Ltd</v>
      </c>
    </row>
    <row r="3044">
      <c r="H3044" s="25" t="str">
        <f>IFERROR(__xludf.DUMMYFUNCTION("""COMPUTED_VALUE"""),"UTH Healthcare")</f>
        <v>UTH Healthcare</v>
      </c>
    </row>
    <row r="3045">
      <c r="H3045" s="25" t="str">
        <f>IFERROR(__xludf.DUMMYFUNCTION("""COMPUTED_VALUE"""),"UTLTRAMED")</f>
        <v>UTLTRAMED</v>
      </c>
    </row>
    <row r="3046">
      <c r="H3046" s="25" t="str">
        <f>IFERROR(__xludf.DUMMYFUNCTION("""COMPUTED_VALUE"""),"VAARDAAN")</f>
        <v>VAARDAAN</v>
      </c>
    </row>
    <row r="3047">
      <c r="H3047" s="25" t="str">
        <f>IFERROR(__xludf.DUMMYFUNCTION("""COMPUTED_VALUE"""),"VADNARE CHEMICAL WORKS")</f>
        <v>VADNARE CHEMICAL WORKS</v>
      </c>
    </row>
    <row r="3048">
      <c r="H3048" s="25" t="str">
        <f>IFERROR(__xludf.DUMMYFUNCTION("""COMPUTED_VALUE"""),"VADNARE CHEMICALS")</f>
        <v>VADNARE CHEMICALS</v>
      </c>
    </row>
    <row r="3049">
      <c r="H3049" s="25" t="str">
        <f>IFERROR(__xludf.DUMMYFUNCTION("""COMPUTED_VALUE"""),"VAIDRISHI LABORATORIES")</f>
        <v>VAIDRISHI LABORATORIES</v>
      </c>
    </row>
    <row r="3050">
      <c r="H3050" s="25" t="str">
        <f>IFERROR(__xludf.DUMMYFUNCTION("""COMPUTED_VALUE"""),"VAIDYA PATANKAR PHARMACY")</f>
        <v>VAIDYA PATANKAR PHARMACY</v>
      </c>
    </row>
    <row r="3051">
      <c r="H3051" s="25" t="str">
        <f>IFERROR(__xludf.DUMMYFUNCTION("""COMPUTED_VALUE"""),"VALCRET")</f>
        <v>VALCRET</v>
      </c>
    </row>
    <row r="3052">
      <c r="H3052" s="25" t="str">
        <f>IFERROR(__xludf.DUMMYFUNCTION("""COMPUTED_VALUE"""),"VALENS PHARMACEUTICALS")</f>
        <v>VALENS PHARMACEUTICALS</v>
      </c>
    </row>
    <row r="3053">
      <c r="H3053" s="25" t="str">
        <f>IFERROR(__xludf.DUMMYFUNCTION("""COMPUTED_VALUE"""),"VALLABH VIJAY COMPANY")</f>
        <v>VALLABH VIJAY COMPANY</v>
      </c>
    </row>
    <row r="3054">
      <c r="H3054" s="25" t="str">
        <f>IFERROR(__xludf.DUMMYFUNCTION("""COMPUTED_VALUE"""),"VALLEY PHARMA")</f>
        <v>VALLEY PHARMA</v>
      </c>
    </row>
    <row r="3055">
      <c r="H3055" s="25" t="str">
        <f>IFERROR(__xludf.DUMMYFUNCTION("""COMPUTED_VALUE"""),"VAMSI")</f>
        <v>VAMSI</v>
      </c>
    </row>
    <row r="3056">
      <c r="H3056" s="25" t="str">
        <f>IFERROR(__xludf.DUMMYFUNCTION("""COMPUTED_VALUE"""),"Vanguard Therapeutics Pvt Ltd")</f>
        <v>Vanguard Therapeutics Pvt Ltd</v>
      </c>
    </row>
    <row r="3057">
      <c r="H3057" s="25" t="str">
        <f>IFERROR(__xludf.DUMMYFUNCTION("""COMPUTED_VALUE"""),"VANMART PHARMACEUTICALS &amp; BIOTECH")</f>
        <v>VANMART PHARMACEUTICALS &amp; BIOTECH</v>
      </c>
    </row>
    <row r="3058">
      <c r="H3058" s="25" t="str">
        <f>IFERROR(__xludf.DUMMYFUNCTION("""COMPUTED_VALUE"""),"VARDHAN HEALTH CARE")</f>
        <v>VARDHAN HEALTH CARE</v>
      </c>
    </row>
    <row r="3059">
      <c r="H3059" s="25" t="str">
        <f>IFERROR(__xludf.DUMMYFUNCTION("""COMPUTED_VALUE"""),"VARENYAM HEALTHCARE")</f>
        <v>VARENYAM HEALTHCARE</v>
      </c>
    </row>
    <row r="3060">
      <c r="H3060" s="25" t="str">
        <f>IFERROR(__xludf.DUMMYFUNCTION("""COMPUTED_VALUE"""),"VARLIN BIOSCIENCE")</f>
        <v>VARLIN BIOSCIENCE</v>
      </c>
    </row>
    <row r="3061">
      <c r="H3061" s="25" t="str">
        <f>IFERROR(__xludf.DUMMYFUNCTION("""COMPUTED_VALUE"""),"Vasu Pharmaceuticals Pvt Ltd")</f>
        <v>Vasu Pharmaceuticals Pvt Ltd</v>
      </c>
    </row>
    <row r="3062">
      <c r="H3062" s="25" t="str">
        <f>IFERROR(__xludf.DUMMYFUNCTION("""COMPUTED_VALUE"""),"VASU SPORTS INTERNATIONAL")</f>
        <v>VASU SPORTS INTERNATIONAL</v>
      </c>
    </row>
    <row r="3063">
      <c r="H3063" s="25" t="str">
        <f>IFERROR(__xludf.DUMMYFUNCTION("""COMPUTED_VALUE"""),"VAZES CO OFFICE PILLS")</f>
        <v>VAZES CO OFFICE PILLS</v>
      </c>
    </row>
    <row r="3064">
      <c r="H3064" s="25" t="str">
        <f>IFERROR(__xludf.DUMMYFUNCTION("""COMPUTED_VALUE"""),"VEANA CR")</f>
        <v>VEANA CR</v>
      </c>
    </row>
    <row r="3065">
      <c r="H3065" s="25" t="str">
        <f>IFERROR(__xludf.DUMMYFUNCTION("""COMPUTED_VALUE"""),"VEE REMEDIES")</f>
        <v>VEE REMEDIES</v>
      </c>
    </row>
    <row r="3066">
      <c r="H3066" s="25" t="str">
        <f>IFERROR(__xludf.DUMMYFUNCTION("""COMPUTED_VALUE"""),"VEEMAL")</f>
        <v>VEEMAL</v>
      </c>
    </row>
    <row r="3067">
      <c r="H3067" s="25" t="str">
        <f>IFERROR(__xludf.DUMMYFUNCTION("""COMPUTED_VALUE"""),"VELGRET HEALTHCARE")</f>
        <v>VELGRET HEALTHCARE</v>
      </c>
    </row>
    <row r="3068">
      <c r="H3068" s="25" t="str">
        <f>IFERROR(__xludf.DUMMYFUNCTION("""COMPUTED_VALUE"""),"VELITE")</f>
        <v>VELITE</v>
      </c>
    </row>
    <row r="3069">
      <c r="H3069" s="25" t="str">
        <f>IFERROR(__xludf.DUMMYFUNCTION("""COMPUTED_VALUE"""),"VELLINTON HEALTHCARE")</f>
        <v>VELLINTON HEALTHCARE</v>
      </c>
    </row>
    <row r="3070">
      <c r="H3070" s="25" t="str">
        <f>IFERROR(__xludf.DUMMYFUNCTION("""COMPUTED_VALUE"""),"VENISTRO BIOTECH")</f>
        <v>VENISTRO BIOTECH</v>
      </c>
    </row>
    <row r="3071">
      <c r="H3071" s="25" t="str">
        <f>IFERROR(__xludf.DUMMYFUNCTION("""COMPUTED_VALUE"""),"VENKY'S NUTRITION")</f>
        <v>VENKY'S NUTRITION</v>
      </c>
    </row>
    <row r="3072">
      <c r="H3072" s="25" t="str">
        <f>IFERROR(__xludf.DUMMYFUNCTION("""COMPUTED_VALUE"""),"VENSAT BIO")</f>
        <v>VENSAT BIO</v>
      </c>
    </row>
    <row r="3073">
      <c r="H3073" s="25" t="str">
        <f>IFERROR(__xludf.DUMMYFUNCTION("""COMPUTED_VALUE"""),"Venus Remedies Ltd")</f>
        <v>Venus Remedies Ltd</v>
      </c>
    </row>
    <row r="3074">
      <c r="H3074" s="25" t="str">
        <f>IFERROR(__xludf.DUMMYFUNCTION("""COMPUTED_VALUE"""),"Veritaz Healthcare Ltd")</f>
        <v>Veritaz Healthcare Ltd</v>
      </c>
    </row>
    <row r="3075">
      <c r="H3075" s="25" t="str">
        <f>IFERROR(__xludf.DUMMYFUNCTION("""COMPUTED_VALUE"""),"VERITAZHEALTHCARE (COSMOCARE)")</f>
        <v>VERITAZHEALTHCARE (COSMOCARE)</v>
      </c>
    </row>
    <row r="3076">
      <c r="H3076" s="25" t="str">
        <f>IFERROR(__xludf.DUMMYFUNCTION("""COMPUTED_VALUE"""),"VERIZON PHARMA")</f>
        <v>VERIZON PHARMA</v>
      </c>
    </row>
    <row r="3077">
      <c r="H3077" s="25" t="str">
        <f>IFERROR(__xludf.DUMMYFUNCTION("""COMPUTED_VALUE"""),"VERNA HEALTHCARE (GENERIC)")</f>
        <v>VERNA HEALTHCARE (GENERIC)</v>
      </c>
    </row>
    <row r="3078">
      <c r="H3078" s="25" t="str">
        <f>IFERROR(__xludf.DUMMYFUNCTION("""COMPUTED_VALUE"""),"VERRILL HEALTHCARE")</f>
        <v>VERRILL HEALTHCARE</v>
      </c>
    </row>
    <row r="3079">
      <c r="H3079" s="25" t="str">
        <f>IFERROR(__xludf.DUMMYFUNCTION("""COMPUTED_VALUE"""),"VERTEX PHARMACEUTICALS")</f>
        <v>VERTEX PHARMACEUTICALS</v>
      </c>
    </row>
    <row r="3080">
      <c r="H3080" s="25" t="str">
        <f>IFERROR(__xludf.DUMMYFUNCTION("""COMPUTED_VALUE"""),"VHB LIFESCIENCES")</f>
        <v>VHB LIFESCIENCES</v>
      </c>
    </row>
    <row r="3081">
      <c r="H3081" s="25" t="str">
        <f>IFERROR(__xludf.DUMMYFUNCTION("""COMPUTED_VALUE"""),"VIBCARE PHARMA PVT LTD")</f>
        <v>VIBCARE PHARMA PVT LTD</v>
      </c>
    </row>
    <row r="3082">
      <c r="H3082" s="25" t="str">
        <f>IFERROR(__xludf.DUMMYFUNCTION("""COMPUTED_VALUE"""),"VIBDRUGS BIOSCIENCES")</f>
        <v>VIBDRUGS BIOSCIENCES</v>
      </c>
    </row>
    <row r="3083">
      <c r="H3083" s="25" t="str">
        <f>IFERROR(__xludf.DUMMYFUNCTION("""COMPUTED_VALUE"""),"VIBGYOR DRUGS PVT LTD")</f>
        <v>VIBGYOR DRUGS PVT LTD</v>
      </c>
    </row>
    <row r="3084">
      <c r="H3084" s="25" t="str">
        <f>IFERROR(__xludf.DUMMYFUNCTION("""COMPUTED_VALUE"""),"VICCO LABS")</f>
        <v>VICCO LABS</v>
      </c>
    </row>
    <row r="3085">
      <c r="H3085" s="25" t="str">
        <f>IFERROR(__xludf.DUMMYFUNCTION("""COMPUTED_VALUE"""),"VICTOR LIFE SCIENCES")</f>
        <v>VICTOR LIFE SCIENCES</v>
      </c>
    </row>
    <row r="3086">
      <c r="H3086" s="25" t="str">
        <f>IFERROR(__xludf.DUMMYFUNCTION("""COMPUTED_VALUE"""),"VIDYA JAGANNATH G. DWIVEDI")</f>
        <v>VIDYA JAGANNATH G. DWIVEDI</v>
      </c>
    </row>
    <row r="3087">
      <c r="H3087" s="25" t="str">
        <f>IFERROR(__xludf.DUMMYFUNCTION("""COMPUTED_VALUE"""),"VIKAS PHARMA")</f>
        <v>VIKAS PHARMA</v>
      </c>
    </row>
    <row r="3088">
      <c r="H3088" s="25" t="str">
        <f>IFERROR(__xludf.DUMMYFUNCTION("""COMPUTED_VALUE"""),"VIKRAM LABORATORIES")</f>
        <v>VIKRAM LABORATORIES</v>
      </c>
    </row>
    <row r="3089">
      <c r="H3089" s="25" t="str">
        <f>IFERROR(__xludf.DUMMYFUNCTION("""COMPUTED_VALUE"""),"Vilberry Healthcare Pvt Ltd")</f>
        <v>Vilberry Healthcare Pvt Ltd</v>
      </c>
    </row>
    <row r="3090">
      <c r="H3090" s="25" t="str">
        <f>IFERROR(__xludf.DUMMYFUNCTION("""COMPUTED_VALUE"""),"VIMAL LABS")</f>
        <v>VIMAL LABS</v>
      </c>
    </row>
    <row r="3091">
      <c r="H3091" s="25" t="str">
        <f>IFERROR(__xludf.DUMMYFUNCTION("""COMPUTED_VALUE"""),"VIMS")</f>
        <v>VIMS</v>
      </c>
    </row>
    <row r="3092">
      <c r="H3092" s="25" t="str">
        <f>IFERROR(__xludf.DUMMYFUNCTION("""COMPUTED_VALUE"""),"VINASIA LIFESCIENCES PVT LTD")</f>
        <v>VINASIA LIFESCIENCES PVT LTD</v>
      </c>
    </row>
    <row r="3093">
      <c r="H3093" s="25" t="str">
        <f>IFERROR(__xludf.DUMMYFUNCTION("""COMPUTED_VALUE"""),"vinayak Care Solution Pvt Ltd")</f>
        <v>vinayak Care Solution Pvt Ltd</v>
      </c>
    </row>
    <row r="3094">
      <c r="H3094" s="25" t="str">
        <f>IFERROR(__xludf.DUMMYFUNCTION("""COMPUTED_VALUE"""),"VINAYAK CARE SOLUTIONS")</f>
        <v>VINAYAK CARE SOLUTIONS</v>
      </c>
    </row>
    <row r="3095">
      <c r="H3095" s="25" t="str">
        <f>IFERROR(__xludf.DUMMYFUNCTION("""COMPUTED_VALUE"""),"VINDAS CHEMICAL INDUSTRIES")</f>
        <v>VINDAS CHEMICAL INDUSTRIES</v>
      </c>
    </row>
    <row r="3096">
      <c r="H3096" s="25" t="str">
        <f>IFERROR(__xludf.DUMMYFUNCTION("""COMPUTED_VALUE"""),"VINKEM LABS LTD")</f>
        <v>VINKEM LABS LTD</v>
      </c>
    </row>
    <row r="3097">
      <c r="H3097" s="25" t="str">
        <f>IFERROR(__xludf.DUMMYFUNCTION("""COMPUTED_VALUE"""),"VINS BIOPRODUCTS LLIMITED")</f>
        <v>VINS BIOPRODUCTS LLIMITED</v>
      </c>
    </row>
    <row r="3098">
      <c r="H3098" s="25" t="str">
        <f>IFERROR(__xludf.DUMMYFUNCTION("""COMPUTED_VALUE"""),"VINTEK PHARMACEUTICALS")</f>
        <v>VINTEK PHARMACEUTICALS</v>
      </c>
    </row>
    <row r="3099">
      <c r="H3099" s="25" t="str">
        <f>IFERROR(__xludf.DUMMYFUNCTION("""COMPUTED_VALUE"""),"VINTOCHEM")</f>
        <v>VINTOCHEM</v>
      </c>
    </row>
    <row r="3100">
      <c r="H3100" s="25" t="str">
        <f>IFERROR(__xludf.DUMMYFUNCTION("""COMPUTED_VALUE"""),"VIP PHARMACEUTICALS PVT LTD")</f>
        <v>VIP PHARMACEUTICALS PVT LTD</v>
      </c>
    </row>
    <row r="3101">
      <c r="H3101" s="25" t="str">
        <f>IFERROR(__xludf.DUMMYFUNCTION("""COMPUTED_VALUE"""),"VIRBAC ANIMAL HEALTHCARE")</f>
        <v>VIRBAC ANIMAL HEALTHCARE</v>
      </c>
    </row>
    <row r="3102">
      <c r="H3102" s="25" t="str">
        <f>IFERROR(__xludf.DUMMYFUNCTION("""COMPUTED_VALUE"""),"VIRCHOW")</f>
        <v>VIRCHOW</v>
      </c>
    </row>
    <row r="3103">
      <c r="H3103" s="25" t="str">
        <f>IFERROR(__xludf.DUMMYFUNCTION("""COMPUTED_VALUE"""),"VIRCHOW BIOTECH")</f>
        <v>VIRCHOW BIOTECH</v>
      </c>
    </row>
    <row r="3104">
      <c r="H3104" s="25" t="str">
        <f>IFERROR(__xludf.DUMMYFUNCTION("""COMPUTED_VALUE"""),"VISCO LABS")</f>
        <v>VISCO LABS</v>
      </c>
    </row>
    <row r="3105">
      <c r="H3105" s="25" t="str">
        <f>IFERROR(__xludf.DUMMYFUNCTION("""COMPUTED_VALUE"""),"VISHAL PHARMA LAB INDORE")</f>
        <v>VISHAL PHARMA LAB INDORE</v>
      </c>
    </row>
    <row r="3106">
      <c r="H3106" s="25" t="str">
        <f>IFERROR(__xludf.DUMMYFUNCTION("""COMPUTED_VALUE"""),"VISHAL PHARMACEUTICAL LAB")</f>
        <v>VISHAL PHARMACEUTICAL LAB</v>
      </c>
    </row>
    <row r="3107">
      <c r="H3107" s="25" t="str">
        <f>IFERROR(__xludf.DUMMYFUNCTION("""COMPUTED_VALUE"""),"VISHNU HEALTHCARE")</f>
        <v>VISHNU HEALTHCARE</v>
      </c>
    </row>
    <row r="3108">
      <c r="H3108" s="25" t="str">
        <f>IFERROR(__xludf.DUMMYFUNCTION("""COMPUTED_VALUE"""),"VISHVA MANGAL UDYOG")</f>
        <v>VISHVA MANGAL UDYOG</v>
      </c>
    </row>
    <row r="3109">
      <c r="H3109" s="25" t="str">
        <f>IFERROR(__xludf.DUMMYFUNCTION("""COMPUTED_VALUE"""),"VISHWAMITRA AYURVEDIC")</f>
        <v>VISHWAMITRA AYURVEDIC</v>
      </c>
    </row>
    <row r="3110">
      <c r="H3110" s="25" t="str">
        <f>IFERROR(__xludf.DUMMYFUNCTION("""COMPUTED_VALUE"""),"VISION PHARMA")</f>
        <v>VISION PHARMA</v>
      </c>
    </row>
    <row r="3111">
      <c r="H3111" s="25" t="str">
        <f>IFERROR(__xludf.DUMMYFUNCTION("""COMPUTED_VALUE"""),"VISMO")</f>
        <v>VISMO</v>
      </c>
    </row>
    <row r="3112">
      <c r="H3112" s="25" t="str">
        <f>IFERROR(__xludf.DUMMYFUNCTION("""COMPUTED_VALUE"""),"VISSCO REHABILITATION AIDS PVT LTD")</f>
        <v>VISSCO REHABILITATION AIDS PVT LTD</v>
      </c>
    </row>
    <row r="3113">
      <c r="H3113" s="25" t="str">
        <f>IFERROR(__xludf.DUMMYFUNCTION("""COMPUTED_VALUE"""),"VITACE REMEDIES")</f>
        <v>VITACE REMEDIES</v>
      </c>
    </row>
    <row r="3114">
      <c r="H3114" s="25" t="str">
        <f>IFERROR(__xludf.DUMMYFUNCTION("""COMPUTED_VALUE"""),"VITALITY HEALTHCARE")</f>
        <v>VITALITY HEALTHCARE</v>
      </c>
    </row>
    <row r="3115">
      <c r="H3115" s="25" t="str">
        <f>IFERROR(__xludf.DUMMYFUNCTION("""COMPUTED_VALUE"""),"VITANE PHARMACEUTICALS")</f>
        <v>VITANE PHARMACEUTICALS</v>
      </c>
    </row>
    <row r="3116">
      <c r="H3116" s="25" t="str">
        <f>IFERROR(__xludf.DUMMYFUNCTION("""COMPUTED_VALUE"""),"VITHOBA INDUSTRIES")</f>
        <v>VITHOBA INDUSTRIES</v>
      </c>
    </row>
    <row r="3117">
      <c r="H3117" s="25" t="str">
        <f>IFERROR(__xludf.DUMMYFUNCTION("""COMPUTED_VALUE"""),"VIVENCY HEALTH CARE PVT LTD")</f>
        <v>VIVENCY HEALTH CARE PVT LTD</v>
      </c>
    </row>
    <row r="3118">
      <c r="H3118" s="25" t="str">
        <f>IFERROR(__xludf.DUMMYFUNCTION("""COMPUTED_VALUE"""),"VIVEZ LIFESCIENCE")</f>
        <v>VIVEZ LIFESCIENCE</v>
      </c>
    </row>
    <row r="3119">
      <c r="H3119" s="25" t="str">
        <f>IFERROR(__xludf.DUMMYFUNCTION("""COMPUTED_VALUE"""),"VIVIA DERMACARE")</f>
        <v>VIVIA DERMACARE</v>
      </c>
    </row>
    <row r="3120">
      <c r="H3120" s="25" t="str">
        <f>IFERROR(__xludf.DUMMYFUNCTION("""COMPUTED_VALUE"""),"VIVO LIFESCIENCES")</f>
        <v>VIVO LIFESCIENCES</v>
      </c>
    </row>
    <row r="3121">
      <c r="H3121" s="25" t="str">
        <f>IFERROR(__xludf.DUMMYFUNCTION("""COMPUTED_VALUE"""),"VK SARANU")</f>
        <v>VK SARANU</v>
      </c>
    </row>
    <row r="3122">
      <c r="H3122" s="25" t="str">
        <f>IFERROR(__xludf.DUMMYFUNCTION("""COMPUTED_VALUE"""),"VMC PHARMACEUTICAL")</f>
        <v>VMC PHARMACEUTICAL</v>
      </c>
    </row>
    <row r="3123">
      <c r="H3123" s="25" t="str">
        <f>IFERROR(__xludf.DUMMYFUNCTION("""COMPUTED_VALUE"""),"VYALI INTERNATIONAL")</f>
        <v>VYALI INTERNATIONAL</v>
      </c>
    </row>
    <row r="3124">
      <c r="H3124" s="25" t="str">
        <f>IFERROR(__xludf.DUMMYFUNCTION("""COMPUTED_VALUE"""),"VYAPITUS SPECIALITIES")</f>
        <v>VYAPITUS SPECIALITIES</v>
      </c>
    </row>
    <row r="3125">
      <c r="H3125" s="25" t="str">
        <f>IFERROR(__xludf.DUMMYFUNCTION("""COMPUTED_VALUE"""),"VYAS PHARMACEUTICALS")</f>
        <v>VYAS PHARMACEUTICALS</v>
      </c>
    </row>
    <row r="3126">
      <c r="H3126" s="25" t="str">
        <f>IFERROR(__xludf.DUMMYFUNCTION("""COMPUTED_VALUE"""),"VYONICS HEALTHCARE")</f>
        <v>VYONICS HEALTHCARE</v>
      </c>
    </row>
    <row r="3127">
      <c r="H3127" s="25" t="str">
        <f>IFERROR(__xludf.DUMMYFUNCTION("""COMPUTED_VALUE"""),"VYSON INDIA")</f>
        <v>VYSON INDIA</v>
      </c>
    </row>
    <row r="3128">
      <c r="H3128" s="25" t="str">
        <f>IFERROR(__xludf.DUMMYFUNCTION("""COMPUTED_VALUE"""),"WAFTURE HEALTHCARE")</f>
        <v>WAFTURE HEALTHCARE</v>
      </c>
    </row>
    <row r="3129">
      <c r="H3129" s="25" t="str">
        <f>IFERROR(__xludf.DUMMYFUNCTION("""COMPUTED_VALUE"""),"WALBERG PHARMACEUTICALS")</f>
        <v>WALBERG PHARMACEUTICALS</v>
      </c>
    </row>
    <row r="3130">
      <c r="H3130" s="25" t="str">
        <f>IFERROR(__xludf.DUMMYFUNCTION("""COMPUTED_VALUE"""),"WALLACE (GASTRO)")</f>
        <v>WALLACE (GASTRO)</v>
      </c>
    </row>
    <row r="3131">
      <c r="H3131" s="25" t="str">
        <f>IFERROR(__xludf.DUMMYFUNCTION("""COMPUTED_VALUE"""),"WALLACE (LIFE STYLE)")</f>
        <v>WALLACE (LIFE STYLE)</v>
      </c>
    </row>
    <row r="3132">
      <c r="H3132" s="25" t="str">
        <f>IFERROR(__xludf.DUMMYFUNCTION("""COMPUTED_VALUE"""),"WALLACE (RIVELA)")</f>
        <v>WALLACE (RIVELA)</v>
      </c>
    </row>
    <row r="3133">
      <c r="H3133" s="25" t="str">
        <f>IFERROR(__xludf.DUMMYFUNCTION("""COMPUTED_VALUE"""),"Wallace Pharmaceuticals Pvt Ltd")</f>
        <v>Wallace Pharmaceuticals Pvt Ltd</v>
      </c>
    </row>
    <row r="3134">
      <c r="H3134" s="25" t="str">
        <f>IFERROR(__xludf.DUMMYFUNCTION("""COMPUTED_VALUE"""),"WALNUT LIFESCIENCES PVT LTD")</f>
        <v>WALNUT LIFESCIENCES PVT LTD</v>
      </c>
    </row>
    <row r="3135">
      <c r="H3135" s="25" t="str">
        <f>IFERROR(__xludf.DUMMYFUNCTION("""COMPUTED_VALUE"""),"WALRON HEALTHCARE P LTD")</f>
        <v>WALRON HEALTHCARE P LTD</v>
      </c>
    </row>
    <row r="3136">
      <c r="H3136" s="25" t="str">
        <f>IFERROR(__xludf.DUMMYFUNCTION("""COMPUTED_VALUE"""),"Walter Bushnell")</f>
        <v>Walter Bushnell</v>
      </c>
    </row>
    <row r="3137">
      <c r="H3137" s="25" t="str">
        <f>IFERROR(__xludf.DUMMYFUNCTION("""COMPUTED_VALUE"""),"WAMA PHARMA")</f>
        <v>WAMA PHARMA</v>
      </c>
    </row>
    <row r="3138">
      <c r="H3138" s="25" t="str">
        <f>IFERROR(__xludf.DUMMYFUNCTION("""COMPUTED_VALUE"""),"Wanbury Ltd")</f>
        <v>Wanbury Ltd</v>
      </c>
    </row>
    <row r="3139">
      <c r="H3139" s="25" t="str">
        <f>IFERROR(__xludf.DUMMYFUNCTION("""COMPUTED_VALUE"""),"WANCURA LIFE SCIENCE")</f>
        <v>WANCURA LIFE SCIENCE</v>
      </c>
    </row>
    <row r="3140">
      <c r="H3140" s="25" t="str">
        <f>IFERROR(__xludf.DUMMYFUNCTION("""COMPUTED_VALUE"""),"WANTURA LABORATORIES")</f>
        <v>WANTURA LABORATORIES</v>
      </c>
    </row>
    <row r="3141">
      <c r="H3141" s="25" t="str">
        <f>IFERROR(__xludf.DUMMYFUNCTION("""COMPUTED_VALUE"""),"WARDEX PHARMACEUTICALS PVT LTD")</f>
        <v>WARDEX PHARMACEUTICALS PVT LTD</v>
      </c>
    </row>
    <row r="3142">
      <c r="H3142" s="25" t="str">
        <f>IFERROR(__xludf.DUMMYFUNCTION("""COMPUTED_VALUE"""),"WARIOX LIFE SCIENCE PVT LTD")</f>
        <v>WARIOX LIFE SCIENCE PVT LTD</v>
      </c>
    </row>
    <row r="3143">
      <c r="H3143" s="25" t="str">
        <f>IFERROR(__xludf.DUMMYFUNCTION("""COMPUTED_VALUE"""),"WELCOME VET PHARMA")</f>
        <v>WELCOME VET PHARMA</v>
      </c>
    </row>
    <row r="3144">
      <c r="H3144" s="25" t="str">
        <f>IFERROR(__xludf.DUMMYFUNCTION("""COMPUTED_VALUE"""),"WELLAR")</f>
        <v>WELLAR</v>
      </c>
    </row>
    <row r="3145">
      <c r="H3145" s="25" t="str">
        <f>IFERROR(__xludf.DUMMYFUNCTION("""COMPUTED_VALUE"""),"WELLCHEM")</f>
        <v>WELLCHEM</v>
      </c>
    </row>
    <row r="3146">
      <c r="H3146" s="25" t="str">
        <f>IFERROR(__xludf.DUMMYFUNCTION("""COMPUTED_VALUE"""),"WELLCHEM PHARMACEUTICALS")</f>
        <v>WELLCHEM PHARMACEUTICALS</v>
      </c>
    </row>
    <row r="3147">
      <c r="H3147" s="25" t="str">
        <f>IFERROR(__xludf.DUMMYFUNCTION("""COMPUTED_VALUE"""),"WELLCON ANIMAL HEALTH PVT LTD")</f>
        <v>WELLCON ANIMAL HEALTH PVT LTD</v>
      </c>
    </row>
    <row r="3148">
      <c r="H3148" s="25" t="str">
        <f>IFERROR(__xludf.DUMMYFUNCTION("""COMPUTED_VALUE"""),"WELLFORD PHARMACEUTICAL PVT LTD")</f>
        <v>WELLFORD PHARMACEUTICAL PVT LTD</v>
      </c>
    </row>
    <row r="3149">
      <c r="H3149" s="25" t="str">
        <f>IFERROR(__xludf.DUMMYFUNCTION("""COMPUTED_VALUE"""),"WELLMOS GLOBAL HEALTHCARE PHARMA")</f>
        <v>WELLMOS GLOBAL HEALTHCARE PHARMA</v>
      </c>
    </row>
    <row r="3150">
      <c r="H3150" s="25" t="str">
        <f>IFERROR(__xludf.DUMMYFUNCTION("""COMPUTED_VALUE"""),"WELRIN PHARMA")</f>
        <v>WELRIN PHARMA</v>
      </c>
    </row>
    <row r="3151">
      <c r="H3151" s="25" t="str">
        <f>IFERROR(__xludf.DUMMYFUNCTION("""COMPUTED_VALUE"""),"Wens Drugs India Pvt Ltd")</f>
        <v>Wens Drugs India Pvt Ltd</v>
      </c>
    </row>
    <row r="3152">
      <c r="H3152" s="25" t="str">
        <f>IFERROR(__xludf.DUMMYFUNCTION("""COMPUTED_VALUE"""),"West-Coast Pharmaceutical Works Ltd")</f>
        <v>West-Coast Pharmaceutical Works Ltd</v>
      </c>
    </row>
    <row r="3153">
      <c r="H3153" s="25" t="str">
        <f>IFERROR(__xludf.DUMMYFUNCTION("""COMPUTED_VALUE"""),"WILBURT (GENERAL)")</f>
        <v>WILBURT (GENERAL)</v>
      </c>
    </row>
    <row r="3154">
      <c r="H3154" s="25" t="str">
        <f>IFERROR(__xludf.DUMMYFUNCTION("""COMPUTED_VALUE"""),"WILBURT (NEXION)")</f>
        <v>WILBURT (NEXION)</v>
      </c>
    </row>
    <row r="3155">
      <c r="H3155" s="25" t="str">
        <f>IFERROR(__xludf.DUMMYFUNCTION("""COMPUTED_VALUE"""),"WILBURT REMEDIES")</f>
        <v>WILBURT REMEDIES</v>
      </c>
    </row>
    <row r="3156">
      <c r="H3156" s="25" t="str">
        <f>IFERROR(__xludf.DUMMYFUNCTION("""COMPUTED_VALUE"""),"Willburt (Lifez Cardio and Diabetes)")</f>
        <v>Willburt (Lifez Cardio and Diabetes)</v>
      </c>
    </row>
    <row r="3157">
      <c r="H3157" s="25" t="str">
        <f>IFERROR(__xludf.DUMMYFUNCTION("""COMPUTED_VALUE"""),"Willcare Lifesciences")</f>
        <v>Willcare Lifesciences</v>
      </c>
    </row>
    <row r="3158">
      <c r="H3158" s="25" t="str">
        <f>IFERROR(__xludf.DUMMYFUNCTION("""COMPUTED_VALUE"""),"WILSHIR HELTH CARE")</f>
        <v>WILSHIR HELTH CARE</v>
      </c>
    </row>
    <row r="3159">
      <c r="H3159" s="25" t="str">
        <f>IFERROR(__xludf.DUMMYFUNCTION("""COMPUTED_VALUE"""),"WILSHIRE PHARMACEUTICALS")</f>
        <v>WILSHIRE PHARMACEUTICALS</v>
      </c>
    </row>
    <row r="3160">
      <c r="H3160" s="25" t="str">
        <f>IFERROR(__xludf.DUMMYFUNCTION("""COMPUTED_VALUE"""),"WILSON")</f>
        <v>WILSON</v>
      </c>
    </row>
    <row r="3161">
      <c r="H3161" s="25" t="str">
        <f>IFERROR(__xludf.DUMMYFUNCTION("""COMPUTED_VALUE"""),"WILSON HEALTHCARE")</f>
        <v>WILSON HEALTHCARE</v>
      </c>
    </row>
    <row r="3162">
      <c r="H3162" s="25" t="str">
        <f>IFERROR(__xludf.DUMMYFUNCTION("""COMPUTED_VALUE"""),"WIN NATURALS")</f>
        <v>WIN NATURALS</v>
      </c>
    </row>
    <row r="3163">
      <c r="H3163" s="25" t="str">
        <f>IFERROR(__xludf.DUMMYFUNCTION("""COMPUTED_VALUE"""),"Win-Medicare Pvt Ltd")</f>
        <v>Win-Medicare Pvt Ltd</v>
      </c>
    </row>
    <row r="3164">
      <c r="H3164" s="25" t="str">
        <f>IFERROR(__xludf.DUMMYFUNCTION("""COMPUTED_VALUE"""),"WINDLAS BIOTECH PVT LTD")</f>
        <v>WINDLAS BIOTECH PVT LTD</v>
      </c>
    </row>
    <row r="3165">
      <c r="H3165" s="25" t="str">
        <f>IFERROR(__xludf.DUMMYFUNCTION("""COMPUTED_VALUE"""),"Wings Biotech Ltd (GENERIC)")</f>
        <v>Wings Biotech Ltd (GENERIC)</v>
      </c>
    </row>
    <row r="3166">
      <c r="H3166" s="25" t="str">
        <f>IFERROR(__xludf.DUMMYFUNCTION("""COMPUTED_VALUE"""),"WINTECH PHARMACEUTICALS (PHARMA)")</f>
        <v>WINTECH PHARMACEUTICALS (PHARMA)</v>
      </c>
    </row>
    <row r="3167">
      <c r="H3167" s="25" t="str">
        <f>IFERROR(__xludf.DUMMYFUNCTION("""COMPUTED_VALUE"""),"WINTECH PHARMACEUTICALS (ZENOVA)")</f>
        <v>WINTECH PHARMACEUTICALS (ZENOVA)</v>
      </c>
    </row>
    <row r="3168">
      <c r="H3168" s="25" t="str">
        <f>IFERROR(__xludf.DUMMYFUNCTION("""COMPUTED_VALUE"""),"WINY HEALTHCARE")</f>
        <v>WINY HEALTHCARE</v>
      </c>
    </row>
    <row r="3169">
      <c r="H3169" s="25" t="str">
        <f>IFERROR(__xludf.DUMMYFUNCTION("""COMPUTED_VALUE"""),"Wiscon Pharmaceuticals Pvt Ltd")</f>
        <v>Wiscon Pharmaceuticals Pvt Ltd</v>
      </c>
    </row>
    <row r="3170">
      <c r="H3170" s="25" t="str">
        <f>IFERROR(__xludf.DUMMYFUNCTION("""COMPUTED_VALUE"""),"WIZ HEALTH CARE")</f>
        <v>WIZ HEALTH CARE</v>
      </c>
    </row>
    <row r="3171">
      <c r="H3171" s="25" t="str">
        <f>IFERROR(__xludf.DUMMYFUNCTION("""COMPUTED_VALUE"""),"WOCCKAHCHARLES PHARMA LTD")</f>
        <v>WOCCKAHCHARLES PHARMA LTD</v>
      </c>
    </row>
    <row r="3172">
      <c r="H3172" s="25" t="str">
        <f>IFERROR(__xludf.DUMMYFUNCTION("""COMPUTED_VALUE"""),"WOCKHARDT (CARDIO)")</f>
        <v>WOCKHARDT (CARDIO)</v>
      </c>
    </row>
    <row r="3173">
      <c r="H3173" s="25" t="str">
        <f>IFERROR(__xludf.DUMMYFUNCTION("""COMPUTED_VALUE"""),"WOCKHARDT (M1)")</f>
        <v>WOCKHARDT (M1)</v>
      </c>
    </row>
    <row r="3174">
      <c r="H3174" s="25" t="str">
        <f>IFERROR(__xludf.DUMMYFUNCTION("""COMPUTED_VALUE"""),"WOCKHARDT (METABOLICS)")</f>
        <v>WOCKHARDT (METABOLICS)</v>
      </c>
    </row>
    <row r="3175">
      <c r="H3175" s="25" t="str">
        <f>IFERROR(__xludf.DUMMYFUNCTION("""COMPUTED_VALUE"""),"WOCKHARDT (NEPHRO)")</f>
        <v>WOCKHARDT (NEPHRO)</v>
      </c>
    </row>
    <row r="3176">
      <c r="H3176" s="25" t="str">
        <f>IFERROR(__xludf.DUMMYFUNCTION("""COMPUTED_VALUE"""),"WOCKHARDT (PHARMA)")</f>
        <v>WOCKHARDT (PHARMA)</v>
      </c>
    </row>
    <row r="3177">
      <c r="H3177" s="25" t="str">
        <f>IFERROR(__xludf.DUMMYFUNCTION("""COMPUTED_VALUE"""),"WOCKHARDT (SPACIEL)")</f>
        <v>WOCKHARDT (SPACIEL)</v>
      </c>
    </row>
    <row r="3178">
      <c r="H3178" s="25" t="str">
        <f>IFERROR(__xludf.DUMMYFUNCTION("""COMPUTED_VALUE"""),"Wockhardt Ltd")</f>
        <v>Wockhardt Ltd</v>
      </c>
    </row>
    <row r="3179">
      <c r="H3179" s="25" t="str">
        <f>IFERROR(__xludf.DUMMYFUNCTION("""COMPUTED_VALUE"""),"Wockhardt Ltd  (SPECTRA)")</f>
        <v>Wockhardt Ltd  (SPECTRA)</v>
      </c>
    </row>
    <row r="3180">
      <c r="H3180" s="25" t="str">
        <f>IFERROR(__xludf.DUMMYFUNCTION("""COMPUTED_VALUE"""),"Wockhardt Ltd (CRITICAL CARE-NTF)")</f>
        <v>Wockhardt Ltd (CRITICAL CARE-NTF)</v>
      </c>
    </row>
    <row r="3181">
      <c r="H3181" s="25" t="str">
        <f>IFERROR(__xludf.DUMMYFUNCTION("""COMPUTED_VALUE"""),"Wockhardt Ltd (CRITICAL CARE)")</f>
        <v>Wockhardt Ltd (CRITICAL CARE)</v>
      </c>
    </row>
    <row r="3182">
      <c r="H3182" s="25" t="str">
        <f>IFERROR(__xludf.DUMMYFUNCTION("""COMPUTED_VALUE"""),"Wockhardt Ltd (DERMA)")</f>
        <v>Wockhardt Ltd (DERMA)</v>
      </c>
    </row>
    <row r="3183">
      <c r="H3183" s="25" t="str">
        <f>IFERROR(__xludf.DUMMYFUNCTION("""COMPUTED_VALUE"""),"Wockhardt Ltd (DIABETIC)")</f>
        <v>Wockhardt Ltd (DIABETIC)</v>
      </c>
    </row>
    <row r="3184">
      <c r="H3184" s="25" t="str">
        <f>IFERROR(__xludf.DUMMYFUNCTION("""COMPUTED_VALUE"""),"Wockhardt Ltd (GENERIC)")</f>
        <v>Wockhardt Ltd (GENERIC)</v>
      </c>
    </row>
    <row r="3185">
      <c r="H3185" s="25" t="str">
        <f>IFERROR(__xludf.DUMMYFUNCTION("""COMPUTED_VALUE"""),"Wockhardt Ltd (MAIN)")</f>
        <v>Wockhardt Ltd (MAIN)</v>
      </c>
    </row>
    <row r="3186">
      <c r="H3186" s="25" t="str">
        <f>IFERROR(__xludf.DUMMYFUNCTION("""COMPUTED_VALUE"""),"Wockhardt Ltd (RESPIRATORY)")</f>
        <v>Wockhardt Ltd (RESPIRATORY)</v>
      </c>
    </row>
    <row r="3187">
      <c r="H3187" s="25" t="str">
        <f>IFERROR(__xludf.DUMMYFUNCTION("""COMPUTED_VALUE"""),"Wockhardt Ltd (SPECTRA)")</f>
        <v>Wockhardt Ltd (SPECTRA)</v>
      </c>
    </row>
    <row r="3188">
      <c r="H3188" s="25" t="str">
        <f>IFERROR(__xludf.DUMMYFUNCTION("""COMPUTED_VALUE"""),"Wockhardt Ltd (SUPER SPECIALITY)")</f>
        <v>Wockhardt Ltd (SUPER SPECIALITY)</v>
      </c>
    </row>
    <row r="3189">
      <c r="H3189" s="25" t="str">
        <f>IFERROR(__xludf.DUMMYFUNCTION("""COMPUTED_VALUE"""),"Wockhardt Ltd (TARUS-2)")</f>
        <v>Wockhardt Ltd (TARUS-2)</v>
      </c>
    </row>
    <row r="3190">
      <c r="H3190" s="25" t="str">
        <f>IFERROR(__xludf.DUMMYFUNCTION("""COMPUTED_VALUE"""),"Wockhardt Ltd (TARUS)")</f>
        <v>Wockhardt Ltd (TARUS)</v>
      </c>
    </row>
    <row r="3191">
      <c r="H3191" s="25" t="str">
        <f>IFERROR(__xludf.DUMMYFUNCTION("""COMPUTED_VALUE"""),"WONSET HEALTHCARE")</f>
        <v>WONSET HEALTHCARE</v>
      </c>
    </row>
    <row r="3192">
      <c r="H3192" s="25" t="str">
        <f>IFERROR(__xludf.DUMMYFUNCTION("""COMPUTED_VALUE"""),"WOOD GERMAN BIOTECH")</f>
        <v>WOOD GERMAN BIOTECH</v>
      </c>
    </row>
    <row r="3193">
      <c r="H3193" s="25" t="str">
        <f>IFERROR(__xludf.DUMMYFUNCTION("""COMPUTED_VALUE"""),"WRIGHT LIFESCIENCES P LTD")</f>
        <v>WRIGHT LIFESCIENCES P LTD</v>
      </c>
    </row>
    <row r="3194">
      <c r="H3194" s="25" t="str">
        <f>IFERROR(__xludf.DUMMYFUNCTION("""COMPUTED_VALUE"""),"WRIGHT LIFESCIENCES PVT LTD")</f>
        <v>WRIGHT LIFESCIENCES PVT LTD</v>
      </c>
    </row>
    <row r="3195">
      <c r="H3195" s="25" t="str">
        <f>IFERROR(__xludf.DUMMYFUNCTION("""COMPUTED_VALUE"""),"WSI")</f>
        <v>WSI</v>
      </c>
    </row>
    <row r="3196">
      <c r="H3196" s="25" t="str">
        <f>IFERROR(__xludf.DUMMYFUNCTION("""COMPUTED_VALUE"""),"Wyeth Limited")</f>
        <v>Wyeth Limited</v>
      </c>
    </row>
    <row r="3197">
      <c r="H3197" s="25" t="str">
        <f>IFERROR(__xludf.DUMMYFUNCTION("""COMPUTED_VALUE"""),"XANOCIA LIFE SCIENCES")</f>
        <v>XANOCIA LIFE SCIENCES</v>
      </c>
    </row>
    <row r="3198">
      <c r="H3198" s="25" t="str">
        <f>IFERROR(__xludf.DUMMYFUNCTION("""COMPUTED_VALUE"""),"XENA CORONUS HEALTH CARE")</f>
        <v>XENA CORONUS HEALTH CARE</v>
      </c>
    </row>
    <row r="3199">
      <c r="H3199" s="25" t="str">
        <f>IFERROR(__xludf.DUMMYFUNCTION("""COMPUTED_VALUE"""),"XIEON LIFE SCIENCES")</f>
        <v>XIEON LIFE SCIENCES</v>
      </c>
    </row>
    <row r="3200">
      <c r="H3200" s="25" t="str">
        <f>IFERROR(__xludf.DUMMYFUNCTION("""COMPUTED_VALUE"""),"Y E HADVAIDYA")</f>
        <v>Y E HADVAIDYA</v>
      </c>
    </row>
    <row r="3201">
      <c r="H3201" s="25" t="str">
        <f>IFERROR(__xludf.DUMMYFUNCTION("""COMPUTED_VALUE"""),"YAJAT LIFE SCIENCES")</f>
        <v>YAJAT LIFE SCIENCES</v>
      </c>
    </row>
    <row r="3202">
      <c r="H3202" s="25" t="str">
        <f>IFERROR(__xludf.DUMMYFUNCTION("""COMPUTED_VALUE"""),"YASH PHARMA (DERMA)")</f>
        <v>YASH PHARMA (DERMA)</v>
      </c>
    </row>
    <row r="3203">
      <c r="H3203" s="25" t="str">
        <f>IFERROR(__xludf.DUMMYFUNCTION("""COMPUTED_VALUE"""),"YASH PHARMA LAB")</f>
        <v>YASH PHARMA LAB</v>
      </c>
    </row>
    <row r="3204">
      <c r="H3204" s="25" t="str">
        <f>IFERROR(__xludf.DUMMYFUNCTION("""COMPUTED_VALUE"""),"YASODAKHYAA REMEDIES")</f>
        <v>YASODAKHYAA REMEDIES</v>
      </c>
    </row>
    <row r="3205">
      <c r="H3205" s="25" t="str">
        <f>IFERROR(__xludf.DUMMYFUNCTION("""COMPUTED_VALUE"""),"YGEIA HEALTH PVT LTD")</f>
        <v>YGEIA HEALTH PVT LTD</v>
      </c>
    </row>
    <row r="3206">
      <c r="H3206" s="25" t="str">
        <f>IFERROR(__xludf.DUMMYFUNCTION("""COMPUTED_VALUE"""),"YOGEE HERBAL INDIA")</f>
        <v>YOGEE HERBAL INDIA</v>
      </c>
    </row>
    <row r="3207">
      <c r="H3207" s="25" t="str">
        <f>IFERROR(__xludf.DUMMYFUNCTION("""COMPUTED_VALUE"""),"YOGI AYURVEDIC PRODUCTS LTD")</f>
        <v>YOGI AYURVEDIC PRODUCTS LTD</v>
      </c>
    </row>
    <row r="3208">
      <c r="H3208" s="25" t="str">
        <f>IFERROR(__xludf.DUMMYFUNCTION("""COMPUTED_VALUE"""),"YOGI HERBALS")</f>
        <v>YOGI HERBALS</v>
      </c>
    </row>
    <row r="3209">
      <c r="H3209" s="25" t="str">
        <f>IFERROR(__xludf.DUMMYFUNCTION("""COMPUTED_VALUE"""),"YOURS PHARMA DISTRIBUTERS PVT LTD")</f>
        <v>YOURS PHARMA DISTRIBUTERS PVT LTD</v>
      </c>
    </row>
    <row r="3210">
      <c r="H3210" s="25" t="str">
        <f>IFERROR(__xludf.DUMMYFUNCTION("""COMPUTED_VALUE"""),"YUDERMA LABORATORIE")</f>
        <v>YUDERMA LABORATORIE</v>
      </c>
    </row>
    <row r="3211">
      <c r="H3211" s="25" t="str">
        <f>IFERROR(__xludf.DUMMYFUNCTION("""COMPUTED_VALUE"""),"YUZDERM PHARMACEUTICALS")</f>
        <v>YUZDERM PHARMACEUTICALS</v>
      </c>
    </row>
    <row r="3212">
      <c r="H3212" s="25" t="str">
        <f>IFERROR(__xludf.DUMMYFUNCTION("""COMPUTED_VALUE"""),"ZADINE RUMBS LIMITED")</f>
        <v>ZADINE RUMBS LIMITED</v>
      </c>
    </row>
    <row r="3213">
      <c r="H3213" s="25" t="str">
        <f>IFERROR(__xludf.DUMMYFUNCTION("""COMPUTED_VALUE"""),"Zandu Pharmaceutical Works Ltd")</f>
        <v>Zandu Pharmaceutical Works Ltd</v>
      </c>
    </row>
    <row r="3214">
      <c r="H3214" s="25" t="str">
        <f>IFERROR(__xludf.DUMMYFUNCTION("""COMPUTED_VALUE"""),"ZEDIP FORMULATIONS")</f>
        <v>ZEDIP FORMULATIONS</v>
      </c>
    </row>
    <row r="3215">
      <c r="H3215" s="25" t="str">
        <f>IFERROR(__xludf.DUMMYFUNCTION("""COMPUTED_VALUE"""),"ZEDON PHARMA")</f>
        <v>ZEDON PHARMA</v>
      </c>
    </row>
    <row r="3216">
      <c r="H3216" s="25" t="str">
        <f>IFERROR(__xludf.DUMMYFUNCTION("""COMPUTED_VALUE"""),"ZEE LABORATORIES LTD")</f>
        <v>ZEE LABORATORIES LTD</v>
      </c>
    </row>
    <row r="3217">
      <c r="H3217" s="25" t="str">
        <f>IFERROR(__xludf.DUMMYFUNCTION("""COMPUTED_VALUE"""),"ZEE LABORATORIES LTD (ELWIN)")</f>
        <v>ZEE LABORATORIES LTD (ELWIN)</v>
      </c>
    </row>
    <row r="3218">
      <c r="H3218" s="25" t="str">
        <f>IFERROR(__xludf.DUMMYFUNCTION("""COMPUTED_VALUE"""),"ZEE LABORATORIS")</f>
        <v>ZEE LABORATORIS</v>
      </c>
    </row>
    <row r="3219">
      <c r="H3219" s="25" t="str">
        <f>IFERROR(__xludf.DUMMYFUNCTION("""COMPUTED_VALUE"""),"ZEE PHARMA")</f>
        <v>ZEE PHARMA</v>
      </c>
    </row>
    <row r="3220">
      <c r="H3220" s="25" t="str">
        <f>IFERROR(__xludf.DUMMYFUNCTION("""COMPUTED_VALUE"""),"ZELKOVA LIFESCIENCES PVT LTD")</f>
        <v>ZELKOVA LIFESCIENCES PVT LTD</v>
      </c>
    </row>
    <row r="3221">
      <c r="H3221" s="25" t="str">
        <f>IFERROR(__xludf.DUMMYFUNCTION("""COMPUTED_VALUE"""),"ZELLEVEN PHARMA PVT LTD")</f>
        <v>ZELLEVEN PHARMA PVT LTD</v>
      </c>
    </row>
    <row r="3222">
      <c r="H3222" s="25" t="str">
        <f>IFERROR(__xludf.DUMMYFUNCTION("""COMPUTED_VALUE"""),"ZEN LABS")</f>
        <v>ZEN LABS</v>
      </c>
    </row>
    <row r="3223">
      <c r="H3223" s="25" t="str">
        <f>IFERROR(__xludf.DUMMYFUNCTION("""COMPUTED_VALUE"""),"ZEN PHARMACEUTICALS")</f>
        <v>ZEN PHARMACEUTICALS</v>
      </c>
    </row>
    <row r="3224">
      <c r="H3224" s="25" t="str">
        <f>IFERROR(__xludf.DUMMYFUNCTION("""COMPUTED_VALUE"""),"Zenacts Pharma P Ltd")</f>
        <v>Zenacts Pharma P Ltd</v>
      </c>
    </row>
    <row r="3225">
      <c r="H3225" s="25" t="str">
        <f>IFERROR(__xludf.DUMMYFUNCTION("""COMPUTED_VALUE"""),"ZENCUS PHARMA")</f>
        <v>ZENCUS PHARMA</v>
      </c>
    </row>
    <row r="3226">
      <c r="H3226" s="25" t="str">
        <f>IFERROR(__xludf.DUMMYFUNCTION("""COMPUTED_VALUE"""),"ZENEX HEALTHCARE")</f>
        <v>ZENEX HEALTHCARE</v>
      </c>
    </row>
    <row r="3227">
      <c r="H3227" s="25" t="str">
        <f>IFERROR(__xludf.DUMMYFUNCTION("""COMPUTED_VALUE"""),"ZENITH DRUGS")</f>
        <v>ZENITH DRUGS</v>
      </c>
    </row>
    <row r="3228">
      <c r="H3228" s="25" t="str">
        <f>IFERROR(__xludf.DUMMYFUNCTION("""COMPUTED_VALUE"""),"Zenith Healthcare Ltd")</f>
        <v>Zenith Healthcare Ltd</v>
      </c>
    </row>
    <row r="3229">
      <c r="H3229" s="25" t="str">
        <f>IFERROR(__xludf.DUMMYFUNCTION("""COMPUTED_VALUE"""),"ZENLABS (GENERIC)")</f>
        <v>ZENLABS (GENERIC)</v>
      </c>
    </row>
    <row r="3230">
      <c r="H3230" s="25" t="str">
        <f>IFERROR(__xludf.DUMMYFUNCTION("""COMPUTED_VALUE"""),"ZENLABS ETHICA LTD")</f>
        <v>ZENLABS ETHICA LTD</v>
      </c>
    </row>
    <row r="3231">
      <c r="H3231" s="25" t="str">
        <f>IFERROR(__xludf.DUMMYFUNCTION("""COMPUTED_VALUE"""),"ZENOBIC LIFE SCIENCES (ZENOBIC)")</f>
        <v>ZENOBIC LIFE SCIENCES (ZENOBIC)</v>
      </c>
    </row>
    <row r="3232">
      <c r="H3232" s="25" t="str">
        <f>IFERROR(__xludf.DUMMYFUNCTION("""COMPUTED_VALUE"""),"ZENON HEALTHCARE LTD")</f>
        <v>ZENON HEALTHCARE LTD</v>
      </c>
    </row>
    <row r="3233">
      <c r="H3233" s="25" t="str">
        <f>IFERROR(__xludf.DUMMYFUNCTION("""COMPUTED_VALUE"""),"ZENONA LIFESCIENCES PVT LTD")</f>
        <v>ZENONA LIFESCIENCES PVT LTD</v>
      </c>
    </row>
    <row r="3234">
      <c r="H3234" s="25" t="str">
        <f>IFERROR(__xludf.DUMMYFUNCTION("""COMPUTED_VALUE"""),"ZENOTECH LOBORATORIES LTD.")</f>
        <v>ZENOTECH LOBORATORIES LTD.</v>
      </c>
    </row>
    <row r="3235">
      <c r="H3235" s="25" t="str">
        <f>IFERROR(__xludf.DUMMYFUNCTION("""COMPUTED_VALUE"""),"ZENOVA BIO NUTRITION")</f>
        <v>ZENOVA BIO NUTRITION</v>
      </c>
    </row>
    <row r="3236">
      <c r="H3236" s="25" t="str">
        <f>IFERROR(__xludf.DUMMYFUNCTION("""COMPUTED_VALUE"""),"ZENSKA LIFE SCIENCE PVT LTD")</f>
        <v>ZENSKA LIFE SCIENCE PVT LTD</v>
      </c>
    </row>
    <row r="3237">
      <c r="H3237" s="25" t="str">
        <f>IFERROR(__xludf.DUMMYFUNCTION("""COMPUTED_VALUE"""),"ZERICO LIFESCIENCE")</f>
        <v>ZERICO LIFESCIENCE</v>
      </c>
    </row>
    <row r="3238">
      <c r="H3238" s="25" t="str">
        <f>IFERROR(__xludf.DUMMYFUNCTION("""COMPUTED_VALUE"""),"ZERICO LIFESCIENCES")</f>
        <v>ZERICO LIFESCIENCES</v>
      </c>
    </row>
    <row r="3239">
      <c r="H3239" s="25" t="str">
        <f>IFERROR(__xludf.DUMMYFUNCTION("""COMPUTED_VALUE"""),"Zest Pharma")</f>
        <v>Zest Pharma</v>
      </c>
    </row>
    <row r="3240">
      <c r="H3240" s="25" t="str">
        <f>IFERROR(__xludf.DUMMYFUNCTION("""COMPUTED_VALUE"""),"ZESTICA PHARMA")</f>
        <v>ZESTICA PHARMA</v>
      </c>
    </row>
    <row r="3241">
      <c r="H3241" s="25" t="str">
        <f>IFERROR(__xludf.DUMMYFUNCTION("""COMPUTED_VALUE"""),"ZETA")</f>
        <v>ZETA</v>
      </c>
    </row>
    <row r="3242">
      <c r="H3242" s="25" t="str">
        <f>IFERROR(__xludf.DUMMYFUNCTION("""COMPUTED_VALUE"""),"ZETACA LIFESCIENCES")</f>
        <v>ZETACA LIFESCIENCES</v>
      </c>
    </row>
    <row r="3243">
      <c r="H3243" s="25" t="str">
        <f>IFERROR(__xludf.DUMMYFUNCTION("""COMPUTED_VALUE"""),"ZEUS DRUG")</f>
        <v>ZEUS DRUG</v>
      </c>
    </row>
    <row r="3244">
      <c r="H3244" s="25" t="str">
        <f>IFERROR(__xludf.DUMMYFUNCTION("""COMPUTED_VALUE"""),"ZEVEN LIFESCIENCES LTD")</f>
        <v>ZEVEN LIFESCIENCES LTD</v>
      </c>
    </row>
    <row r="3245">
      <c r="H3245" s="25" t="str">
        <f>IFERROR(__xludf.DUMMYFUNCTION("""COMPUTED_VALUE"""),"ZICAD LIFE CARE")</f>
        <v>ZICAD LIFE CARE</v>
      </c>
    </row>
    <row r="3246">
      <c r="H3246" s="25" t="str">
        <f>IFERROR(__xludf.DUMMYFUNCTION("""COMPUTED_VALUE"""),"ZIVIRA LABS P LTD")</f>
        <v>ZIVIRA LABS P LTD</v>
      </c>
    </row>
    <row r="3247">
      <c r="H3247" s="25" t="str">
        <f>IFERROR(__xludf.DUMMYFUNCTION("""COMPUTED_VALUE"""),"ZIVOT HEALTHCARE")</f>
        <v>ZIVOT HEALTHCARE</v>
      </c>
    </row>
    <row r="3248">
      <c r="H3248" s="25" t="str">
        <f>IFERROR(__xludf.DUMMYFUNCTION("""COMPUTED_VALUE"""),"ZOETIC AYURVEDICS PVT LTD")</f>
        <v>ZOETIC AYURVEDICS PVT LTD</v>
      </c>
    </row>
    <row r="3249">
      <c r="H3249" s="25" t="str">
        <f>IFERROR(__xludf.DUMMYFUNCTION("""COMPUTED_VALUE"""),"ZORICON PHARMACEUTICALS")</f>
        <v>ZORICON PHARMACEUTICALS</v>
      </c>
    </row>
    <row r="3250">
      <c r="H3250" s="25" t="str">
        <f>IFERROR(__xludf.DUMMYFUNCTION("""COMPUTED_VALUE"""),"ZORILANT PHARMA")</f>
        <v>ZORILANT PHARMA</v>
      </c>
    </row>
    <row r="3251">
      <c r="H3251" s="25" t="str">
        <f>IFERROR(__xludf.DUMMYFUNCTION("""COMPUTED_VALUE"""),"ZOTA HEALTHCARE")</f>
        <v>ZOTA HEALTHCARE</v>
      </c>
    </row>
    <row r="3252">
      <c r="H3252" s="25" t="str">
        <f>IFERROR(__xludf.DUMMYFUNCTION("""COMPUTED_VALUE"""),"Zovaitalia Healthcare Pvt Ltd")</f>
        <v>Zovaitalia Healthcare Pvt Ltd</v>
      </c>
    </row>
    <row r="3253">
      <c r="H3253" s="25" t="str">
        <f>IFERROR(__xludf.DUMMYFUNCTION("""COMPUTED_VALUE"""),"ZUBIT LIFECARE")</f>
        <v>ZUBIT LIFECARE</v>
      </c>
    </row>
    <row r="3254">
      <c r="H3254" s="25" t="str">
        <f>IFERROR(__xludf.DUMMYFUNCTION("""COMPUTED_VALUE"""),"ZURICH HEALTH CARE UJJAIN")</f>
        <v>ZURICH HEALTH CARE UJJAIN</v>
      </c>
    </row>
    <row r="3255">
      <c r="H3255" s="25" t="str">
        <f>IFERROR(__xludf.DUMMYFUNCTION("""COMPUTED_VALUE"""),"ZUVENTUS (GROMAXX)")</f>
        <v>ZUVENTUS (GROMAXX)</v>
      </c>
    </row>
    <row r="3256">
      <c r="H3256" s="25" t="str">
        <f>IFERROR(__xludf.DUMMYFUNCTION("""COMPUTED_VALUE"""),"ZUVENTUS (HEALTHCARE)")</f>
        <v>ZUVENTUS (HEALTHCARE)</v>
      </c>
    </row>
    <row r="3257">
      <c r="H3257" s="25" t="str">
        <f>IFERROR(__xludf.DUMMYFUNCTION("""COMPUTED_VALUE"""),"ZUVENTUS (LASUR)")</f>
        <v>ZUVENTUS (LASUR)</v>
      </c>
    </row>
    <row r="3258">
      <c r="H3258" s="25" t="str">
        <f>IFERROR(__xludf.DUMMYFUNCTION("""COMPUTED_VALUE"""),"ZUVENTUS (ODENEA)")</f>
        <v>ZUVENTUS (ODENEA)</v>
      </c>
    </row>
    <row r="3259">
      <c r="H3259" s="25" t="str">
        <f>IFERROR(__xludf.DUMMYFUNCTION("""COMPUTED_VALUE"""),"ZUVENTUS (ONCO)")</f>
        <v>ZUVENTUS (ONCO)</v>
      </c>
    </row>
    <row r="3260">
      <c r="H3260" s="25" t="str">
        <f>IFERROR(__xludf.DUMMYFUNCTION("""COMPUTED_VALUE"""),"Zuventus Healthcare Ltd")</f>
        <v>Zuventus Healthcare Ltd</v>
      </c>
    </row>
    <row r="3261">
      <c r="H3261" s="25" t="str">
        <f>IFERROR(__xludf.DUMMYFUNCTION("""COMPUTED_VALUE"""),"Zuventus Healthcare Ltd (SPECIALITY)")</f>
        <v>Zuventus Healthcare Ltd (SPECIALITY)</v>
      </c>
    </row>
    <row r="3262">
      <c r="H3262" s="25" t="str">
        <f>IFERROR(__xludf.DUMMYFUNCTION("""COMPUTED_VALUE"""),"ZUVIUS LIFE SCIENSE PVT LTD")</f>
        <v>ZUVIUS LIFE SCIENSE PVT LTD</v>
      </c>
    </row>
    <row r="3263">
      <c r="H3263" s="25" t="str">
        <f>IFERROR(__xludf.DUMMYFUNCTION("""COMPUTED_VALUE"""),"ZYCARE PHARMACEUTICALS")</f>
        <v>ZYCARE PHARMACEUTICALS</v>
      </c>
    </row>
    <row r="3264">
      <c r="H3264" s="25" t="str">
        <f>IFERROR(__xludf.DUMMYFUNCTION("""COMPUTED_VALUE"""),"ZYDAR PHARMACEUTICALS P LTD")</f>
        <v>ZYDAR PHARMACEUTICALS P LTD</v>
      </c>
    </row>
    <row r="3265">
      <c r="H3265" s="25" t="str">
        <f>IFERROR(__xludf.DUMMYFUNCTION("""COMPUTED_VALUE"""),"ZYDUS (ALIDAC)")</f>
        <v>ZYDUS (ALIDAC)</v>
      </c>
    </row>
    <row r="3266">
      <c r="H3266" s="25" t="str">
        <f>IFERROR(__xludf.DUMMYFUNCTION("""COMPUTED_VALUE"""),"ZYDUS (CADILA)")</f>
        <v>ZYDUS (CADILA)</v>
      </c>
    </row>
    <row r="3267">
      <c r="H3267" s="25" t="str">
        <f>IFERROR(__xludf.DUMMYFUNCTION("""COMPUTED_VALUE"""),"ZYDUS (CARDIVA)")</f>
        <v>ZYDUS (CARDIVA)</v>
      </c>
    </row>
    <row r="3268">
      <c r="H3268" s="25" t="str">
        <f>IFERROR(__xludf.DUMMYFUNCTION("""COMPUTED_VALUE"""),"ZYDUS (CND)")</f>
        <v>ZYDUS (CND)</v>
      </c>
    </row>
    <row r="3269">
      <c r="H3269" s="25" t="str">
        <f>IFERROR(__xludf.DUMMYFUNCTION("""COMPUTED_VALUE"""),"ZYDUS (CORZA)")</f>
        <v>ZYDUS (CORZA)</v>
      </c>
    </row>
    <row r="3270">
      <c r="H3270" s="25" t="str">
        <f>IFERROR(__xludf.DUMMYFUNCTION("""COMPUTED_VALUE"""),"ZYDUS (DISCOVERY)")</f>
        <v>ZYDUS (DISCOVERY)</v>
      </c>
    </row>
    <row r="3271">
      <c r="H3271" s="25" t="str">
        <f>IFERROR(__xludf.DUMMYFUNCTION("""COMPUTED_VALUE"""),"ZYDUS (FORTIZA)")</f>
        <v>ZYDUS (FORTIZA)</v>
      </c>
    </row>
    <row r="3272">
      <c r="H3272" s="25" t="str">
        <f>IFERROR(__xludf.DUMMYFUNCTION("""COMPUTED_VALUE"""),"ZYDUS (GEO)")</f>
        <v>ZYDUS (GEO)</v>
      </c>
    </row>
    <row r="3273">
      <c r="H3273" s="25" t="str">
        <f>IFERROR(__xludf.DUMMYFUNCTION("""COMPUTED_VALUE"""),"ZYDUS (HEPTIZA)")</f>
        <v>ZYDUS (HEPTIZA)</v>
      </c>
    </row>
    <row r="3274">
      <c r="H3274" s="25" t="str">
        <f>IFERROR(__xludf.DUMMYFUNCTION("""COMPUTED_VALUE"""),"ZYDUS (MEDICA)")</f>
        <v>ZYDUS (MEDICA)</v>
      </c>
    </row>
    <row r="3275">
      <c r="H3275" s="25" t="str">
        <f>IFERROR(__xludf.DUMMYFUNCTION("""COMPUTED_VALUE"""),"ZYDUS (NEPHRO 1)")</f>
        <v>ZYDUS (NEPHRO 1)</v>
      </c>
    </row>
    <row r="3276">
      <c r="H3276" s="25" t="str">
        <f>IFERROR(__xludf.DUMMYFUNCTION("""COMPUTED_VALUE"""),"ZYDUS (NEPHRO TRANSPLANT)")</f>
        <v>ZYDUS (NEPHRO TRANSPLANT)</v>
      </c>
    </row>
    <row r="3277">
      <c r="H3277" s="25" t="str">
        <f>IFERROR(__xludf.DUMMYFUNCTION("""COMPUTED_VALUE"""),"ZYDUS (NEUROSCIENCES)")</f>
        <v>ZYDUS (NEUROSCIENCES)</v>
      </c>
    </row>
    <row r="3278">
      <c r="H3278" s="25" t="str">
        <f>IFERROR(__xludf.DUMMYFUNCTION("""COMPUTED_VALUE"""),"ZYDUS (NUTRIVA)")</f>
        <v>ZYDUS (NUTRIVA)</v>
      </c>
    </row>
    <row r="3279">
      <c r="H3279" s="25" t="str">
        <f>IFERROR(__xludf.DUMMYFUNCTION("""COMPUTED_VALUE"""),"ZYDUS (OCCURE)")</f>
        <v>ZYDUS (OCCURE)</v>
      </c>
    </row>
    <row r="3280">
      <c r="H3280" s="25" t="str">
        <f>IFERROR(__xludf.DUMMYFUNCTION("""COMPUTED_VALUE"""),"ZYDUS (ONCOSCIENCES)")</f>
        <v>ZYDUS (ONCOSCIENCES)</v>
      </c>
    </row>
    <row r="3281">
      <c r="H3281" s="25" t="str">
        <f>IFERROR(__xludf.DUMMYFUNCTION("""COMPUTED_VALUE"""),"ZYDUS (OSTIVIA)")</f>
        <v>ZYDUS (OSTIVIA)</v>
      </c>
    </row>
    <row r="3282">
      <c r="H3282" s="25" t="str">
        <f>IFERROR(__xludf.DUMMYFUNCTION("""COMPUTED_VALUE"""),"ZYDUS (SYNOVIA)")</f>
        <v>ZYDUS (SYNOVIA)</v>
      </c>
    </row>
    <row r="3283">
      <c r="H3283" s="25" t="str">
        <f>IFERROR(__xludf.DUMMYFUNCTION("""COMPUTED_VALUE"""),"ZYDUS (UROSCIENCES)")</f>
        <v>ZYDUS (UROSCIENCES)</v>
      </c>
    </row>
    <row r="3284">
      <c r="H3284" s="25" t="str">
        <f>IFERROR(__xludf.DUMMYFUNCTION("""COMPUTED_VALUE"""),"ZYDUS ANIMAL HEALTHCARE LIMITED")</f>
        <v>ZYDUS ANIMAL HEALTHCARE LIMITED</v>
      </c>
    </row>
    <row r="3285">
      <c r="H3285" s="25" t="str">
        <f>IFERROR(__xludf.DUMMYFUNCTION("""COMPUTED_VALUE"""),"Zydus Cadila Healthcare")</f>
        <v>Zydus Cadila Healthcare</v>
      </c>
    </row>
    <row r="3286">
      <c r="H3286" s="25" t="str">
        <f>IFERROR(__xludf.DUMMYFUNCTION("""COMPUTED_VALUE"""),"ZYDUS WELLNESS LIMITED")</f>
        <v>ZYDUS WELLNESS LIMITED</v>
      </c>
    </row>
    <row r="3287">
      <c r="H3287" s="25" t="str">
        <f>IFERROR(__xludf.DUMMYFUNCTION("""COMPUTED_VALUE"""),"ZYLIG LIFESCIENCES")</f>
        <v>ZYLIG LIFESCIENCES</v>
      </c>
    </row>
    <row r="3288">
      <c r="H3288" s="25" t="str">
        <f>IFERROR(__xludf.DUMMYFUNCTION("""COMPUTED_VALUE"""),"ZYMES BIOSCIENCE PVT LTD")</f>
        <v>ZYMES BIOSCIENCE PVT LTD</v>
      </c>
    </row>
    <row r="3289">
      <c r="H3289" s="25" t="str">
        <f>IFERROR(__xludf.DUMMYFUNCTION("""COMPUTED_VALUE"""),"ZYNEXT PHARMA")</f>
        <v>ZYNEXT PHARMA</v>
      </c>
    </row>
    <row r="3290">
      <c r="H3290" s="25" t="str">
        <f>IFERROR(__xludf.DUMMYFUNCTION("""COMPUTED_VALUE"""),"ZYPHAR'S PHARMACEUTIC'S PVT LT")</f>
        <v>ZYPHAR'S PHARMACEUTIC'S PVT LT</v>
      </c>
    </row>
    <row r="3291">
      <c r="H3291" s="25"/>
    </row>
    <row r="3292">
      <c r="H3292" s="25"/>
    </row>
    <row r="3293">
      <c r="H3293" s="25"/>
    </row>
    <row r="3294">
      <c r="H3294" s="25"/>
    </row>
    <row r="3295">
      <c r="H3295" s="25"/>
    </row>
    <row r="3296">
      <c r="H3296" s="25"/>
    </row>
    <row r="3297">
      <c r="H3297" s="25"/>
    </row>
    <row r="3298">
      <c r="H3298" s="25"/>
    </row>
    <row r="3299">
      <c r="H3299" s="25"/>
    </row>
    <row r="3300">
      <c r="H3300" s="25"/>
    </row>
    <row r="3301">
      <c r="H3301" s="25"/>
    </row>
    <row r="3302">
      <c r="H3302" s="25"/>
    </row>
    <row r="3303">
      <c r="H3303" s="25"/>
    </row>
    <row r="3304">
      <c r="H3304" s="25"/>
    </row>
    <row r="3305">
      <c r="H3305" s="25"/>
    </row>
    <row r="3306">
      <c r="H3306" s="25"/>
    </row>
    <row r="3307">
      <c r="H3307" s="25"/>
    </row>
    <row r="3308">
      <c r="H3308" s="25"/>
    </row>
    <row r="3309">
      <c r="H3309" s="25"/>
    </row>
    <row r="3310">
      <c r="H3310" s="25"/>
    </row>
    <row r="3311">
      <c r="H3311" s="25"/>
    </row>
    <row r="3312">
      <c r="H3312" s="25"/>
    </row>
    <row r="3313">
      <c r="H3313" s="25"/>
    </row>
    <row r="3314">
      <c r="H3314" s="25"/>
    </row>
    <row r="3315">
      <c r="H3315" s="25"/>
    </row>
    <row r="3316">
      <c r="H3316" s="25"/>
    </row>
    <row r="3317">
      <c r="H3317" s="25"/>
    </row>
    <row r="3318">
      <c r="H3318" s="25"/>
    </row>
    <row r="3319">
      <c r="H3319" s="25"/>
    </row>
    <row r="3320">
      <c r="H3320" s="25"/>
    </row>
    <row r="3321">
      <c r="H3321" s="25"/>
    </row>
    <row r="3322">
      <c r="H3322" s="25"/>
    </row>
    <row r="3323">
      <c r="H3323" s="25"/>
    </row>
    <row r="3324">
      <c r="H3324" s="25"/>
    </row>
    <row r="3325">
      <c r="H3325" s="25"/>
    </row>
    <row r="3326">
      <c r="H3326" s="25"/>
    </row>
    <row r="3327">
      <c r="H3327" s="25"/>
    </row>
    <row r="3328">
      <c r="H3328" s="25"/>
    </row>
    <row r="3329">
      <c r="H3329" s="25"/>
    </row>
    <row r="3330">
      <c r="H3330" s="25"/>
    </row>
    <row r="3331">
      <c r="H3331" s="25"/>
    </row>
    <row r="3332">
      <c r="H3332" s="25"/>
    </row>
    <row r="3333">
      <c r="H3333" s="25"/>
    </row>
    <row r="3334">
      <c r="H3334" s="25"/>
    </row>
    <row r="3335">
      <c r="H3335" s="25"/>
    </row>
    <row r="3336">
      <c r="H3336" s="25"/>
    </row>
    <row r="3337">
      <c r="H3337" s="25"/>
    </row>
    <row r="3338">
      <c r="H3338" s="25"/>
    </row>
    <row r="3339">
      <c r="H3339" s="25"/>
    </row>
    <row r="3340">
      <c r="H3340" s="25"/>
    </row>
    <row r="3341">
      <c r="H3341" s="25"/>
    </row>
    <row r="3342">
      <c r="H3342" s="25"/>
    </row>
    <row r="3343">
      <c r="H3343" s="25"/>
    </row>
    <row r="3344">
      <c r="H3344" s="25"/>
    </row>
    <row r="3345">
      <c r="H3345" s="25"/>
    </row>
    <row r="3346">
      <c r="H3346" s="25"/>
    </row>
    <row r="3347">
      <c r="H3347" s="25"/>
    </row>
    <row r="3348">
      <c r="H3348" s="25"/>
    </row>
    <row r="3349">
      <c r="H3349" s="25"/>
    </row>
    <row r="3350">
      <c r="H3350" s="25"/>
    </row>
    <row r="3351">
      <c r="H3351" s="25"/>
    </row>
    <row r="3352">
      <c r="H3352" s="25"/>
    </row>
    <row r="3353">
      <c r="H3353" s="25"/>
    </row>
    <row r="3354">
      <c r="H3354" s="25"/>
    </row>
    <row r="3355">
      <c r="H3355" s="25"/>
    </row>
    <row r="3356">
      <c r="H3356" s="25"/>
    </row>
    <row r="3357">
      <c r="H3357" s="25"/>
    </row>
    <row r="3358">
      <c r="H3358" s="25"/>
    </row>
    <row r="3359">
      <c r="H3359" s="25"/>
    </row>
    <row r="3360">
      <c r="H3360" s="25"/>
    </row>
    <row r="3361">
      <c r="H3361" s="25"/>
    </row>
    <row r="3362">
      <c r="H3362" s="25"/>
    </row>
    <row r="3363">
      <c r="H3363" s="25"/>
    </row>
    <row r="3364">
      <c r="H3364" s="25"/>
    </row>
    <row r="3365">
      <c r="H3365" s="25"/>
    </row>
    <row r="3366">
      <c r="H3366" s="25"/>
    </row>
    <row r="3367">
      <c r="H3367" s="25"/>
    </row>
    <row r="3368">
      <c r="H3368" s="25"/>
    </row>
    <row r="3369">
      <c r="H3369" s="25"/>
    </row>
    <row r="3370">
      <c r="H3370" s="25"/>
    </row>
    <row r="3371">
      <c r="H3371" s="25"/>
    </row>
    <row r="3372">
      <c r="H3372" s="25"/>
    </row>
    <row r="3373">
      <c r="H3373" s="25"/>
    </row>
    <row r="3374">
      <c r="H3374" s="25"/>
    </row>
    <row r="3375">
      <c r="H3375" s="25"/>
    </row>
    <row r="3376">
      <c r="H3376" s="25"/>
    </row>
    <row r="3377">
      <c r="H3377" s="25"/>
    </row>
    <row r="3378">
      <c r="H3378" s="25"/>
    </row>
    <row r="3379">
      <c r="H3379" s="25"/>
    </row>
    <row r="3380">
      <c r="H3380" s="25"/>
    </row>
    <row r="3381">
      <c r="H3381" s="25"/>
    </row>
    <row r="3382">
      <c r="H3382" s="25"/>
    </row>
    <row r="3383">
      <c r="H3383" s="25"/>
    </row>
    <row r="3384">
      <c r="H3384" s="25"/>
    </row>
    <row r="3385">
      <c r="H3385" s="25"/>
    </row>
    <row r="3386">
      <c r="H3386" s="25"/>
    </row>
    <row r="3387">
      <c r="H3387" s="25"/>
    </row>
    <row r="3388">
      <c r="H3388" s="25"/>
    </row>
    <row r="3389">
      <c r="H3389" s="25"/>
    </row>
    <row r="3390">
      <c r="H3390" s="25"/>
    </row>
    <row r="3391">
      <c r="H3391" s="25"/>
    </row>
    <row r="3392">
      <c r="H3392" s="25"/>
    </row>
    <row r="3393">
      <c r="H3393" s="25"/>
    </row>
    <row r="3394">
      <c r="H3394" s="25"/>
    </row>
    <row r="3395">
      <c r="H3395" s="25"/>
    </row>
    <row r="3396">
      <c r="H3396" s="25"/>
    </row>
    <row r="3397">
      <c r="H3397" s="25"/>
    </row>
    <row r="3398">
      <c r="H3398" s="25"/>
    </row>
    <row r="3399">
      <c r="H3399" s="25"/>
    </row>
    <row r="3400">
      <c r="H3400" s="25"/>
    </row>
    <row r="3401">
      <c r="H3401" s="25"/>
    </row>
    <row r="3402">
      <c r="H3402" s="25"/>
    </row>
    <row r="3403">
      <c r="H3403" s="25"/>
    </row>
    <row r="3404">
      <c r="H3404" s="25"/>
    </row>
    <row r="3405">
      <c r="H3405" s="25"/>
    </row>
    <row r="3406">
      <c r="H3406" s="25"/>
    </row>
    <row r="3407">
      <c r="H3407" s="25"/>
    </row>
    <row r="3408">
      <c r="H3408" s="25"/>
    </row>
    <row r="3409">
      <c r="H3409" s="25"/>
    </row>
    <row r="3410">
      <c r="H3410" s="25"/>
    </row>
    <row r="3411">
      <c r="H3411" s="25"/>
    </row>
    <row r="3412">
      <c r="H3412" s="25"/>
    </row>
    <row r="3413">
      <c r="H3413" s="25"/>
    </row>
    <row r="3414">
      <c r="H3414" s="25"/>
    </row>
    <row r="3415">
      <c r="H3415" s="25"/>
    </row>
    <row r="3416">
      <c r="H3416" s="25"/>
    </row>
    <row r="3417">
      <c r="H3417" s="25"/>
    </row>
    <row r="3418">
      <c r="H3418" s="25"/>
    </row>
    <row r="3419">
      <c r="H3419" s="25"/>
    </row>
    <row r="3420">
      <c r="H3420" s="25"/>
    </row>
    <row r="3421">
      <c r="H3421" s="25"/>
    </row>
    <row r="3422">
      <c r="H3422" s="25"/>
    </row>
    <row r="3423">
      <c r="H3423" s="25"/>
    </row>
    <row r="3424">
      <c r="H3424" s="25"/>
    </row>
    <row r="3425">
      <c r="H3425" s="25"/>
    </row>
    <row r="3426">
      <c r="H3426" s="25"/>
    </row>
    <row r="3427">
      <c r="H3427" s="25"/>
    </row>
    <row r="3428">
      <c r="H3428" s="25"/>
    </row>
    <row r="3429">
      <c r="H3429" s="25"/>
    </row>
    <row r="3430">
      <c r="H3430" s="25"/>
    </row>
    <row r="3431">
      <c r="H3431" s="25"/>
    </row>
    <row r="3432">
      <c r="H3432" s="25"/>
    </row>
    <row r="3433">
      <c r="H3433" s="25"/>
    </row>
    <row r="3434">
      <c r="H3434" s="25"/>
    </row>
    <row r="3435">
      <c r="H3435" s="25"/>
    </row>
    <row r="3436">
      <c r="H3436" s="25"/>
    </row>
    <row r="3437">
      <c r="H3437" s="25"/>
    </row>
    <row r="3438">
      <c r="H3438" s="25"/>
    </row>
    <row r="3439">
      <c r="H3439" s="25"/>
    </row>
    <row r="3440">
      <c r="H3440" s="25"/>
    </row>
    <row r="3441">
      <c r="H3441" s="25"/>
    </row>
    <row r="3442">
      <c r="H3442" s="25"/>
    </row>
    <row r="3443">
      <c r="H3443" s="25"/>
    </row>
    <row r="3444">
      <c r="H3444" s="25"/>
    </row>
    <row r="3445">
      <c r="H3445" s="25"/>
    </row>
    <row r="3446">
      <c r="H3446" s="25"/>
    </row>
    <row r="3447">
      <c r="H3447" s="25"/>
    </row>
    <row r="3448">
      <c r="H3448" s="25"/>
    </row>
    <row r="3449">
      <c r="H3449" s="25"/>
    </row>
    <row r="3450">
      <c r="H3450" s="25"/>
    </row>
    <row r="3451">
      <c r="H3451" s="25"/>
    </row>
    <row r="3452">
      <c r="H3452" s="25"/>
    </row>
    <row r="3453">
      <c r="H3453" s="25"/>
    </row>
    <row r="3454">
      <c r="H3454" s="25"/>
    </row>
    <row r="3455">
      <c r="H3455" s="25"/>
    </row>
    <row r="3456">
      <c r="H3456" s="25"/>
    </row>
    <row r="3457">
      <c r="H3457" s="25"/>
    </row>
    <row r="3458">
      <c r="H3458" s="25"/>
    </row>
    <row r="3459">
      <c r="H3459" s="25"/>
    </row>
    <row r="3460">
      <c r="H3460" s="25"/>
    </row>
    <row r="3461">
      <c r="H3461" s="25"/>
    </row>
    <row r="3462">
      <c r="H3462" s="25"/>
    </row>
    <row r="3463">
      <c r="H3463" s="25"/>
    </row>
    <row r="3464">
      <c r="H3464" s="25"/>
    </row>
    <row r="3465">
      <c r="H3465" s="25"/>
    </row>
    <row r="3466">
      <c r="H3466" s="25"/>
    </row>
    <row r="3467">
      <c r="H3467" s="25"/>
    </row>
    <row r="3468">
      <c r="H3468" s="25"/>
    </row>
    <row r="3469">
      <c r="H3469" s="25"/>
    </row>
    <row r="3470">
      <c r="H3470" s="25"/>
    </row>
    <row r="3471">
      <c r="H3471" s="25"/>
    </row>
    <row r="3472">
      <c r="H3472" s="25"/>
    </row>
    <row r="3473">
      <c r="H3473" s="25"/>
    </row>
    <row r="3474">
      <c r="H3474" s="25"/>
    </row>
    <row r="3475">
      <c r="H3475" s="25"/>
    </row>
    <row r="3476">
      <c r="H3476" s="25"/>
    </row>
    <row r="3477">
      <c r="H3477" s="25"/>
    </row>
    <row r="3478">
      <c r="H3478" s="25"/>
    </row>
    <row r="3479">
      <c r="H3479" s="25"/>
    </row>
    <row r="3480">
      <c r="H3480" s="25"/>
    </row>
    <row r="3481">
      <c r="H3481" s="25"/>
    </row>
    <row r="3482">
      <c r="H3482" s="25"/>
    </row>
    <row r="3483">
      <c r="H3483" s="25"/>
    </row>
    <row r="3484">
      <c r="H3484" s="25"/>
    </row>
    <row r="3485">
      <c r="H3485" s="25"/>
    </row>
    <row r="3486">
      <c r="H3486" s="25"/>
    </row>
    <row r="3487">
      <c r="H3487" s="25"/>
    </row>
    <row r="3488">
      <c r="H3488" s="25"/>
    </row>
    <row r="3489">
      <c r="H3489" s="25"/>
    </row>
    <row r="3490">
      <c r="H3490" s="25"/>
    </row>
    <row r="3491">
      <c r="H3491" s="25"/>
    </row>
    <row r="3492">
      <c r="H3492" s="25"/>
    </row>
    <row r="3493">
      <c r="H3493" s="25"/>
    </row>
    <row r="3494">
      <c r="H3494" s="25"/>
    </row>
    <row r="3495">
      <c r="H3495" s="25"/>
    </row>
    <row r="3496">
      <c r="H3496" s="25"/>
    </row>
    <row r="3497">
      <c r="H3497" s="25"/>
    </row>
    <row r="3498">
      <c r="H3498" s="25"/>
    </row>
    <row r="3499">
      <c r="H3499" s="25"/>
    </row>
    <row r="3500">
      <c r="H3500" s="25"/>
    </row>
    <row r="3501">
      <c r="H3501" s="25"/>
    </row>
    <row r="3502">
      <c r="H3502" s="25"/>
    </row>
    <row r="3503">
      <c r="H3503" s="25"/>
    </row>
    <row r="3504">
      <c r="H3504" s="25"/>
    </row>
    <row r="3505">
      <c r="H3505" s="25"/>
    </row>
    <row r="3506">
      <c r="H3506" s="25"/>
    </row>
    <row r="3507">
      <c r="H3507" s="25"/>
    </row>
    <row r="3508">
      <c r="H3508" s="25"/>
    </row>
    <row r="3509">
      <c r="H3509" s="25"/>
    </row>
    <row r="3510">
      <c r="H3510" s="25"/>
    </row>
    <row r="3511">
      <c r="H3511" s="25"/>
    </row>
    <row r="3512">
      <c r="H3512" s="25"/>
    </row>
    <row r="3513">
      <c r="H3513" s="25"/>
    </row>
    <row r="3514">
      <c r="H3514" s="25"/>
    </row>
    <row r="3515">
      <c r="H3515" s="25"/>
    </row>
    <row r="3516">
      <c r="H3516" s="25"/>
    </row>
    <row r="3517">
      <c r="H3517" s="25"/>
    </row>
    <row r="3518">
      <c r="H3518" s="25"/>
    </row>
    <row r="3519">
      <c r="H3519" s="25"/>
    </row>
    <row r="3520">
      <c r="H3520" s="25"/>
    </row>
    <row r="3521">
      <c r="H3521" s="25"/>
    </row>
    <row r="3522">
      <c r="H3522" s="25"/>
    </row>
    <row r="3523">
      <c r="H3523" s="25"/>
    </row>
    <row r="3524">
      <c r="H3524" s="25"/>
    </row>
    <row r="3525">
      <c r="H3525" s="25"/>
    </row>
    <row r="3526">
      <c r="H3526" s="25"/>
    </row>
    <row r="3527">
      <c r="H3527" s="25"/>
    </row>
    <row r="3528">
      <c r="H3528" s="25"/>
    </row>
    <row r="3529">
      <c r="H3529" s="25"/>
    </row>
    <row r="3530">
      <c r="H3530" s="25"/>
    </row>
    <row r="3531">
      <c r="H3531" s="25"/>
    </row>
    <row r="3532">
      <c r="H3532" s="25"/>
    </row>
    <row r="3533">
      <c r="H3533" s="25"/>
    </row>
    <row r="3534">
      <c r="H3534" s="25"/>
    </row>
    <row r="3535">
      <c r="H3535" s="25"/>
    </row>
    <row r="3536">
      <c r="H3536" s="25"/>
    </row>
    <row r="3537">
      <c r="H3537" s="25"/>
    </row>
    <row r="3538">
      <c r="H3538" s="25"/>
    </row>
    <row r="3539">
      <c r="H3539" s="25"/>
    </row>
    <row r="3540">
      <c r="H3540" s="25"/>
    </row>
    <row r="3541">
      <c r="H3541" s="25"/>
    </row>
    <row r="3542">
      <c r="H3542" s="25"/>
    </row>
    <row r="3543">
      <c r="H3543" s="25"/>
    </row>
    <row r="3544">
      <c r="H3544" s="25"/>
    </row>
    <row r="3545">
      <c r="H3545" s="25"/>
    </row>
    <row r="3546">
      <c r="H3546" s="25"/>
    </row>
    <row r="3547">
      <c r="H3547" s="25"/>
    </row>
    <row r="3548">
      <c r="H3548" s="25"/>
    </row>
    <row r="3549">
      <c r="H3549" s="25"/>
    </row>
    <row r="3550">
      <c r="H3550" s="25"/>
    </row>
    <row r="3551">
      <c r="H3551" s="25"/>
    </row>
    <row r="3552">
      <c r="H3552" s="25"/>
    </row>
    <row r="3553">
      <c r="H3553" s="25"/>
    </row>
    <row r="3554">
      <c r="H3554" s="25"/>
    </row>
    <row r="3555">
      <c r="H3555" s="25"/>
    </row>
    <row r="3556">
      <c r="H3556" s="25"/>
    </row>
    <row r="3557">
      <c r="H3557" s="25"/>
    </row>
    <row r="3558">
      <c r="H3558" s="25"/>
    </row>
    <row r="3559">
      <c r="H3559" s="25"/>
    </row>
    <row r="3560">
      <c r="H3560" s="25"/>
    </row>
    <row r="3561">
      <c r="H3561" s="25"/>
    </row>
    <row r="3562">
      <c r="H3562" s="25"/>
    </row>
    <row r="3563">
      <c r="H3563" s="25"/>
    </row>
    <row r="3564">
      <c r="H3564" s="25"/>
    </row>
    <row r="3565">
      <c r="H3565" s="25"/>
    </row>
    <row r="3566">
      <c r="H3566" s="25"/>
    </row>
    <row r="3567">
      <c r="H3567" s="25"/>
    </row>
    <row r="3568">
      <c r="H3568" s="25"/>
    </row>
    <row r="3569">
      <c r="H3569" s="25"/>
    </row>
    <row r="3570">
      <c r="H3570" s="25"/>
    </row>
    <row r="3571">
      <c r="H3571" s="25"/>
    </row>
    <row r="3572">
      <c r="H3572" s="25"/>
    </row>
    <row r="3573">
      <c r="H3573" s="25"/>
    </row>
    <row r="3574">
      <c r="H3574" s="25"/>
    </row>
    <row r="3575">
      <c r="H3575" s="25"/>
    </row>
    <row r="3576">
      <c r="H3576" s="25"/>
    </row>
    <row r="3577">
      <c r="H3577" s="25"/>
    </row>
    <row r="3578">
      <c r="H3578" s="25"/>
    </row>
    <row r="3579">
      <c r="H3579" s="25"/>
    </row>
    <row r="3580">
      <c r="H3580" s="25"/>
    </row>
    <row r="3581">
      <c r="H3581" s="25"/>
    </row>
    <row r="3582">
      <c r="H3582" s="25"/>
    </row>
    <row r="3583">
      <c r="H3583" s="25"/>
    </row>
    <row r="3584">
      <c r="H3584" s="25"/>
    </row>
    <row r="3585">
      <c r="H3585" s="25"/>
    </row>
    <row r="3586">
      <c r="H3586" s="25"/>
    </row>
    <row r="3587">
      <c r="H3587" s="25"/>
    </row>
    <row r="3588">
      <c r="H3588" s="25"/>
    </row>
    <row r="3589">
      <c r="H3589" s="25"/>
    </row>
    <row r="3590">
      <c r="H3590" s="25"/>
    </row>
    <row r="3591">
      <c r="H3591" s="25"/>
    </row>
    <row r="3592">
      <c r="H3592" s="25"/>
    </row>
    <row r="3593">
      <c r="H3593" s="25"/>
    </row>
    <row r="3594">
      <c r="H3594" s="25"/>
    </row>
    <row r="3595">
      <c r="H3595" s="25"/>
    </row>
    <row r="3596">
      <c r="H3596" s="25"/>
    </row>
    <row r="3597">
      <c r="H3597" s="25"/>
    </row>
    <row r="3598">
      <c r="H3598" s="25"/>
    </row>
    <row r="3599">
      <c r="H3599" s="25"/>
    </row>
    <row r="3600">
      <c r="H3600" s="25"/>
    </row>
    <row r="3601">
      <c r="H3601" s="25"/>
    </row>
    <row r="3602">
      <c r="H3602" s="25"/>
    </row>
    <row r="3603">
      <c r="H3603" s="25"/>
    </row>
    <row r="3604">
      <c r="H3604" s="25"/>
    </row>
    <row r="3605">
      <c r="H3605" s="25"/>
    </row>
    <row r="3606">
      <c r="H3606" s="25"/>
    </row>
    <row r="3607">
      <c r="H3607" s="25"/>
    </row>
    <row r="3608">
      <c r="H3608" s="25"/>
    </row>
    <row r="3609">
      <c r="H3609" s="25"/>
    </row>
    <row r="3610">
      <c r="H3610" s="25"/>
    </row>
    <row r="3611">
      <c r="H3611" s="25"/>
    </row>
    <row r="3612">
      <c r="H3612" s="25"/>
    </row>
    <row r="3613">
      <c r="H3613" s="25"/>
    </row>
    <row r="3614">
      <c r="H3614" s="25"/>
    </row>
    <row r="3615">
      <c r="H3615" s="25"/>
    </row>
    <row r="3616">
      <c r="H3616" s="25"/>
    </row>
    <row r="3617">
      <c r="H3617" s="25"/>
    </row>
    <row r="3618">
      <c r="H3618" s="25"/>
    </row>
    <row r="3619">
      <c r="H3619" s="25"/>
    </row>
    <row r="3620">
      <c r="H3620" s="25"/>
    </row>
    <row r="3621">
      <c r="H3621" s="25"/>
    </row>
    <row r="3622">
      <c r="H3622" s="25"/>
    </row>
    <row r="3623">
      <c r="H3623" s="25"/>
    </row>
    <row r="3624">
      <c r="H3624" s="25"/>
    </row>
    <row r="3625">
      <c r="H3625" s="25"/>
    </row>
    <row r="3626">
      <c r="H3626" s="25"/>
    </row>
    <row r="3627">
      <c r="H3627" s="25"/>
    </row>
    <row r="3628">
      <c r="H3628" s="25"/>
    </row>
    <row r="3629">
      <c r="H3629" s="25"/>
    </row>
    <row r="3630">
      <c r="H3630" s="25"/>
    </row>
    <row r="3631">
      <c r="H3631" s="25"/>
    </row>
    <row r="3632">
      <c r="H3632" s="25"/>
    </row>
    <row r="3633">
      <c r="H3633" s="25"/>
    </row>
    <row r="3634">
      <c r="H3634" s="25"/>
    </row>
    <row r="3635">
      <c r="H3635" s="25"/>
    </row>
    <row r="3636">
      <c r="H3636" s="25"/>
    </row>
    <row r="3637">
      <c r="H3637" s="25"/>
    </row>
    <row r="3638">
      <c r="H3638" s="25"/>
    </row>
    <row r="3639">
      <c r="H3639" s="25"/>
    </row>
    <row r="3640">
      <c r="H3640" s="25"/>
    </row>
    <row r="3641">
      <c r="H3641" s="25"/>
    </row>
    <row r="3642">
      <c r="H3642" s="25"/>
    </row>
    <row r="3643">
      <c r="H3643" s="25"/>
    </row>
    <row r="3644">
      <c r="H3644" s="25"/>
    </row>
    <row r="3645">
      <c r="H3645" s="25"/>
    </row>
    <row r="3646">
      <c r="H3646" s="25"/>
    </row>
    <row r="3647">
      <c r="H3647" s="25"/>
    </row>
    <row r="3648">
      <c r="H3648" s="25"/>
    </row>
    <row r="3649">
      <c r="H3649" s="25"/>
    </row>
    <row r="3650">
      <c r="H3650" s="25"/>
    </row>
    <row r="3651">
      <c r="H3651" s="25"/>
    </row>
    <row r="3652">
      <c r="H3652" s="25"/>
    </row>
    <row r="3653">
      <c r="H3653" s="25"/>
    </row>
    <row r="3654">
      <c r="H3654" s="25"/>
    </row>
    <row r="3655">
      <c r="H3655" s="25"/>
    </row>
    <row r="3656">
      <c r="H3656" s="25"/>
    </row>
    <row r="3657">
      <c r="H3657" s="25"/>
    </row>
    <row r="3658">
      <c r="H3658" s="25"/>
    </row>
    <row r="3659">
      <c r="H3659" s="25"/>
    </row>
    <row r="3660">
      <c r="H3660" s="25"/>
    </row>
    <row r="3661">
      <c r="H3661" s="25"/>
    </row>
    <row r="3662">
      <c r="H3662" s="25"/>
    </row>
    <row r="3663">
      <c r="H3663" s="25"/>
    </row>
    <row r="3664">
      <c r="H3664" s="25"/>
    </row>
    <row r="3665">
      <c r="H3665" s="25"/>
    </row>
    <row r="3666">
      <c r="H3666" s="25"/>
    </row>
    <row r="3667">
      <c r="H3667" s="25"/>
    </row>
    <row r="3668">
      <c r="H3668" s="25"/>
    </row>
    <row r="3669">
      <c r="H3669" s="25"/>
    </row>
    <row r="3670">
      <c r="H3670" s="25"/>
    </row>
    <row r="3671">
      <c r="H3671" s="25"/>
    </row>
    <row r="3672">
      <c r="H3672" s="25"/>
    </row>
    <row r="3673">
      <c r="H3673" s="25"/>
    </row>
    <row r="3674">
      <c r="H3674" s="25"/>
    </row>
    <row r="3675">
      <c r="H3675" s="25"/>
    </row>
    <row r="3676">
      <c r="H3676" s="25"/>
    </row>
    <row r="3677">
      <c r="H3677" s="25"/>
    </row>
    <row r="3678">
      <c r="H3678" s="25"/>
    </row>
    <row r="3679">
      <c r="H3679" s="25"/>
    </row>
    <row r="3680">
      <c r="H3680" s="25"/>
    </row>
    <row r="3681">
      <c r="H3681" s="25"/>
    </row>
    <row r="3682">
      <c r="H3682" s="25"/>
    </row>
    <row r="3683">
      <c r="H3683" s="25"/>
    </row>
    <row r="3684">
      <c r="H3684" s="25"/>
    </row>
    <row r="3685">
      <c r="H3685" s="25"/>
    </row>
    <row r="3686">
      <c r="H3686" s="25"/>
    </row>
    <row r="3687">
      <c r="H3687" s="25"/>
    </row>
    <row r="3688">
      <c r="H3688" s="25"/>
    </row>
    <row r="3689">
      <c r="H3689" s="25"/>
    </row>
    <row r="3690">
      <c r="H3690" s="25"/>
    </row>
    <row r="3691">
      <c r="H3691" s="25"/>
    </row>
    <row r="3692">
      <c r="H3692" s="25"/>
    </row>
    <row r="3693">
      <c r="H3693" s="25"/>
    </row>
    <row r="3694">
      <c r="H3694" s="25"/>
    </row>
    <row r="3695">
      <c r="H3695" s="25"/>
    </row>
    <row r="3696">
      <c r="H3696" s="25"/>
    </row>
    <row r="3697">
      <c r="H3697" s="25"/>
    </row>
    <row r="3698">
      <c r="H3698" s="25"/>
    </row>
    <row r="3699">
      <c r="H3699" s="25"/>
    </row>
    <row r="3700">
      <c r="H3700" s="25"/>
    </row>
    <row r="3701">
      <c r="H3701" s="25"/>
    </row>
    <row r="3702">
      <c r="H3702" s="25"/>
    </row>
    <row r="3703">
      <c r="H3703" s="25"/>
    </row>
    <row r="3704">
      <c r="H3704" s="25"/>
    </row>
    <row r="3705">
      <c r="H3705" s="25"/>
    </row>
    <row r="3706">
      <c r="H3706" s="25"/>
    </row>
    <row r="3707">
      <c r="H3707" s="25"/>
    </row>
    <row r="3708">
      <c r="H3708" s="25"/>
    </row>
    <row r="3709">
      <c r="H3709" s="25"/>
    </row>
    <row r="3710">
      <c r="H3710" s="25"/>
    </row>
    <row r="3711">
      <c r="H3711" s="25"/>
    </row>
    <row r="3712">
      <c r="H3712" s="25"/>
    </row>
    <row r="3713">
      <c r="H3713" s="25"/>
    </row>
    <row r="3714">
      <c r="H3714" s="25"/>
    </row>
    <row r="3715">
      <c r="H3715" s="25"/>
    </row>
    <row r="3716">
      <c r="H3716" s="25"/>
    </row>
    <row r="3717">
      <c r="H3717" s="25"/>
    </row>
    <row r="3718">
      <c r="H3718" s="25"/>
    </row>
    <row r="3719">
      <c r="H3719" s="25"/>
    </row>
    <row r="3720">
      <c r="H3720" s="25"/>
    </row>
    <row r="3721">
      <c r="H3721" s="25"/>
    </row>
    <row r="3722">
      <c r="H3722" s="25"/>
    </row>
    <row r="3723">
      <c r="H3723" s="25"/>
    </row>
    <row r="3724">
      <c r="H3724" s="25"/>
    </row>
    <row r="3725">
      <c r="H3725" s="25"/>
    </row>
    <row r="3726">
      <c r="H3726" s="25"/>
    </row>
    <row r="3727">
      <c r="H3727" s="25"/>
    </row>
    <row r="3728">
      <c r="H3728" s="25"/>
    </row>
    <row r="3729">
      <c r="H3729" s="25"/>
    </row>
    <row r="3730">
      <c r="H3730" s="25"/>
    </row>
    <row r="3731">
      <c r="H3731" s="25"/>
    </row>
    <row r="3732">
      <c r="H3732" s="25"/>
    </row>
    <row r="3733">
      <c r="H3733" s="25"/>
    </row>
    <row r="3734">
      <c r="H3734" s="25"/>
    </row>
    <row r="3735">
      <c r="H3735" s="25"/>
    </row>
    <row r="3736">
      <c r="H3736" s="25"/>
    </row>
    <row r="3737">
      <c r="H3737" s="25"/>
    </row>
    <row r="3738">
      <c r="H3738" s="25"/>
    </row>
    <row r="3739">
      <c r="H3739" s="25"/>
    </row>
    <row r="3740">
      <c r="H3740" s="25"/>
    </row>
    <row r="3741">
      <c r="H3741" s="25"/>
    </row>
    <row r="3742">
      <c r="H3742" s="25"/>
    </row>
    <row r="3743">
      <c r="H3743" s="25"/>
    </row>
    <row r="3744">
      <c r="H3744" s="25"/>
    </row>
    <row r="3745">
      <c r="H3745" s="25"/>
    </row>
    <row r="3746">
      <c r="H3746" s="25"/>
    </row>
    <row r="3747">
      <c r="H3747" s="25"/>
    </row>
    <row r="3748">
      <c r="H3748" s="25"/>
    </row>
    <row r="3749">
      <c r="H3749" s="25"/>
    </row>
    <row r="3750">
      <c r="H3750" s="25"/>
    </row>
    <row r="3751">
      <c r="H3751" s="25"/>
    </row>
    <row r="3752">
      <c r="H3752" s="25"/>
    </row>
    <row r="3753">
      <c r="H3753" s="25"/>
    </row>
    <row r="3754">
      <c r="H3754" s="25"/>
    </row>
    <row r="3755">
      <c r="H3755" s="25"/>
    </row>
    <row r="3756">
      <c r="H3756" s="25"/>
    </row>
    <row r="3757">
      <c r="H3757" s="25"/>
    </row>
    <row r="3758">
      <c r="H3758" s="25"/>
    </row>
    <row r="3759">
      <c r="H3759" s="25"/>
    </row>
    <row r="3760">
      <c r="H3760" s="25"/>
    </row>
    <row r="3761">
      <c r="H3761" s="25"/>
    </row>
    <row r="3762">
      <c r="H3762" s="25"/>
    </row>
    <row r="3763">
      <c r="H3763" s="25"/>
    </row>
    <row r="3764">
      <c r="H3764" s="25"/>
    </row>
    <row r="3765">
      <c r="H3765" s="25"/>
    </row>
    <row r="3766">
      <c r="H3766" s="25"/>
    </row>
    <row r="3767">
      <c r="H3767" s="25"/>
    </row>
    <row r="3768">
      <c r="H3768" s="25"/>
    </row>
    <row r="3769">
      <c r="H3769" s="25"/>
    </row>
    <row r="3770">
      <c r="H3770" s="25"/>
    </row>
    <row r="3771">
      <c r="H3771" s="25"/>
    </row>
    <row r="3772">
      <c r="H3772" s="25"/>
    </row>
    <row r="3773">
      <c r="H3773" s="25"/>
    </row>
    <row r="3774">
      <c r="H3774" s="25"/>
    </row>
    <row r="3775">
      <c r="H3775" s="25"/>
    </row>
    <row r="3776">
      <c r="H3776" s="25"/>
    </row>
    <row r="3777">
      <c r="H3777" s="25"/>
    </row>
    <row r="3778">
      <c r="H3778" s="25"/>
    </row>
    <row r="3779">
      <c r="H3779" s="25"/>
    </row>
    <row r="3780">
      <c r="H3780" s="25"/>
    </row>
    <row r="3781">
      <c r="H3781" s="25"/>
    </row>
    <row r="3782">
      <c r="H3782" s="25"/>
    </row>
    <row r="3783">
      <c r="H3783" s="25"/>
    </row>
    <row r="3784">
      <c r="H3784" s="25"/>
    </row>
    <row r="3785">
      <c r="H3785" s="25"/>
    </row>
    <row r="3786">
      <c r="H3786" s="25"/>
    </row>
    <row r="3787">
      <c r="H3787" s="25"/>
    </row>
    <row r="3788">
      <c r="H3788" s="25"/>
    </row>
    <row r="3789">
      <c r="H3789" s="25"/>
    </row>
    <row r="3790">
      <c r="H3790" s="25"/>
    </row>
  </sheetData>
  <dataValidations>
    <dataValidation type="list" allowBlank="1" sqref="C2:C203">
      <formula1>$H:$H</formula1>
    </dataValidation>
  </dataValidations>
  <drawing r:id="rId1"/>
</worksheet>
</file>