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k File" sheetId="1" r:id="rId4"/>
    <sheet state="visible" name="Company Validation" sheetId="2" r:id="rId5"/>
    <sheet state="visible" name="MARG ERP 9+ Excel Report" sheetId="3" r:id="rId6"/>
  </sheets>
  <definedNames>
    <definedName hidden="1" localSheetId="1" name="_xlnm._FilterDatabase">'Company Validation'!$A$1:$X$3682</definedName>
  </definedNames>
  <calcPr/>
  <extLst>
    <ext uri="GoogleSheetsCustomDataVersion1">
      <go:sheetsCustomData xmlns:go="http://customooxmlschemas.google.com/" r:id="rId7" roundtripDataSignature="AMtx7mg72mbEFANUGQIH3SglMZNJgyoMcg=="/>
    </ext>
  </extLst>
</workbook>
</file>

<file path=xl/sharedStrings.xml><?xml version="1.0" encoding="utf-8"?>
<sst xmlns="http://schemas.openxmlformats.org/spreadsheetml/2006/main" count="6028" uniqueCount="2001">
  <si>
    <t>Product Name</t>
  </si>
  <si>
    <t>Company Name</t>
  </si>
  <si>
    <t>Drug Name</t>
  </si>
  <si>
    <t>Form</t>
  </si>
  <si>
    <t>Pack ize</t>
  </si>
  <si>
    <t>Packing Type</t>
  </si>
  <si>
    <t>MRP</t>
  </si>
  <si>
    <t>Schedule</t>
  </si>
  <si>
    <t>Rate</t>
  </si>
  <si>
    <t>CREMAFFIN PLUS 225ML</t>
  </si>
  <si>
    <t>Abbott India Ltd</t>
  </si>
  <si>
    <t>225ML</t>
  </si>
  <si>
    <t>DUPHASTON TAB</t>
  </si>
  <si>
    <t>10</t>
  </si>
  <si>
    <t>FACILIN TUBE</t>
  </si>
  <si>
    <t>20GM</t>
  </si>
  <si>
    <t>PANKREOFLAT HD</t>
  </si>
  <si>
    <t xml:space="preserve">10 </t>
  </si>
  <si>
    <t>TELPRES 80 H TAB</t>
  </si>
  <si>
    <t>TELPRES H 40</t>
  </si>
  <si>
    <t>THYRONORM 100MG</t>
  </si>
  <si>
    <t xml:space="preserve">100 </t>
  </si>
  <si>
    <t>THYRONORM 12.5MG TAB</t>
  </si>
  <si>
    <t>50</t>
  </si>
  <si>
    <t>VITAMIN A</t>
  </si>
  <si>
    <t>LOTEL LS DROP</t>
  </si>
  <si>
    <t>Ajanta Pharma Ltd</t>
  </si>
  <si>
    <t>5ML</t>
  </si>
  <si>
    <t>POLYNASE OINTMENT</t>
  </si>
  <si>
    <t>5GM</t>
  </si>
  <si>
    <t>DELTON CAP</t>
  </si>
  <si>
    <t>Alembic Pharmaceuticals Ltd</t>
  </si>
  <si>
    <t>GESTOFIT 300SR</t>
  </si>
  <si>
    <t>TETAN 40MG</t>
  </si>
  <si>
    <t>15</t>
  </si>
  <si>
    <t>TETAN CT 12.5TAB</t>
  </si>
  <si>
    <t>WIKORYL SUSP</t>
  </si>
  <si>
    <t>60ML</t>
  </si>
  <si>
    <t>A TO Z NS DROPS</t>
  </si>
  <si>
    <t>Alkem Laboratories Ltd</t>
  </si>
  <si>
    <t>15ML</t>
  </si>
  <si>
    <t>A TO Z NS GOLD</t>
  </si>
  <si>
    <t>A TO Z NS GOLD TAB</t>
  </si>
  <si>
    <t>A TO Z SYP B 200ML</t>
  </si>
  <si>
    <t>CLAVAM 1.2GM INJ</t>
  </si>
  <si>
    <t>CLAVAM 375MG TABS</t>
  </si>
  <si>
    <t>CLAVAM 625MG TAB</t>
  </si>
  <si>
    <t>CLAVAM BID SYRUP</t>
  </si>
  <si>
    <t>30ML</t>
  </si>
  <si>
    <t>CLAVAM DRY SYRUP</t>
  </si>
  <si>
    <t>ENZOFLAM TAB</t>
  </si>
  <si>
    <t>GEMCAL CAP</t>
  </si>
  <si>
    <t>GEMCAL PLUS CAP</t>
  </si>
  <si>
    <t>GEMCAL XT CAP</t>
  </si>
  <si>
    <t>ONDEM MD 4 TAB</t>
  </si>
  <si>
    <t>PAN 20MG TABS</t>
  </si>
  <si>
    <t>PAN 40MG TAB</t>
  </si>
  <si>
    <t>PAN D CAP</t>
  </si>
  <si>
    <t>SUMO L 120MG SYP</t>
  </si>
  <si>
    <t>SUMO TAB</t>
  </si>
  <si>
    <t>SUMO L 250MG DS SUSP</t>
  </si>
  <si>
    <t>SUMOCOLD DROPS</t>
  </si>
  <si>
    <t>10ML</t>
  </si>
  <si>
    <t>SUMOCOLD TABS</t>
  </si>
  <si>
    <t>SWICH 100 SYP</t>
  </si>
  <si>
    <t>SWICH 50 SYRUP</t>
  </si>
  <si>
    <t>SWICH DROPS</t>
  </si>
  <si>
    <t>TAXIM 125MG INJ</t>
  </si>
  <si>
    <t>VIAL</t>
  </si>
  <si>
    <t>TAXIM 1GM INJ</t>
  </si>
  <si>
    <t>TAXIM 500MG INJ</t>
  </si>
  <si>
    <t>TAXIM O 100DT</t>
  </si>
  <si>
    <t>TAXIM O 200 TABS</t>
  </si>
  <si>
    <t>TAXIM O DRY SYRUP B</t>
  </si>
  <si>
    <t>TAXIM O PEAD DROPS</t>
  </si>
  <si>
    <t>TERBICIP CREAM</t>
  </si>
  <si>
    <t>10GM</t>
  </si>
  <si>
    <t>TRUMP D SYP</t>
  </si>
  <si>
    <t>100ML</t>
  </si>
  <si>
    <t>UPRISE D3 60K CAPS</t>
  </si>
  <si>
    <t>8</t>
  </si>
  <si>
    <t>8X SHAMPOO 100ML</t>
  </si>
  <si>
    <t>Aristo Pharmaceuticals Pvt Ltd</t>
  </si>
  <si>
    <t>AMBRODIL S SYP</t>
  </si>
  <si>
    <t>AMLOSAFE MT 50</t>
  </si>
  <si>
    <t>AMLOSAFE TM 40MG</t>
  </si>
  <si>
    <t>AMLOSAFE TM 40MG TAB</t>
  </si>
  <si>
    <t>BROZEDEX LS DROP</t>
  </si>
  <si>
    <t>MEGA CV FORTE DRY SYP</t>
  </si>
  <si>
    <t>PANTOP 40 TAB</t>
  </si>
  <si>
    <t>SMUTH L SYP</t>
  </si>
  <si>
    <t>150ML</t>
  </si>
  <si>
    <t>SMUTH SUSPENSION MI</t>
  </si>
  <si>
    <t>200ML</t>
  </si>
  <si>
    <t>SMUTH SYP</t>
  </si>
  <si>
    <t>TELVAS 3D</t>
  </si>
  <si>
    <t>GLUCOBAY 25 TAB</t>
  </si>
  <si>
    <t>Bayer Pharmaceuticals Pvt Ltd</t>
  </si>
  <si>
    <t>ACIVIR 200DT TAB 10</t>
  </si>
  <si>
    <t>Cipla Ltd</t>
  </si>
  <si>
    <t>ACIVIR 400DT 5</t>
  </si>
  <si>
    <t>5</t>
  </si>
  <si>
    <t>ACIVIR CREAM B 10GMS</t>
  </si>
  <si>
    <t>ACIVIR EYE OINT 5GM</t>
  </si>
  <si>
    <t>ACNEDAP PLUS GEL 15GM</t>
  </si>
  <si>
    <t>15GM</t>
  </si>
  <si>
    <t>ADDTEARS DROPS 10ML</t>
  </si>
  <si>
    <t>ADVENTY DRY SYP</t>
  </si>
  <si>
    <t>AMLOPRES 10 MG TAB</t>
  </si>
  <si>
    <t>AMLOPRES 2.5MG TABS 15</t>
  </si>
  <si>
    <t>AMLOPRES 5MG TABS 30</t>
  </si>
  <si>
    <t>30</t>
  </si>
  <si>
    <t>AMLOPRES AT 25 TABS</t>
  </si>
  <si>
    <t>AMLOPRES AT ECO PACK</t>
  </si>
  <si>
    <t>AMLOPRES AT TABS 15</t>
  </si>
  <si>
    <t>ASTHALIN 4MG TABS 30 TAB</t>
  </si>
  <si>
    <t>ASTHALIN RESPULES 2.5ML</t>
  </si>
  <si>
    <t>2.5ML</t>
  </si>
  <si>
    <t>ASTHALIN RESPULES</t>
  </si>
  <si>
    <t>ATORLIP 10MG TABS 15</t>
  </si>
  <si>
    <t>ATORLIP 20MG TAB</t>
  </si>
  <si>
    <t>ATORLIP 40MG TAB</t>
  </si>
  <si>
    <t>ATORLIP 80 MG</t>
  </si>
  <si>
    <t>7</t>
  </si>
  <si>
    <t>AZEE 250 TAB 6</t>
  </si>
  <si>
    <t>6</t>
  </si>
  <si>
    <t>AZEE 500 TAB</t>
  </si>
  <si>
    <t>BUDECORT 0.5 RESPULES 2ML</t>
  </si>
  <si>
    <t>2ML</t>
  </si>
  <si>
    <t>BUDECORT 0.5MG RESPULES</t>
  </si>
  <si>
    <t>BUDECORT 200 INHELER</t>
  </si>
  <si>
    <t>200</t>
  </si>
  <si>
    <t>BUDECORT 200 ROTOCAP 30</t>
  </si>
  <si>
    <t>BUDECORT 400 ROTOCAP 30</t>
  </si>
  <si>
    <t>BUDENASE AQ 200MD</t>
  </si>
  <si>
    <t>BUDESAL 0.5 RESPULES 2.5ML</t>
  </si>
  <si>
    <t>BUDESAL 0.5MG RESPULES</t>
  </si>
  <si>
    <t>CALUTIDE 50MG TABS</t>
  </si>
  <si>
    <t>CIPLACTIN TABS</t>
  </si>
  <si>
    <t>CIPLAR 10MG TABS</t>
  </si>
  <si>
    <t>CIPLAR 40MG TABS</t>
  </si>
  <si>
    <t>CIPLAR LA 40 TABS</t>
  </si>
  <si>
    <t>CIPLOX 250MG TABS</t>
  </si>
  <si>
    <t>CIPLOX 500MG TABS</t>
  </si>
  <si>
    <t>CIPLOX D DROPS</t>
  </si>
  <si>
    <t>CIPLOX EYE DROP</t>
  </si>
  <si>
    <t>CIPLOX EYE DROPS B</t>
  </si>
  <si>
    <t>CIPLOX TZ TABS</t>
  </si>
  <si>
    <t>CLOPIVAS 75 TAB</t>
  </si>
  <si>
    <t>CLOPIVAS AP 150 TAB</t>
  </si>
  <si>
    <t>CLOPIVAS AP 75MG</t>
  </si>
  <si>
    <t>CRESAR 20 TABS</t>
  </si>
  <si>
    <t>CRESAR 40 TAB</t>
  </si>
  <si>
    <t>CRESAR 80 TABS</t>
  </si>
  <si>
    <t>CRESAR H TAB</t>
  </si>
  <si>
    <t>DORZOX EYE DROP</t>
  </si>
  <si>
    <t>DORZOX T EYE DROP</t>
  </si>
  <si>
    <t>DUOLIN 3 RESPULES</t>
  </si>
  <si>
    <t>3ML</t>
  </si>
  <si>
    <t>DUOLIN FORTE ROTACAPS</t>
  </si>
  <si>
    <t>DUOLIN INH</t>
  </si>
  <si>
    <t>17GM</t>
  </si>
  <si>
    <t>DUOLIN ROTACAPS B</t>
  </si>
  <si>
    <t>60</t>
  </si>
  <si>
    <t>DUONASE NASAL SPRAY</t>
  </si>
  <si>
    <t>7GM</t>
  </si>
  <si>
    <t>DYTOR 20 TABS</t>
  </si>
  <si>
    <t>DYTOR 5 TAB</t>
  </si>
  <si>
    <t>DYTOR PLUS 10 TABS</t>
  </si>
  <si>
    <t>DYTOR PLUS 20 TAB</t>
  </si>
  <si>
    <t>DYTOR PLUS 5 TABS</t>
  </si>
  <si>
    <t>DYTOR PLUS LS</t>
  </si>
  <si>
    <t>FLOMIST NASAL SPRAY</t>
  </si>
  <si>
    <t>FORACORT 100 INHELER</t>
  </si>
  <si>
    <t>120</t>
  </si>
  <si>
    <t>FORACORT 100 ROTOCAPS</t>
  </si>
  <si>
    <t>FORACORT 200 INHALER</t>
  </si>
  <si>
    <t>FORACORT 400 INH</t>
  </si>
  <si>
    <t>FORACORT 400 ROTOCAP</t>
  </si>
  <si>
    <t>FORACORT FORTE INH</t>
  </si>
  <si>
    <t>FORACORT FORTE R C</t>
  </si>
  <si>
    <t>FORCAN 150MG CAPS</t>
  </si>
  <si>
    <t>1</t>
  </si>
  <si>
    <t>FULLFORM 200 R C</t>
  </si>
  <si>
    <t>FULLFORM 400 RC</t>
  </si>
  <si>
    <t>GATIQUIN P EYE DROPS</t>
  </si>
  <si>
    <t>GATIQUINE EYE DROPS</t>
  </si>
  <si>
    <t>GINETTE 35 TABS</t>
  </si>
  <si>
    <t>28</t>
  </si>
  <si>
    <t>IBUGESIC PLUS SYP B</t>
  </si>
  <si>
    <t>IBUGESIC PLUS SYP S</t>
  </si>
  <si>
    <t>IBUGESIC PLUS TABS</t>
  </si>
  <si>
    <t>20</t>
  </si>
  <si>
    <t>ISOTROIN 10MG CAP</t>
  </si>
  <si>
    <t>ISOTROIN 20MG</t>
  </si>
  <si>
    <t>ISOTROIN 20MG CIPLA</t>
  </si>
  <si>
    <t>ISOTROIN 30MG</t>
  </si>
  <si>
    <t>ISOTROIN 5</t>
  </si>
  <si>
    <t>JUNIOR LANZOL 15 TABS</t>
  </si>
  <si>
    <t>LAMETEC 50 DT</t>
  </si>
  <si>
    <t>LEVOLIN .31MG RESP</t>
  </si>
  <si>
    <t>LEVOLIN 0.31MG</t>
  </si>
  <si>
    <t>1ML</t>
  </si>
  <si>
    <t>LEVOLIN 0.63MG</t>
  </si>
  <si>
    <t>LEVOLIN INHALER</t>
  </si>
  <si>
    <t>MAXIFLO 250 R/C</t>
  </si>
  <si>
    <t>METOLAR 50MG TAB</t>
  </si>
  <si>
    <t>METOLAR XR 12.5 CAPS</t>
  </si>
  <si>
    <t>METOLAR XR 25 CAPS</t>
  </si>
  <si>
    <t>METOLAR XR 50 CAPS</t>
  </si>
  <si>
    <t>MONTAIR LC KID TABS</t>
  </si>
  <si>
    <t>MONTAIR LC TABS</t>
  </si>
  <si>
    <t>MOXICIP EYE DROP</t>
  </si>
  <si>
    <t>MOXICIP KT EYE DROPS</t>
  </si>
  <si>
    <t>NADIBACT CREAM 10GMS</t>
  </si>
  <si>
    <t>NADIBACT PLUS CREAM</t>
  </si>
  <si>
    <t>NEW REVOLIZERS</t>
  </si>
  <si>
    <t>NICOTEX 2</t>
  </si>
  <si>
    <t>9</t>
  </si>
  <si>
    <t>NICOTEX 4</t>
  </si>
  <si>
    <t>NINTIB 100 MG</t>
  </si>
  <si>
    <t>NORFLOX 400MG TABS</t>
  </si>
  <si>
    <t>NORFLOX TZ TABS</t>
  </si>
  <si>
    <t>OMNIX 200MG TAB</t>
  </si>
  <si>
    <t>RAMIPRES 2.5MG</t>
  </si>
  <si>
    <t>SEROFLO 100 ROTACAPS</t>
  </si>
  <si>
    <t>SEROFLO 125 INHALER</t>
  </si>
  <si>
    <t>SEROFLO 250 ROTACAPS</t>
  </si>
  <si>
    <t>SEROFLO 250MG INH</t>
  </si>
  <si>
    <t>SEROFLO 250MG SYN INH</t>
  </si>
  <si>
    <t>SEROFLO 50 INHALER</t>
  </si>
  <si>
    <t>SEROFLO 500 ROTOCAP</t>
  </si>
  <si>
    <t>TEROL LA 4 CAPS</t>
  </si>
  <si>
    <t>TIOVA INHALAR</t>
  </si>
  <si>
    <t>TIOVA ROTOCAPS</t>
  </si>
  <si>
    <t>TOPCORT CREAM</t>
  </si>
  <si>
    <t>TRIVEDON MR TABS</t>
  </si>
  <si>
    <t>URIMAX 0.4M CAPS</t>
  </si>
  <si>
    <t>URIMAX 0.4MG CAP</t>
  </si>
  <si>
    <t>URIMAX D TABS</t>
  </si>
  <si>
    <t>VALCIVIR 1000 TABS</t>
  </si>
  <si>
    <t>3</t>
  </si>
  <si>
    <t>WARF 1MG TAB</t>
  </si>
  <si>
    <t>WARF 2 TAB</t>
  </si>
  <si>
    <t>WARF 3 TAB</t>
  </si>
  <si>
    <t>WARF 5MG TABS</t>
  </si>
  <si>
    <t>XGAIN SHAMPOO 100 ML</t>
  </si>
  <si>
    <t>RESPICURE D SYP</t>
  </si>
  <si>
    <t>Corona Remedies Pvt Ltd</t>
  </si>
  <si>
    <t>SEBO RX SOAP</t>
  </si>
  <si>
    <t>COSMODERM INDIA</t>
  </si>
  <si>
    <t>100GM</t>
  </si>
  <si>
    <t>SEBO RX FACE WASH</t>
  </si>
  <si>
    <t>NISE</t>
  </si>
  <si>
    <t>Dr Reddy's Laboratories Ltd</t>
  </si>
  <si>
    <t>TONOFERON PAED SYP</t>
  </si>
  <si>
    <t>East India Pharmaceutical Works Ltd</t>
  </si>
  <si>
    <t>OROFER XT TAB</t>
  </si>
  <si>
    <t>Emcure Pharmaceuticals Ltd</t>
  </si>
  <si>
    <t>ERITEL CH 40</t>
  </si>
  <si>
    <t>Eris Life Sciences Pvt Ltd</t>
  </si>
  <si>
    <t>ERITEL H</t>
  </si>
  <si>
    <t>GLIMISAVE M1 FORTE</t>
  </si>
  <si>
    <t>GLIMISAVE M1 TAB</t>
  </si>
  <si>
    <t>GLIMISAVE M2 TAB</t>
  </si>
  <si>
    <t>REMYLIN D TAB</t>
  </si>
  <si>
    <t>TENDIA M TAB</t>
  </si>
  <si>
    <t>ZAC D PLUS SYP</t>
  </si>
  <si>
    <t>ZAC D TAB</t>
  </si>
  <si>
    <t>ACEMED FACE WASH</t>
  </si>
  <si>
    <t>Ethicare Remedies</t>
  </si>
  <si>
    <t>70ML</t>
  </si>
  <si>
    <t>ETHIGLO FACE WASH</t>
  </si>
  <si>
    <t>70GM</t>
  </si>
  <si>
    <t>ETHIGLO FACEWASH</t>
  </si>
  <si>
    <t>200GM</t>
  </si>
  <si>
    <t>LIPZ CREAM</t>
  </si>
  <si>
    <t>9GM</t>
  </si>
  <si>
    <t>ELECTROL POWD</t>
  </si>
  <si>
    <t>FDC Ltd</t>
  </si>
  <si>
    <t>21.8GM</t>
  </si>
  <si>
    <t>AUGMENTIN 625MG</t>
  </si>
  <si>
    <t>Glaxo SmithKline Pharmaceuticals Ltd</t>
  </si>
  <si>
    <t>AIRTIO PROTOCAP</t>
  </si>
  <si>
    <t>Glenmark Pharmaceuticals Ltd</t>
  </si>
  <si>
    <t>APREZO 30MG</t>
  </si>
  <si>
    <t>ASCORIL LS SYP</t>
  </si>
  <si>
    <t>CANDID TV SHAMPOO</t>
  </si>
  <si>
    <t>75ML</t>
  </si>
  <si>
    <t>CANDID V6 TAB</t>
  </si>
  <si>
    <t>CUTICALM S SOOTHING</t>
  </si>
  <si>
    <t>DERIVA BPO CREAM</t>
  </si>
  <si>
    <t>DERIVA CMS GEL</t>
  </si>
  <si>
    <t>DERIVA MS GEL</t>
  </si>
  <si>
    <t>EPICUTICS CLEAN LOTION</t>
  </si>
  <si>
    <t>EPISOFT AC</t>
  </si>
  <si>
    <t>75GM</t>
  </si>
  <si>
    <t>EPISOFT CLEAN LOTIION</t>
  </si>
  <si>
    <t>125ML</t>
  </si>
  <si>
    <t>HALOVATE CREAM</t>
  </si>
  <si>
    <t>30GM</t>
  </si>
  <si>
    <t>HALOVATE F CREAM</t>
  </si>
  <si>
    <t>HALOVATE OINT</t>
  </si>
  <si>
    <t>KERACOS HAIR LOTION</t>
  </si>
  <si>
    <t>LA SHIELD FISICO GEL</t>
  </si>
  <si>
    <t>50GM</t>
  </si>
  <si>
    <t>LITEGLO FACE WASH</t>
  </si>
  <si>
    <t>MAXRICH CREAM</t>
  </si>
  <si>
    <t>150GM</t>
  </si>
  <si>
    <t>MAXRICH LOTION</t>
  </si>
  <si>
    <t>MILIXIM 200</t>
  </si>
  <si>
    <t>MINYM ER 65MG TAB</t>
  </si>
  <si>
    <t>MODUDERM BODY WASH</t>
  </si>
  <si>
    <t>250ML</t>
  </si>
  <si>
    <t>MODUDERM SOAP</t>
  </si>
  <si>
    <t>92GM</t>
  </si>
  <si>
    <t>MOMATE CREAM</t>
  </si>
  <si>
    <t>MOMATE F CREAM</t>
  </si>
  <si>
    <t>MOMATE OINTMENT 15GM</t>
  </si>
  <si>
    <t>MOMATE XL CREAM</t>
  </si>
  <si>
    <t>40GM</t>
  </si>
  <si>
    <t>ONABET CREAM 15GM</t>
  </si>
  <si>
    <t>ONABET CREAM 30GM</t>
  </si>
  <si>
    <t>ONABET LOTION</t>
  </si>
  <si>
    <t>ONABET SD LOTION</t>
  </si>
  <si>
    <t>PASILOW 100 SOFT GEL</t>
  </si>
  <si>
    <t>PASILOW 100MG</t>
  </si>
  <si>
    <t>PASILOW 50</t>
  </si>
  <si>
    <t>POWERDEW LOTION</t>
  </si>
  <si>
    <t>REVIZE MICRO 0.025%</t>
  </si>
  <si>
    <t>REVIZE MICRO 0.04%</t>
  </si>
  <si>
    <t>SCALPE SHAMPOO</t>
  </si>
  <si>
    <t>SOLEIBAN SUNSCREEN GEL</t>
  </si>
  <si>
    <t>SOLUIBAN AQUA GEL SPF30</t>
  </si>
  <si>
    <t>SYNTRAN 100MG</t>
  </si>
  <si>
    <t>SYNTRAN 200MG</t>
  </si>
  <si>
    <t>SYNTRAN SB 50 MG</t>
  </si>
  <si>
    <t>SYNTRAN SB 50 TAB</t>
  </si>
  <si>
    <t>TELMA 20</t>
  </si>
  <si>
    <t>TELMA 40</t>
  </si>
  <si>
    <t>TEST</t>
  </si>
  <si>
    <t>ACILOC INJ</t>
  </si>
  <si>
    <t>AUGMENTIN DUO SYP</t>
  </si>
  <si>
    <t>AUGMENTIN R 625</t>
  </si>
  <si>
    <t>CROCIN 120 SYP</t>
  </si>
  <si>
    <t>ZENTIL TAB</t>
  </si>
  <si>
    <t>ZODERM E CREAM</t>
  </si>
  <si>
    <t>FOLSAFE L</t>
  </si>
  <si>
    <t>GERMAN REMEDIES (GYNEXT)</t>
  </si>
  <si>
    <t>NATUROGEST GEL 8.0%</t>
  </si>
  <si>
    <t>DERMADEW LITE SOAP</t>
  </si>
  <si>
    <t>H&amp;H (Hegde and Hegde) (Pharmaceutical)</t>
  </si>
  <si>
    <t>ENUFF 100 CAP</t>
  </si>
  <si>
    <t>Hetero Drugs Ltd</t>
  </si>
  <si>
    <t>BONNISAN DROPS</t>
  </si>
  <si>
    <t>Himalaya Drug Company</t>
  </si>
  <si>
    <t>BONNISAN SYP</t>
  </si>
  <si>
    <t>LIV 52 SYP</t>
  </si>
  <si>
    <t>MENTAT TAB</t>
  </si>
  <si>
    <t xml:space="preserve">60 </t>
  </si>
  <si>
    <t>PILEX FORTE OINT</t>
  </si>
  <si>
    <t>PILEX TAB</t>
  </si>
  <si>
    <t>RENALKA SYRUP 100 ML</t>
  </si>
  <si>
    <t>OFLABEND OZ TAB</t>
  </si>
  <si>
    <t>IBLUE (GENERIC)</t>
  </si>
  <si>
    <t>VOVESPAN INJ 1ML</t>
  </si>
  <si>
    <t>EXCELA MAX MOISTURISER</t>
  </si>
  <si>
    <t>Intas Pharmaceuticals Ltd</t>
  </si>
  <si>
    <t>200G</t>
  </si>
  <si>
    <t>EXCELA MOISTURISER</t>
  </si>
  <si>
    <t>ITASPOR</t>
  </si>
  <si>
    <t>ITASPOR 200 CAP</t>
  </si>
  <si>
    <t>ITASPOR 200CAP</t>
  </si>
  <si>
    <t>ITASPOR CAP</t>
  </si>
  <si>
    <t>ITASPOR SB</t>
  </si>
  <si>
    <t>LEVERA 500</t>
  </si>
  <si>
    <t>LIPICURE 10 TAB</t>
  </si>
  <si>
    <t>LIPICURE 20</t>
  </si>
  <si>
    <t>LOMELA 18GM</t>
  </si>
  <si>
    <t>18GM</t>
  </si>
  <si>
    <t>LULIBET CREAM</t>
  </si>
  <si>
    <t>MILDY SHAMPOO</t>
  </si>
  <si>
    <t>MOMESONE 25GM</t>
  </si>
  <si>
    <t>25GM</t>
  </si>
  <si>
    <t>MORR F 10%</t>
  </si>
  <si>
    <t>MORR F 5%</t>
  </si>
  <si>
    <t>NAPRA D 250</t>
  </si>
  <si>
    <t>OLIMELT 10 TAB</t>
  </si>
  <si>
    <t>RABIUM 20 TAB</t>
  </si>
  <si>
    <t>RENIVA M 500</t>
  </si>
  <si>
    <t>RIVELA SUNSCREEN LOTION</t>
  </si>
  <si>
    <t>50ML</t>
  </si>
  <si>
    <t>SARTEL LN</t>
  </si>
  <si>
    <t>SARTEL 20MG</t>
  </si>
  <si>
    <t>SARTEL 40</t>
  </si>
  <si>
    <t>SASLIC DS F/W 1*60ML</t>
  </si>
  <si>
    <t>SASLIC FACE WASH</t>
  </si>
  <si>
    <t>SEBOWASH SHAMPOO</t>
  </si>
  <si>
    <t>TENIVA M FORTE TAB</t>
  </si>
  <si>
    <t>TENIVA M TAB</t>
  </si>
  <si>
    <t>TENIVA TAB</t>
  </si>
  <si>
    <t>TRETIVA 20</t>
  </si>
  <si>
    <t>TRETIVA 30</t>
  </si>
  <si>
    <t>TUGAIN MEN SOLUTION</t>
  </si>
  <si>
    <t>TUGAIN SOLUTION 2%</t>
  </si>
  <si>
    <t>TUGAIN SOLUTION 5%</t>
  </si>
  <si>
    <t>VB7 HAIR TAB</t>
  </si>
  <si>
    <t>X GAIN SHAMPOO</t>
  </si>
  <si>
    <t>ZORYL 1 TAB</t>
  </si>
  <si>
    <t>ZORYL 2 TAB</t>
  </si>
  <si>
    <t>ZORYL 4 TAB</t>
  </si>
  <si>
    <t>ZORYL M 0.5</t>
  </si>
  <si>
    <t>ZORYL M 1 TAB</t>
  </si>
  <si>
    <t>ZORYL M 2 TAB</t>
  </si>
  <si>
    <t>ZORYL M1 FORTE</t>
  </si>
  <si>
    <t>ZORYL M2 FORTE TAB</t>
  </si>
  <si>
    <t>ZORYL M3 FORTE</t>
  </si>
  <si>
    <t>ACCECLOIN PLUS BLISTER</t>
  </si>
  <si>
    <t>INVENTIVE (GENERIC)</t>
  </si>
  <si>
    <t>OFLOIN MZ SUSPENSTION</t>
  </si>
  <si>
    <t>PANTOIN 40 INJ</t>
  </si>
  <si>
    <t>PARAIN 500 TAB</t>
  </si>
  <si>
    <t>RABIN DSR CAP</t>
  </si>
  <si>
    <t>ELTOCIN DS TAB</t>
  </si>
  <si>
    <t>Ipca Laboratories Ltd</t>
  </si>
  <si>
    <t>KERAGLOW A/D SHAMPOO</t>
  </si>
  <si>
    <t>KERAGLOW MEN</t>
  </si>
  <si>
    <t>LARIAGO TAB</t>
  </si>
  <si>
    <t>RX TOR 20MG</t>
  </si>
  <si>
    <t>SOLVIN COLD SYP</t>
  </si>
  <si>
    <t>VALDIFF M 500MG</t>
  </si>
  <si>
    <t>ZERODOL SPAS TAB</t>
  </si>
  <si>
    <t>CTD T 6.25/40</t>
  </si>
  <si>
    <t>CALCHEK 2.5MG</t>
  </si>
  <si>
    <t>CALCHEK 5MG</t>
  </si>
  <si>
    <t>CTD M 6.25/50</t>
  </si>
  <si>
    <t>CTD T 12.5/40 TAB</t>
  </si>
  <si>
    <t>ETOVA ER 600</t>
  </si>
  <si>
    <t>ETOVA ER 400</t>
  </si>
  <si>
    <t>ETOVA MR 400/4MG</t>
  </si>
  <si>
    <t>FOLITRAX 10MG</t>
  </si>
  <si>
    <t>FOLITRAX 15MG TAB</t>
  </si>
  <si>
    <t>FOLITRAX 2.5MG</t>
  </si>
  <si>
    <t>FOLITRAX 20MG</t>
  </si>
  <si>
    <t>4</t>
  </si>
  <si>
    <t>FOLITRAX 25MG</t>
  </si>
  <si>
    <t>FOLITRAX 5MG</t>
  </si>
  <si>
    <t>GLYCINORM M 40MG</t>
  </si>
  <si>
    <t>GLYCINORM M 80MG</t>
  </si>
  <si>
    <t>GLYCINORM TOTAL 30MG</t>
  </si>
  <si>
    <t>HCQS 200MG</t>
  </si>
  <si>
    <t>LEFNO 10</t>
  </si>
  <si>
    <t>LUMERAX 80 TAB</t>
  </si>
  <si>
    <t>PARI CR 12.5</t>
  </si>
  <si>
    <t>PARI CR 25MG</t>
  </si>
  <si>
    <t>REVELOL XL 25</t>
  </si>
  <si>
    <t>REVELOL XL 50</t>
  </si>
  <si>
    <t>REVELOL AM 50/5 TAB</t>
  </si>
  <si>
    <t>RX TOR 10MG</t>
  </si>
  <si>
    <t>RX TOR F 10MG</t>
  </si>
  <si>
    <t>RX TOR F 5MG</t>
  </si>
  <si>
    <t>SAAZ TAB</t>
  </si>
  <si>
    <t>SAAZ DS TAB</t>
  </si>
  <si>
    <t>X TOR 10 MG</t>
  </si>
  <si>
    <t>X TOR 5 MG</t>
  </si>
  <si>
    <t>X TOR F</t>
  </si>
  <si>
    <t>ZERODOL P TAB</t>
  </si>
  <si>
    <t>ZERODOL TAB</t>
  </si>
  <si>
    <t>EXTAND HAIR</t>
  </si>
  <si>
    <t>KLM Laboratories Pvt Ltd</t>
  </si>
  <si>
    <t>EXTEND FORTE TAB</t>
  </si>
  <si>
    <t>KLM KLIN AHA FOAMING GEL</t>
  </si>
  <si>
    <t>KLM KLIN FACE WASH</t>
  </si>
  <si>
    <t>ONITRAZ CAP</t>
  </si>
  <si>
    <t>RESOTEN 20</t>
  </si>
  <si>
    <t>ZYDIP C LOTION</t>
  </si>
  <si>
    <t>ZYDIP LOTION</t>
  </si>
  <si>
    <t>GUDCEF DRY SYP</t>
  </si>
  <si>
    <t>MANKIND (LIFESTAR-1)</t>
  </si>
  <si>
    <t>AMLOVAS M 5/50</t>
  </si>
  <si>
    <t>Macleods Pharmaceuticals Pvt Ltd</t>
  </si>
  <si>
    <t>BIO D3 STRONG TAB</t>
  </si>
  <si>
    <t>MACPOD 100 ORAL SYP</t>
  </si>
  <si>
    <t>REBAGEN TAB</t>
  </si>
  <si>
    <t>TENLIMAC M 500MG</t>
  </si>
  <si>
    <t>DELPHI L SYP</t>
  </si>
  <si>
    <t>Mcastro Pharma</t>
  </si>
  <si>
    <t>DELPHIL L INJ</t>
  </si>
  <si>
    <t>ABIWAY TAB</t>
  </si>
  <si>
    <t>Mankind Pharma Ltd</t>
  </si>
  <si>
    <t>ACNESTAR FACEWASH</t>
  </si>
  <si>
    <t>ACNESTAR SOAP</t>
  </si>
  <si>
    <t>AMLOKIND 2.5 TAB</t>
  </si>
  <si>
    <t>AMLOKIND 5 TAB</t>
  </si>
  <si>
    <t>AMLOKIND AT TAB</t>
  </si>
  <si>
    <t>AMLOKIND H TAB</t>
  </si>
  <si>
    <t>AMLOKIND L TAB</t>
  </si>
  <si>
    <t>AMLOKIND TM TAB</t>
  </si>
  <si>
    <t>ASTHAKIND DX SYP</t>
  </si>
  <si>
    <t>ASTHAKIND EXP SYP</t>
  </si>
  <si>
    <t>ASTHAKIND LS DROP</t>
  </si>
  <si>
    <t>ASTHAKIND LS SYP</t>
  </si>
  <si>
    <t>ASTHAKIND TAB</t>
  </si>
  <si>
    <t>BANDY PLUS SYP</t>
  </si>
  <si>
    <t>BANDY SYP</t>
  </si>
  <si>
    <t>BANDY TAB</t>
  </si>
  <si>
    <t>BIGGABA NT TAB</t>
  </si>
  <si>
    <t>BISOHEART 2.5MG TAB</t>
  </si>
  <si>
    <t>BISOHEART 5MG TAB</t>
  </si>
  <si>
    <t>CALAPURE A LOTION</t>
  </si>
  <si>
    <t>CALDIKIND PLUS CAP</t>
  </si>
  <si>
    <t>CARDIMOL PLUS 10 TAB</t>
  </si>
  <si>
    <t>CEFAKIND 250 TAB</t>
  </si>
  <si>
    <t>CEFAKIND 500 TAB</t>
  </si>
  <si>
    <t>CEFAKIND CV 250 TAB</t>
  </si>
  <si>
    <t>CEFAKIND CV 500 TAB</t>
  </si>
  <si>
    <t>CEFAKIND DRY SYP</t>
  </si>
  <si>
    <t>COLIWIN R CAP</t>
  </si>
  <si>
    <t>DYDROBOON TAB</t>
  </si>
  <si>
    <t>DYNAGLIPT M TAB</t>
  </si>
  <si>
    <t>DYNAGLIPT TAB</t>
  </si>
  <si>
    <t>FERIKIND M SYP</t>
  </si>
  <si>
    <t>170ML</t>
  </si>
  <si>
    <t>FERIKIND M TAB</t>
  </si>
  <si>
    <t>GASTICA DROP</t>
  </si>
  <si>
    <t>GLIMESTAR M1 TAB</t>
  </si>
  <si>
    <t>GLIMESTAR M2 TAB</t>
  </si>
  <si>
    <t>GLIPTAGREAT M1000 TAB</t>
  </si>
  <si>
    <t>GLIPTAGREAT M500 TAB</t>
  </si>
  <si>
    <t>GUDCEF 100 TAB</t>
  </si>
  <si>
    <t>GUDCEF 200 TAB</t>
  </si>
  <si>
    <t>GUDCEF 50 TAB</t>
  </si>
  <si>
    <t>GUDCEF CV 100 SYP</t>
  </si>
  <si>
    <t>GUDCEF CV 100 TAB</t>
  </si>
  <si>
    <t>GUDCEF CV 200 TAB</t>
  </si>
  <si>
    <t>GUDCEF CV DRY SYP</t>
  </si>
  <si>
    <t>GUDCEF DROP</t>
  </si>
  <si>
    <t>GUDCEF PLUS TAB</t>
  </si>
  <si>
    <t>GUT OK CAPSULE</t>
  </si>
  <si>
    <t>HAIRBLESS TAB</t>
  </si>
  <si>
    <t>HEPANEED TAB</t>
  </si>
  <si>
    <t>LECOPE TAB</t>
  </si>
  <si>
    <t>LIPIKIND 10MG TAB</t>
  </si>
  <si>
    <t>LIPIKIND 40MG TAB</t>
  </si>
  <si>
    <t>LIPIKIND 20</t>
  </si>
  <si>
    <t>LOSAKIND 25 MG</t>
  </si>
  <si>
    <t>LOSAKIND 50 MG TAB</t>
  </si>
  <si>
    <t>LOSAKIND H TAB</t>
  </si>
  <si>
    <t>MOXIKIND CV 375MG TAB</t>
  </si>
  <si>
    <t>MOXIKIND CV SYP</t>
  </si>
  <si>
    <t>NITROBACT 100MG</t>
  </si>
  <si>
    <t>NITROLONG 2.6MG TAB</t>
  </si>
  <si>
    <t>25</t>
  </si>
  <si>
    <t>NITROLONG 6.4MG TAB</t>
  </si>
  <si>
    <t>NOBEL COLD TAB</t>
  </si>
  <si>
    <t>NOBEL MD TAB</t>
  </si>
  <si>
    <t>NOBEL SPAS INJ</t>
  </si>
  <si>
    <t>NOBEL SPAS TAB</t>
  </si>
  <si>
    <t>NOBEL TAB</t>
  </si>
  <si>
    <t>NOBLOK AF DROP</t>
  </si>
  <si>
    <t>NOSIKIND 1% DROP</t>
  </si>
  <si>
    <t>NOSIKIND P NASAL DROP</t>
  </si>
  <si>
    <t>NUFORCE 150MG TAB</t>
  </si>
  <si>
    <t>NUFORCE 200MG TAB</t>
  </si>
  <si>
    <t>NUFORCE 400MG TAB</t>
  </si>
  <si>
    <t>NUFORCE 50MG TAB</t>
  </si>
  <si>
    <t>NUFORCE GM</t>
  </si>
  <si>
    <t>NUROKIND DROP</t>
  </si>
  <si>
    <t>NUROKIND FAST STRP</t>
  </si>
  <si>
    <t>NUROKIND FORTE TAB</t>
  </si>
  <si>
    <t>NUROKIND GOLD CAP</t>
  </si>
  <si>
    <t>NUROKIND GOLD INJ</t>
  </si>
  <si>
    <t>NUROKIND INJ</t>
  </si>
  <si>
    <t>NUROKIND OD TAB</t>
  </si>
  <si>
    <t>NUROKIND Z MORE TAB</t>
  </si>
  <si>
    <t>NUROKIND LC TAB</t>
  </si>
  <si>
    <t>OLMETIME 20MG TAB</t>
  </si>
  <si>
    <t>OLMETIME 40MG TAB</t>
  </si>
  <si>
    <t>OTOCIN C EAR DROP</t>
  </si>
  <si>
    <t>PLACIDA TAB</t>
  </si>
  <si>
    <t>RABEKIND 20MG TAB</t>
  </si>
  <si>
    <t>RABEKIND DSR CAP</t>
  </si>
  <si>
    <t>RANIDOM MPS SYP</t>
  </si>
  <si>
    <t>RANIDOM O SYP</t>
  </si>
  <si>
    <t>RANIDOM O TAB</t>
  </si>
  <si>
    <t>RANIDOM TAB</t>
  </si>
  <si>
    <t>RIFASTOP 200MG TAB</t>
  </si>
  <si>
    <t>T 98 DROP</t>
  </si>
  <si>
    <t>T 98 SYP</t>
  </si>
  <si>
    <t>TELMIKIND AMH TAB</t>
  </si>
  <si>
    <t>TELMIKIND BETA 25TAB</t>
  </si>
  <si>
    <t>TELMIKIND BETA 50TAB</t>
  </si>
  <si>
    <t>TELMIKIND CT 40MG</t>
  </si>
  <si>
    <t>TELMIKIND TRIO 6.25 MG</t>
  </si>
  <si>
    <t>TELMIKIND 20MG TAB</t>
  </si>
  <si>
    <t>TELMIKIND 40MG TAB</t>
  </si>
  <si>
    <t>TELMIKIND 80 TAB</t>
  </si>
  <si>
    <t>TELMIKIND AM</t>
  </si>
  <si>
    <t>TELMIKIND AM TAB</t>
  </si>
  <si>
    <t>TELMIKIND H TAB</t>
  </si>
  <si>
    <t>TELMIKIND H 80MG TAB</t>
  </si>
  <si>
    <t>TERBINAFORCE 500MG TAB</t>
  </si>
  <si>
    <t>TERBINAFORCE CREAM</t>
  </si>
  <si>
    <t>TERBINAFORCE PLUS CREAM</t>
  </si>
  <si>
    <t>TERBINAFORCE TAB</t>
  </si>
  <si>
    <t>THERMOKIND F GEL</t>
  </si>
  <si>
    <t>VENTIDOX M TAB</t>
  </si>
  <si>
    <t>VERMACT 12MG TAB</t>
  </si>
  <si>
    <t>VERMACT 6MG TAB</t>
  </si>
  <si>
    <t>VERTISTAR MD 16MG TAB</t>
  </si>
  <si>
    <t>VERTISTAR MD 8MG TAB</t>
  </si>
  <si>
    <t>VOMIKIND FAST</t>
  </si>
  <si>
    <t>15ACH</t>
  </si>
  <si>
    <t>VOMIKIND INJ</t>
  </si>
  <si>
    <t>VOMIKIND MD 4MG TAB</t>
  </si>
  <si>
    <t>VREMACT 6MG TAB</t>
  </si>
  <si>
    <t>ZADY 250MG TAB</t>
  </si>
  <si>
    <t>ZADY 500MG TAB</t>
  </si>
  <si>
    <t>ZENFLOX 200 MG TAB</t>
  </si>
  <si>
    <t>ZENFLOX EYE DROP</t>
  </si>
  <si>
    <t>ZENFLOX OZ TAB</t>
  </si>
  <si>
    <t>ZENFLOX UTI</t>
  </si>
  <si>
    <t>ZEROGRAIN PLUS TAB</t>
  </si>
  <si>
    <t>URISPAS TAB</t>
  </si>
  <si>
    <t>Martin &amp; Harris Pvt Ltd</t>
  </si>
  <si>
    <t>ONEMENTIN 625</t>
  </si>
  <si>
    <t>NUKIND HEALTHCARE PVT LTD</t>
  </si>
  <si>
    <t>PANTOGEN INJ</t>
  </si>
  <si>
    <t>NEXGEN PHARMA</t>
  </si>
  <si>
    <t>ACIP TH</t>
  </si>
  <si>
    <t>ZINCOPLUS SYP</t>
  </si>
  <si>
    <t>BECASULES Z CAP</t>
  </si>
  <si>
    <t>Pfizer Ltd</t>
  </si>
  <si>
    <t>MEDROL 16</t>
  </si>
  <si>
    <t>14</t>
  </si>
  <si>
    <t>MINIPRESS XL 5MG</t>
  </si>
  <si>
    <t>CARDIVAS 6.25</t>
  </si>
  <si>
    <t>Sun Pharmaceuticals</t>
  </si>
  <si>
    <t>ISTAMET 50/500MG</t>
  </si>
  <si>
    <t>REPALOL H</t>
  </si>
  <si>
    <t>REVITAL H</t>
  </si>
  <si>
    <t>ROSUVAS 10MG</t>
  </si>
  <si>
    <t>SOMPRAZ HP</t>
  </si>
  <si>
    <t>SYNDOPA CR TAB</t>
  </si>
  <si>
    <t>SYNDOPA PLUS TAB</t>
  </si>
  <si>
    <t>TEAR DROP</t>
  </si>
  <si>
    <t>ZOFER SYP</t>
  </si>
  <si>
    <t>ARIP MT 20 TAB</t>
  </si>
  <si>
    <t>Torrent Pharmaceuticals Ltd</t>
  </si>
  <si>
    <t>DEPLET CV 20</t>
  </si>
  <si>
    <t>LAMITOR DT 25</t>
  </si>
  <si>
    <t>VELOZ D CAP</t>
  </si>
  <si>
    <t>ACETROY P TAB</t>
  </si>
  <si>
    <t>TROIKAA (GENERIC)</t>
  </si>
  <si>
    <t>20*10</t>
  </si>
  <si>
    <t>DYNAPAR GEL</t>
  </si>
  <si>
    <t>Troikaa Pharmaceuticals Ltd</t>
  </si>
  <si>
    <t>ANGISPAN TR 2.5MG TAB</t>
  </si>
  <si>
    <t>USV Ltd</t>
  </si>
  <si>
    <t>ANGISPAN TR 6.5MG TAB</t>
  </si>
  <si>
    <t>CVP CAP</t>
  </si>
  <si>
    <t>D RISE SACHET</t>
  </si>
  <si>
    <t>DEROBIN OINTMENT 30 GM</t>
  </si>
  <si>
    <t>DOXY 1 LDR FORTE CAP</t>
  </si>
  <si>
    <t>ECOSPRIN 150MG</t>
  </si>
  <si>
    <t>ECOSPRIN 75MG</t>
  </si>
  <si>
    <t>ECOSPRIN AV 150 CAPSULES</t>
  </si>
  <si>
    <t>ECOSPRIN AV 150/20 CAPSULES</t>
  </si>
  <si>
    <t>ECOSPRIN AV 75 CAPSULES</t>
  </si>
  <si>
    <t>ECOSPRIN AV 75/20</t>
  </si>
  <si>
    <t>ECOSPRIN AV 75/20 CAP</t>
  </si>
  <si>
    <t>ECOSPRIN GOLD 10MG CAP</t>
  </si>
  <si>
    <t>ECOSPRIN GOLD 20MG</t>
  </si>
  <si>
    <t>ERYTOP LOTION</t>
  </si>
  <si>
    <t>25ML</t>
  </si>
  <si>
    <t>GLYCOMET 1MG TAB</t>
  </si>
  <si>
    <t>GLYCOMET 500MG</t>
  </si>
  <si>
    <t>GLYCOMET 500SR TAB</t>
  </si>
  <si>
    <t>GLYCOMET 850 SR TAB</t>
  </si>
  <si>
    <t>GLYCOMET GP 0.5 FORTE</t>
  </si>
  <si>
    <t>GLYCOMET GP 0.5 MG TAB</t>
  </si>
  <si>
    <t>GLYCOMET GP 1TAB</t>
  </si>
  <si>
    <t>GLYCOMET GP 2/850MG</t>
  </si>
  <si>
    <t>GLYCOMET GP 3 FORTE TAB</t>
  </si>
  <si>
    <t>GLYCOMET GP 3/850MG TAB</t>
  </si>
  <si>
    <t>GLYCOMET GP 4 FPRTE</t>
  </si>
  <si>
    <t>GLYCOMET TRIO 1/0.3 TAB</t>
  </si>
  <si>
    <t>GLYCOMET TRIO 1MG TAB</t>
  </si>
  <si>
    <t>GLYCOMET TRIO 2 FORTE</t>
  </si>
  <si>
    <t>GLYCOMET TRIO 2MG</t>
  </si>
  <si>
    <t>GLYNASE MF TAB</t>
  </si>
  <si>
    <t>GLYNASE TAB</t>
  </si>
  <si>
    <t>GP 1 TAB</t>
  </si>
  <si>
    <t>GP 2</t>
  </si>
  <si>
    <t>GYNACE CVP</t>
  </si>
  <si>
    <t>JALRA OD 100MG TAB</t>
  </si>
  <si>
    <t>JALRA 50MG TAB</t>
  </si>
  <si>
    <t>PIOZ MF G 2 TAB</t>
  </si>
  <si>
    <t>PIOZ 15 TAB</t>
  </si>
  <si>
    <t>PIOZ 30 TAB</t>
  </si>
  <si>
    <t>RAZLOC CT 80 TAB</t>
  </si>
  <si>
    <t>ROSEDAY 10MG TAB</t>
  </si>
  <si>
    <t>ROSEDAY 20MG TAB</t>
  </si>
  <si>
    <t>ROSEDAY 40 MG</t>
  </si>
  <si>
    <t>ROSEDAY 5MG</t>
  </si>
  <si>
    <t>ROSEDAY A 20 CAPSULS</t>
  </si>
  <si>
    <t>ROSEDAY GOLD</t>
  </si>
  <si>
    <t>TAZLOC CT 80 TAB</t>
  </si>
  <si>
    <t>TRIGLYNASE 1GM TAB</t>
  </si>
  <si>
    <t>TRIGLYNASE 2 FORTE TAB</t>
  </si>
  <si>
    <t>TRIGLYNASE 2GM TAB</t>
  </si>
  <si>
    <t>UDAPA 10 MG TAB</t>
  </si>
  <si>
    <t>DEFLAVER 6</t>
  </si>
  <si>
    <t>VERNA HEALTHCARE (GENERIC)</t>
  </si>
  <si>
    <t>DERMINA L CREAM</t>
  </si>
  <si>
    <t>PENTARICH DSR</t>
  </si>
  <si>
    <t>RABIVER DSR CAP</t>
  </si>
  <si>
    <t>DROTIN DS TAB</t>
  </si>
  <si>
    <t>Walter Bushnell</t>
  </si>
  <si>
    <t>GRILINTUS L 100ML</t>
  </si>
  <si>
    <t>WARDEX PHARMACEUTICALS PVT LTD</t>
  </si>
  <si>
    <t>GRILINTUS LS SYP</t>
  </si>
  <si>
    <t>NEW XTFER</t>
  </si>
  <si>
    <t>WILSHIRE PHARMACEUTICALS</t>
  </si>
  <si>
    <t>ZEDEX SF SYP</t>
  </si>
  <si>
    <t>Wockhardt Ltd</t>
  </si>
  <si>
    <t>CEZUR 0.5</t>
  </si>
  <si>
    <t>Zenith Healthcare Ltd</t>
  </si>
  <si>
    <t>NEUROPIN 25TAB</t>
  </si>
  <si>
    <t>OANMELT 10</t>
  </si>
  <si>
    <t>OCYL 5</t>
  </si>
  <si>
    <t>TANZFF</t>
  </si>
  <si>
    <t>VOXAZEN 100</t>
  </si>
  <si>
    <t>ZEDIP 25</t>
  </si>
  <si>
    <t>ZEDIP 50</t>
  </si>
  <si>
    <t>ZENIL 50TAB</t>
  </si>
  <si>
    <t>AUGPEN 625 BID TAB</t>
  </si>
  <si>
    <t>Zuventus Healthcare Ltd</t>
  </si>
  <si>
    <t>AMLODAC 5</t>
  </si>
  <si>
    <t>Zydus Cadila Healthcare</t>
  </si>
  <si>
    <t>ATEN 50MG</t>
  </si>
  <si>
    <t>ATEN D TAB</t>
  </si>
  <si>
    <t>PANTODAC 40 TAB</t>
  </si>
  <si>
    <t>PIVASTA 2</t>
  </si>
  <si>
    <t>SUSTAMETO AM</t>
  </si>
  <si>
    <t>ZYAQUA 0.5% EYE DROP</t>
  </si>
  <si>
    <t>LINID TAB</t>
  </si>
  <si>
    <t>ZYDUS (SYNOVIA)</t>
  </si>
  <si>
    <t>COUNTA of Company Name</t>
  </si>
  <si>
    <t>MANKIND</t>
  </si>
  <si>
    <t>CIPLA</t>
  </si>
  <si>
    <t>USV</t>
  </si>
  <si>
    <t>GELNMARK</t>
  </si>
  <si>
    <t>INTAS</t>
  </si>
  <si>
    <t>ALKEM</t>
  </si>
  <si>
    <t>IPCA LABORATORIES</t>
  </si>
  <si>
    <t>ARISTO</t>
  </si>
  <si>
    <t>SUN PHARMA</t>
  </si>
  <si>
    <t>ABBOTT HELTH CARE</t>
  </si>
  <si>
    <t>ERIS</t>
  </si>
  <si>
    <t>ZENITH HEALTH CARE</t>
  </si>
  <si>
    <t>HIMALAYA</t>
  </si>
  <si>
    <t>IPCA</t>
  </si>
  <si>
    <t>KLM LABORATORIES</t>
  </si>
  <si>
    <t>ZYDUS</t>
  </si>
  <si>
    <t>GSK</t>
  </si>
  <si>
    <t>ALEMBIC</t>
  </si>
  <si>
    <t>INVENTIVE GENERIC</t>
  </si>
  <si>
    <t>MACLEODS</t>
  </si>
  <si>
    <t>ETHICARE REMEDIES</t>
  </si>
  <si>
    <t>TORRENT</t>
  </si>
  <si>
    <t>VERNA GENRIC</t>
  </si>
  <si>
    <t>PFIZER</t>
  </si>
  <si>
    <t>AJANTA</t>
  </si>
  <si>
    <t>COSMODERM</t>
  </si>
  <si>
    <t>GYNNEXT</t>
  </si>
  <si>
    <t>IBLUE GENERIC</t>
  </si>
  <si>
    <t>MACSTRO</t>
  </si>
  <si>
    <t>NUKIND HEALTH CARE GENRIC</t>
  </si>
  <si>
    <t>WARDEX PHARMA</t>
  </si>
  <si>
    <t>BAYER</t>
  </si>
  <si>
    <t>CORONA</t>
  </si>
  <si>
    <t>DR REDDY</t>
  </si>
  <si>
    <t>EAST INDIA PHARMACUITICAL</t>
  </si>
  <si>
    <t>EMCURE</t>
  </si>
  <si>
    <t>FDC</t>
  </si>
  <si>
    <t>GALEXO</t>
  </si>
  <si>
    <t>H&amp;H</t>
  </si>
  <si>
    <t>HETRO HELTHCARE</t>
  </si>
  <si>
    <t>LIFE STAR</t>
  </si>
  <si>
    <t>MARTIN AND HARRIS</t>
  </si>
  <si>
    <t>MEDICYES GENRIC</t>
  </si>
  <si>
    <t>TROIKAA GENRIC</t>
  </si>
  <si>
    <t>TROIKAA PHARMA</t>
  </si>
  <si>
    <t>WALTER BUSHLELL</t>
  </si>
  <si>
    <t>WILSHIRE</t>
  </si>
  <si>
    <t>WOCKHADT</t>
  </si>
  <si>
    <t>ZUVENTUS</t>
  </si>
  <si>
    <t>ZYDUS SYNOVIA</t>
  </si>
  <si>
    <t xml:space="preserve">                                                          PANKAJA MEDICOSE</t>
  </si>
  <si>
    <t xml:space="preserve">                                        74, 2nd FLOOR, DAWA BAZAR, 13-14 R.N.T. MARG, INDORE</t>
  </si>
  <si>
    <t/>
  </si>
  <si>
    <t xml:space="preserve">                                                             PRICE LIST</t>
  </si>
  <si>
    <t xml:space="preserve">                                                                                                                        Page : 1</t>
  </si>
  <si>
    <t>+----+----------------------------------------------+---------+---------+---------+---------+---------+---------+---------+---------+-------+</t>
  </si>
  <si>
    <t>S.    ITEM DESCRIPTION</t>
  </si>
  <si>
    <t>PURCHASE</t>
  </si>
  <si>
    <t>SALES</t>
  </si>
  <si>
    <t xml:space="preserve"> SALES    M.R.P.</t>
  </si>
  <si>
    <t>SALES      CESS</t>
  </si>
  <si>
    <t xml:space="preserve">   EXCISE</t>
  </si>
  <si>
    <t xml:space="preserve">  FUL</t>
  </si>
  <si>
    <t>TAX    FREE</t>
  </si>
  <si>
    <t>NO.</t>
  </si>
  <si>
    <t>PRICE</t>
  </si>
  <si>
    <t>I.PRICE</t>
  </si>
  <si>
    <t>TAX</t>
  </si>
  <si>
    <t>RATE  SCHEME</t>
  </si>
  <si>
    <t>1     CREMAFFIN PLUS 225ML          225ML</t>
  </si>
  <si>
    <t xml:space="preserve">  0.00    246.12</t>
  </si>
  <si>
    <t>12.00      6.00</t>
  </si>
  <si>
    <t>2     DUPHASTON TAB                 10</t>
  </si>
  <si>
    <t xml:space="preserve">  0.00    739.76</t>
  </si>
  <si>
    <t>3     FACILIN TUBE                  20GM</t>
  </si>
  <si>
    <t xml:space="preserve">  0.00    168.54</t>
  </si>
  <si>
    <t>12.00      0.00</t>
  </si>
  <si>
    <t>4     PANKREOFLAT HD                10 TAB</t>
  </si>
  <si>
    <t xml:space="preserve">  0.00    150.00</t>
  </si>
  <si>
    <t>18.00      6.00</t>
  </si>
  <si>
    <t>5     TELPRES 80 H TAB              10'S</t>
  </si>
  <si>
    <t xml:space="preserve">  0.00    289.90</t>
  </si>
  <si>
    <t>6     TELPRES-H 40                  10'S</t>
  </si>
  <si>
    <t xml:space="preserve">  0.00    277.91</t>
  </si>
  <si>
    <t>7     THYRONORM 100MG               100 TAB</t>
  </si>
  <si>
    <t xml:space="preserve">  0.00    160.28</t>
  </si>
  <si>
    <t>8     THYRONORM 12.5MG TAB          50</t>
  </si>
  <si>
    <t xml:space="preserve">  0.00    180.09</t>
  </si>
  <si>
    <t>9     VITAMIN-A                     10'S</t>
  </si>
  <si>
    <t xml:space="preserve">  0.00      7.84</t>
  </si>
  <si>
    <t>1     LOTEL LS DROP                 5ML</t>
  </si>
  <si>
    <t xml:space="preserve">  0.00    142.00</t>
  </si>
  <si>
    <t>2     POLYNASE OINTMENT             5GM</t>
  </si>
  <si>
    <t xml:space="preserve">  0.00     90.00</t>
  </si>
  <si>
    <t>1     DELTON CAP                    1*10</t>
  </si>
  <si>
    <t xml:space="preserve">  0.00    217.30</t>
  </si>
  <si>
    <t>2     GESTOFIT 300SR                10'S</t>
  </si>
  <si>
    <t xml:space="preserve">  0.00    584.40</t>
  </si>
  <si>
    <t>3     TETAN 40MG                    15</t>
  </si>
  <si>
    <t xml:space="preserve">  0.00    110.96</t>
  </si>
  <si>
    <t>4     TETAN CT 12.5TAB              10</t>
  </si>
  <si>
    <t xml:space="preserve">  0.00    240.20</t>
  </si>
  <si>
    <t>5     WIKORYL SUSP                  60ML</t>
  </si>
  <si>
    <t xml:space="preserve">  0.00     69.70</t>
  </si>
  <si>
    <t>1     A TO Z NS DROPS               15ML</t>
  </si>
  <si>
    <t xml:space="preserve">  0.00     54.00</t>
  </si>
  <si>
    <t>18.00      0.00</t>
  </si>
  <si>
    <t>2     A TO Z NS GOLD                15</t>
  </si>
  <si>
    <t xml:space="preserve">  0.00    165.00</t>
  </si>
  <si>
    <t>3     A TO Z NS GOLD TAB            15'S</t>
  </si>
  <si>
    <t>4     A TO Z SYP(B) 200ML</t>
  </si>
  <si>
    <t xml:space="preserve">  0.00    160.00</t>
  </si>
  <si>
    <t>5     CLAVAM 1.2GM INJ              VAILS</t>
  </si>
  <si>
    <t xml:space="preserve">  0.00    140.20</t>
  </si>
  <si>
    <t>6     CLAVAM 375MG TABS             10'</t>
  </si>
  <si>
    <t xml:space="preserve">  0.00    199.00</t>
  </si>
  <si>
    <t>7     CLAVAM 625MG TAB              10'</t>
  </si>
  <si>
    <t xml:space="preserve">  0.00    200.55</t>
  </si>
  <si>
    <t>8     CLAVAM BID SYRUP              30ML</t>
  </si>
  <si>
    <t xml:space="preserve">  0.00     60.80</t>
  </si>
  <si>
    <t>9     CLAVAM DRY SYRUP              30ML</t>
  </si>
  <si>
    <t xml:space="preserve">  0.00     60.26</t>
  </si>
  <si>
    <t>10    ENZOFLAM TAB                  10'</t>
  </si>
  <si>
    <t xml:space="preserve">  0.00    132.00</t>
  </si>
  <si>
    <t>11    GEMCAL CAP                    15S</t>
  </si>
  <si>
    <t xml:space="preserve">  0.00    300.00</t>
  </si>
  <si>
    <t>12    GEMCAL PLUS CAP               10'S</t>
  </si>
  <si>
    <t xml:space="preserve">  0.00    250.00</t>
  </si>
  <si>
    <t>13    GEMCAL XT CAP                 15</t>
  </si>
  <si>
    <t xml:space="preserve">  0.00    310.00</t>
  </si>
  <si>
    <t>14    ONDEM MD 4 TAB                10TAB</t>
  </si>
  <si>
    <t xml:space="preserve">  0.00     52.61</t>
  </si>
  <si>
    <t>15    PAN 20MG TABS                 10TASB</t>
  </si>
  <si>
    <t xml:space="preserve">  0.00    103.00</t>
  </si>
  <si>
    <t>16    PAN 40MG TAB                  10TAB</t>
  </si>
  <si>
    <t xml:space="preserve">  0.00    149.00</t>
  </si>
  <si>
    <t>17    PAN D CAP                     10</t>
  </si>
  <si>
    <t xml:space="preserve">  0.00    190.00</t>
  </si>
  <si>
    <t>18    SUMO L 120MG SYP              60ML</t>
  </si>
  <si>
    <t xml:space="preserve">  0.00     35.62</t>
  </si>
  <si>
    <t>19    SUMO TAB                      15</t>
  </si>
  <si>
    <t xml:space="preserve">  0.00    124.00</t>
  </si>
  <si>
    <t>20    SUMO-L 250MG DS SUSP          60ML</t>
  </si>
  <si>
    <t xml:space="preserve">  0.00     40.32</t>
  </si>
  <si>
    <t>21    SUMOCOLD DROPS                10ML</t>
  </si>
  <si>
    <t xml:space="preserve">  0.00     61.50</t>
  </si>
  <si>
    <t>22    SUMOCOLD TABS                 10</t>
  </si>
  <si>
    <t xml:space="preserve">  0.00     41.00</t>
  </si>
  <si>
    <t>23    SWICH 100 SYP                 30ML</t>
  </si>
  <si>
    <t xml:space="preserve">  0.00    177.00</t>
  </si>
  <si>
    <t>24    SWICH 50 SYRUP                30ML</t>
  </si>
  <si>
    <t xml:space="preserve">  0.00     95.00</t>
  </si>
  <si>
    <t>25    SWICH DROPS                   10ML</t>
  </si>
  <si>
    <t xml:space="preserve">  0.00     76.00</t>
  </si>
  <si>
    <t>26    TAXIM 125MG INJ               VIAL</t>
  </si>
  <si>
    <t xml:space="preserve">  0.00     17.10</t>
  </si>
  <si>
    <t>27    TAXIM 1GM INJ                 VIAL</t>
  </si>
  <si>
    <t xml:space="preserve">  0.00     38.49</t>
  </si>
  <si>
    <t>28    TAXIM 500MG INJ               VIAL</t>
  </si>
  <si>
    <t xml:space="preserve">  0.00     23.00</t>
  </si>
  <si>
    <t>29    TAXIM O 100DT                 10S</t>
  </si>
  <si>
    <t xml:space="preserve">  0.00     75.00</t>
  </si>
  <si>
    <t>30    TAXIM O 200 TABS              10</t>
  </si>
  <si>
    <t xml:space="preserve">  0.00    107.72</t>
  </si>
  <si>
    <t>31    TAXIM O DRY SYRUP(B)          60ML</t>
  </si>
  <si>
    <t xml:space="preserve">  0.00     85.00</t>
  </si>
  <si>
    <t>32    TAXIM O PEAD DROPS            10ML</t>
  </si>
  <si>
    <t xml:space="preserve">  0.00     61.00</t>
  </si>
  <si>
    <t>33    TERBICIP CREAM                10GM</t>
  </si>
  <si>
    <t xml:space="preserve">  0.00     98.61</t>
  </si>
  <si>
    <t>34    TRUMP D SYP                   100ML</t>
  </si>
  <si>
    <t xml:space="preserve">  0.00    100.50</t>
  </si>
  <si>
    <t>35    UPRISE D3 60K CAPS            8TAB</t>
  </si>
  <si>
    <t xml:space="preserve">  0.00    265.13</t>
  </si>
  <si>
    <t>1     8X SHAMPOO 100ML</t>
  </si>
  <si>
    <t xml:space="preserve">  0.00    330.74</t>
  </si>
  <si>
    <t>2     AMBRODIL S SYP                100ML</t>
  </si>
  <si>
    <t xml:space="preserve">  0.00     27.60</t>
  </si>
  <si>
    <t>3     AMLOSAFE MT 50                10'</t>
  </si>
  <si>
    <t xml:space="preserve">  0.00     69.50</t>
  </si>
  <si>
    <t>4     AMLOSAFE TM 40MG              10'</t>
  </si>
  <si>
    <t xml:space="preserve">  0.00     69.75</t>
  </si>
  <si>
    <t>5     AMLOSAFE TM 40MG TAB          10'S</t>
  </si>
  <si>
    <t xml:space="preserve">  0.00      0.00</t>
  </si>
  <si>
    <t>6     BROZEDEX LS DROP              15ML</t>
  </si>
  <si>
    <t xml:space="preserve">  0.00     64.25</t>
  </si>
  <si>
    <t>7     MEGA CV FORTE DRY SYP         30ML</t>
  </si>
  <si>
    <t xml:space="preserve">  0.00    120.00</t>
  </si>
  <si>
    <t>8     PANTOP 40 TAB                 15</t>
  </si>
  <si>
    <t xml:space="preserve">  0.00    196.75</t>
  </si>
  <si>
    <t>9     PANTOP 40 TAB                 15</t>
  </si>
  <si>
    <t xml:space="preserve">  0.00    136.85</t>
  </si>
  <si>
    <t>10    SMUTH L SYP                   150ML</t>
  </si>
  <si>
    <t xml:space="preserve">  0.00    136.35</t>
  </si>
  <si>
    <t>11    SMUTH SUSPENSION MI           200ML</t>
  </si>
  <si>
    <t>12    SMUTH SYP                     100ML</t>
  </si>
  <si>
    <t>13    TELVAS 3D                     10</t>
  </si>
  <si>
    <t xml:space="preserve">  0.00     89.50</t>
  </si>
  <si>
    <t>1     GLUCOBAY-25 TAB               10S</t>
  </si>
  <si>
    <t xml:space="preserve">  0.00     83.50</t>
  </si>
  <si>
    <t>1     ACIVIR 200DT TAB 10           1*10</t>
  </si>
  <si>
    <t xml:space="preserve">  0.00     75.60</t>
  </si>
  <si>
    <t>2     ACIVIR 400DT 5                1*5</t>
  </si>
  <si>
    <t xml:space="preserve">  0.00     68.69</t>
  </si>
  <si>
    <t>3     ACIVIR CREAM (B) 10GMS</t>
  </si>
  <si>
    <t xml:space="preserve">  0.00    133.10</t>
  </si>
  <si>
    <t>4     ACIVIR EYE OINT 5GM           5GM</t>
  </si>
  <si>
    <t xml:space="preserve">  0.00     58.11</t>
  </si>
  <si>
    <t>5     ACNEDAP PLUS GEL 15GM         15GM</t>
  </si>
  <si>
    <t xml:space="preserve">  0.00    350.90</t>
  </si>
  <si>
    <t>5.00      0.00</t>
  </si>
  <si>
    <t>6     ADDTEARS DROPS 10ML</t>
  </si>
  <si>
    <t xml:space="preserve">  0.00    122.11</t>
  </si>
  <si>
    <t>7     ADVENTY DRY SYP               30ML</t>
  </si>
  <si>
    <t xml:space="preserve">  0.00     60.81</t>
  </si>
  <si>
    <t>8     AMLOPRES 10 MG TAB            10TAB</t>
  </si>
  <si>
    <t xml:space="preserve">  0.00     56.56</t>
  </si>
  <si>
    <t>9     AMLOPRES 2.5MG TABS 15        15'</t>
  </si>
  <si>
    <t xml:space="preserve">  0.00     26.98</t>
  </si>
  <si>
    <t>10    AMLOPRES 5MG TABS 30          30'</t>
  </si>
  <si>
    <t xml:space="preserve">  0.00     87.69</t>
  </si>
  <si>
    <t>11    AMLOPRES AT 25 TABS           15'</t>
  </si>
  <si>
    <t xml:space="preserve">  0.00    100.48</t>
  </si>
  <si>
    <t>12    AMLOPRES AT ECO PACK          30'</t>
  </si>
  <si>
    <t xml:space="preserve">  0.00    227.48</t>
  </si>
  <si>
    <t>13    AMLOPRES AT TABS 15           15'</t>
  </si>
  <si>
    <t xml:space="preserve">  0.00    135.09</t>
  </si>
  <si>
    <t>14    ASTHALIN 4MG TABS 30 TAB      30'</t>
  </si>
  <si>
    <t xml:space="preserve">  0.00      6.04</t>
  </si>
  <si>
    <t>15    ASTHALIN RESPULES 2.5ML       2.5ML</t>
  </si>
  <si>
    <t xml:space="preserve">  0.00      5.85</t>
  </si>
  <si>
    <t>16    ASTHALIN RESPULES             5*2.5ML</t>
  </si>
  <si>
    <t xml:space="preserve">  0.00     29.25</t>
  </si>
  <si>
    <t>17    ATORLIP 10MG TABS 15          15'</t>
  </si>
  <si>
    <t xml:space="preserve">  0.00     92.40</t>
  </si>
  <si>
    <t>18    ATORLIP 20MG TAB              15</t>
  </si>
  <si>
    <t xml:space="preserve">  0.00    222.51</t>
  </si>
  <si>
    <t>19    ATORLIP 40MG TAB              15</t>
  </si>
  <si>
    <t xml:space="preserve">  0.00    215.43</t>
  </si>
  <si>
    <t>20    ATORLIP 80 MG                 7</t>
  </si>
  <si>
    <t xml:space="preserve">  0.00    284.16</t>
  </si>
  <si>
    <t>21    AZEE 250 TAB 6                6'</t>
  </si>
  <si>
    <t xml:space="preserve">  0.00     70.69</t>
  </si>
  <si>
    <t>22    AZEE 500 TAB                  5'</t>
  </si>
  <si>
    <t xml:space="preserve">  0.00    119.50</t>
  </si>
  <si>
    <t>23    BUDECORT 0.5 RESPULES 2ML     5*2ML</t>
  </si>
  <si>
    <t xml:space="preserve">  0.00     23.77</t>
  </si>
  <si>
    <t>24    BUDECORT 0.5MG RESPULES       5*2ML</t>
  </si>
  <si>
    <t xml:space="preserve">  0.00    118.85</t>
  </si>
  <si>
    <t>25    BUDECORT 200 INHELER          200MD</t>
  </si>
  <si>
    <t xml:space="preserve">  0.00    396.48</t>
  </si>
  <si>
    <t>26    BUDECORT 200 ROTOCAP 30       30'</t>
  </si>
  <si>
    <t xml:space="preserve">  0.00     97.44</t>
  </si>
  <si>
    <t>27    BUDECORT 400 ROTOCAP 30       30'</t>
  </si>
  <si>
    <t xml:space="preserve">  0.00    180.80</t>
  </si>
  <si>
    <t>28    BUDENASE AQ 200MD             200MD</t>
  </si>
  <si>
    <t xml:space="preserve">  0.00    136.96</t>
  </si>
  <si>
    <t>29    BUDESAL 0.5 RESPULES 2.5ML    2.5ML</t>
  </si>
  <si>
    <t xml:space="preserve">  0.00     36.30</t>
  </si>
  <si>
    <t>30    BUDESAL 0.5MG RESPULES        5ML</t>
  </si>
  <si>
    <t xml:space="preserve">  0.00    181.50</t>
  </si>
  <si>
    <t>31    CALUTIDE 50MG TABS            10'</t>
  </si>
  <si>
    <t xml:space="preserve">  0.00    510.20</t>
  </si>
  <si>
    <t>32    CIPLACTIN TABS                15'</t>
  </si>
  <si>
    <t xml:space="preserve">  0.00     44.58</t>
  </si>
  <si>
    <t>33    CIPLAR 10MG TABS              15'</t>
  </si>
  <si>
    <t xml:space="preserve">  0.00     19.38</t>
  </si>
  <si>
    <t>34    CIPLAR 40MG TABS              15'</t>
  </si>
  <si>
    <t xml:space="preserve">  0.00     46.36</t>
  </si>
  <si>
    <t>35    CIPLAR LA 40 TABS             15'</t>
  </si>
  <si>
    <t xml:space="preserve">  0.00     98.81</t>
  </si>
  <si>
    <t>36    CIPLOX 250MG TABS             10'</t>
  </si>
  <si>
    <t xml:space="preserve">  0.00     23.15</t>
  </si>
  <si>
    <t>37    CIPLOX 500MG TABS             10'</t>
  </si>
  <si>
    <t xml:space="preserve">  0.00     40.99</t>
  </si>
  <si>
    <t>38    CIPLOX D DROPS                10ML</t>
  </si>
  <si>
    <t xml:space="preserve">  0.00     19.96</t>
  </si>
  <si>
    <t>39    CIPLOX EYE DROP               10ML</t>
  </si>
  <si>
    <t xml:space="preserve">  0.00     17.05</t>
  </si>
  <si>
    <t>40    CIPLOX EYE DROPS (B)          10ML</t>
  </si>
  <si>
    <t>41    CIPLOX TZ TABS                10'</t>
  </si>
  <si>
    <t xml:space="preserve">  0.00    141.79</t>
  </si>
  <si>
    <t>42    CLOPIVAS 75 TAB               15'</t>
  </si>
  <si>
    <t xml:space="preserve">  0.00     85.05</t>
  </si>
  <si>
    <t>43    CLOPIVAS AP 150 TAB           15'</t>
  </si>
  <si>
    <t xml:space="preserve">  0.00     71.39</t>
  </si>
  <si>
    <t>44    CLOPIVAS AP 75MG              15'</t>
  </si>
  <si>
    <t xml:space="preserve">  0.00     77.85</t>
  </si>
  <si>
    <t>45    CRESAR 20 TABS                15'</t>
  </si>
  <si>
    <t xml:space="preserve">  0.00     61.01</t>
  </si>
  <si>
    <t>46    CRESAR 40 TAB                 15'</t>
  </si>
  <si>
    <t xml:space="preserve">  0.00    110.37</t>
  </si>
  <si>
    <t>47    CRESAR 80 TABS                10'</t>
  </si>
  <si>
    <t xml:space="preserve">  0.00    112.76</t>
  </si>
  <si>
    <t>48    CRESAR H TAB                  15'</t>
  </si>
  <si>
    <t xml:space="preserve">  0.00    220.60</t>
  </si>
  <si>
    <t>49    DORZOX EYE DROP               5ML</t>
  </si>
  <si>
    <t xml:space="preserve">  0.00    437.18</t>
  </si>
  <si>
    <t>50    DORZOX T EYE DROP             5ML</t>
  </si>
  <si>
    <t xml:space="preserve">  0.00    487.52</t>
  </si>
  <si>
    <t>51    DUOLIN 3 RESPULES             3ML</t>
  </si>
  <si>
    <t xml:space="preserve">  0.00     18.75</t>
  </si>
  <si>
    <t>52    DUOLIN FORTE ROTACAPS         30</t>
  </si>
  <si>
    <t xml:space="preserve">  0.00    149.91</t>
  </si>
  <si>
    <t>53    DUOLIN INH                    17GM</t>
  </si>
  <si>
    <t xml:space="preserve">  0.00    310.12</t>
  </si>
  <si>
    <t>54    DUOLIN ROTACAPS (B)           60CAP</t>
  </si>
  <si>
    <t xml:space="preserve">  0.00    179.21</t>
  </si>
  <si>
    <t>55    DUONASE NASAL SPRAY           1*7GM</t>
  </si>
  <si>
    <t xml:space="preserve">  0.00    401.74</t>
  </si>
  <si>
    <t>56    DYTOR 20 TABS                 15'</t>
  </si>
  <si>
    <t xml:space="preserve">  0.00    152.39</t>
  </si>
  <si>
    <t>57    DYTOR 5 TAB                   15'</t>
  </si>
  <si>
    <t xml:space="preserve">  0.00     53.90</t>
  </si>
  <si>
    <t>58    DYTOR PLUS 10 TABS            15'</t>
  </si>
  <si>
    <t xml:space="preserve">  0.00     81.19</t>
  </si>
  <si>
    <t>59    DYTOR PLUS 20 TAB             15'</t>
  </si>
  <si>
    <t xml:space="preserve">  0.00    105.80</t>
  </si>
  <si>
    <t>60    DYTOR PLUS 5 TABS             15'</t>
  </si>
  <si>
    <t xml:space="preserve">  0.00     71.87</t>
  </si>
  <si>
    <t>61    DYTOR PLUS LS                 15'S</t>
  </si>
  <si>
    <t xml:space="preserve">  0.00     56.89</t>
  </si>
  <si>
    <t>62    FLOMIST NASAL SPRAY           10ML</t>
  </si>
  <si>
    <t xml:space="preserve">  0.00    351.38</t>
  </si>
  <si>
    <t>63    FORACORT 100 INHELER          120MDS</t>
  </si>
  <si>
    <t xml:space="preserve">  0.00    252.67</t>
  </si>
  <si>
    <t>64    FORACORT 100 ROTOCAPS         30</t>
  </si>
  <si>
    <t xml:space="preserve">  0.00    127.68</t>
  </si>
  <si>
    <t>65    FORACORT 200 INHALER          200MD</t>
  </si>
  <si>
    <t xml:space="preserve">  0.00    360.19</t>
  </si>
  <si>
    <t>66    FORACORT 400 INH              120MD</t>
  </si>
  <si>
    <t xml:space="preserve">  0.00    411.26</t>
  </si>
  <si>
    <t>67    FORACORT 400 ROTOCAP          30'</t>
  </si>
  <si>
    <t xml:space="preserve">  0.00    216.72</t>
  </si>
  <si>
    <t>68    FORACORT FORTE INH            120</t>
  </si>
  <si>
    <t xml:space="preserve">  0.00    708.09</t>
  </si>
  <si>
    <t>69    FORACORT FORTE R C            30</t>
  </si>
  <si>
    <t xml:space="preserve">  0.00    348.48</t>
  </si>
  <si>
    <t>70    FORCAN 150MG CAPS             1'CAP</t>
  </si>
  <si>
    <t xml:space="preserve">  0.00     13.29</t>
  </si>
  <si>
    <t>71    FULLFORM 200 R C              30</t>
  </si>
  <si>
    <t xml:space="preserve">  0.00    157.30</t>
  </si>
  <si>
    <t>72    FULLFORM 400 RC               30</t>
  </si>
  <si>
    <t xml:space="preserve">  0.00    226.27</t>
  </si>
  <si>
    <t>73    GATIQUIN P EYE DROPS          10ML</t>
  </si>
  <si>
    <t xml:space="preserve">  0.00    137.09</t>
  </si>
  <si>
    <t>74    GATIQUINE EYE DROPS           5ML</t>
  </si>
  <si>
    <t xml:space="preserve">  0.00     68.97</t>
  </si>
  <si>
    <t>75    GINETTE 35 TABS               28'</t>
  </si>
  <si>
    <t xml:space="preserve">  0.00    358.62</t>
  </si>
  <si>
    <t>0.00      0.00</t>
  </si>
  <si>
    <t>76    IBUGESIC PLUS SYP (B)         100ML</t>
  </si>
  <si>
    <t xml:space="preserve">  0.00     41.26</t>
  </si>
  <si>
    <t>77    IBUGESIC PLUS SYP (S)         60ML</t>
  </si>
  <si>
    <t xml:space="preserve">  0.00     32.60</t>
  </si>
  <si>
    <t>78    IBUGESIC PLUS TABS            1*20</t>
  </si>
  <si>
    <t xml:space="preserve">  0.00     27.50</t>
  </si>
  <si>
    <t>79    ISOTROIN 10MG CAP             1*15</t>
  </si>
  <si>
    <t xml:space="preserve">  0.00    298.50</t>
  </si>
  <si>
    <t>80    ISOTROIN 20MG                 1*10</t>
  </si>
  <si>
    <t xml:space="preserve">  0.00    448.50</t>
  </si>
  <si>
    <t>81    ISOTROIN 20MG CIPLA           1*10CAP</t>
  </si>
  <si>
    <t xml:space="preserve">  0.00    299.00</t>
  </si>
  <si>
    <t>82    ISOTROIN 30MG                 1*10</t>
  </si>
  <si>
    <t xml:space="preserve">  0.00    332.00</t>
  </si>
  <si>
    <t>83    ISOTROIN 5                    10'</t>
  </si>
  <si>
    <t xml:space="preserve">  0.00    114.92</t>
  </si>
  <si>
    <t>84    JUNIOR LANZOL 15 TABS         10'TAB</t>
  </si>
  <si>
    <t xml:space="preserve">  0.00    134.43</t>
  </si>
  <si>
    <t>85    LAMETEC 50 DT                 10TAB</t>
  </si>
  <si>
    <t xml:space="preserve">  0.00    158.38</t>
  </si>
  <si>
    <t>86    LEVOLIN .31MG RESP            2.5ML</t>
  </si>
  <si>
    <t xml:space="preserve">  0.00      4.47</t>
  </si>
  <si>
    <t>87    LEVOLIN 0.31MG                5*1ML</t>
  </si>
  <si>
    <t xml:space="preserve">  0.00     22.35</t>
  </si>
  <si>
    <t>88    LEVOLIN 0.63MG                5*2.5ML</t>
  </si>
  <si>
    <t xml:space="preserve">  0.00     26.95</t>
  </si>
  <si>
    <t>89    LEVOLIN INHALER               200MD</t>
  </si>
  <si>
    <t xml:space="preserve">  0.00    212.28</t>
  </si>
  <si>
    <t>90    MAXIFLO 250 R/C               30'</t>
  </si>
  <si>
    <t xml:space="preserve">  0.00    374.15</t>
  </si>
  <si>
    <t>91    METOLAR 50MG TAB              15'TAB</t>
  </si>
  <si>
    <t xml:space="preserve">  0.00     59.34</t>
  </si>
  <si>
    <t>92    METOLAR XR 12.5 CAPS          15'CAP</t>
  </si>
  <si>
    <t>93    METOLAR XR 25 CAPS            15'CAP</t>
  </si>
  <si>
    <t xml:space="preserve">  0.00     67.53</t>
  </si>
  <si>
    <t>94    METOLAR XR 50 CAPS            15'CAP</t>
  </si>
  <si>
    <t xml:space="preserve">  0.00     97.08</t>
  </si>
  <si>
    <t>95    MONTAIR LC KID TABS           10'</t>
  </si>
  <si>
    <t xml:space="preserve">  0.00    107.08</t>
  </si>
  <si>
    <t>96    MONTAIR LC TABS               15'</t>
  </si>
  <si>
    <t xml:space="preserve">  0.00    278.06</t>
  </si>
  <si>
    <t>97    MOXICIP EYE DROP              5ML</t>
  </si>
  <si>
    <t xml:space="preserve">  0.00    173.03</t>
  </si>
  <si>
    <t>98    MOXICIP KT EYE DROPS          5ML</t>
  </si>
  <si>
    <t xml:space="preserve">  0.00    144.40</t>
  </si>
  <si>
    <t>99    NADIBACT CREAM 10GMS          10GM</t>
  </si>
  <si>
    <t xml:space="preserve">  0.00    111.00</t>
  </si>
  <si>
    <t>100   NADIBACT PLUS CREAM           10GM</t>
  </si>
  <si>
    <t xml:space="preserve">  0.00     99.22</t>
  </si>
  <si>
    <t>101   NEW REVOLIZERS                1'</t>
  </si>
  <si>
    <t xml:space="preserve">  0.00    270.85</t>
  </si>
  <si>
    <t>102   NICOTEX 2                     9'</t>
  </si>
  <si>
    <t xml:space="preserve">  0.00     84.00</t>
  </si>
  <si>
    <t>103   NICOTEX 4                     9</t>
  </si>
  <si>
    <t xml:space="preserve">  0.00     96.00</t>
  </si>
  <si>
    <t>104   NINTIB 100 MG                 1*10</t>
  </si>
  <si>
    <t xml:space="preserve">  0.00    690.00</t>
  </si>
  <si>
    <t>105   NORFLOX 400MG TABS            10TAB</t>
  </si>
  <si>
    <t xml:space="preserve">  0.00     70.97</t>
  </si>
  <si>
    <t>106   NORFLOX TZ TABS               10TAB</t>
  </si>
  <si>
    <t xml:space="preserve">  0.00     97.71</t>
  </si>
  <si>
    <t>107   OMNIX 200MG TAB               10TAB</t>
  </si>
  <si>
    <t xml:space="preserve">  0.00    107.74</t>
  </si>
  <si>
    <t>108   RAMIPRES 2.5MG                10</t>
  </si>
  <si>
    <t xml:space="preserve">  0.00     55.46</t>
  </si>
  <si>
    <t>109   SEROFLO 100 ROTACAPS          30</t>
  </si>
  <si>
    <t xml:space="preserve">  0.00    217.25</t>
  </si>
  <si>
    <t>110   SEROFLO 125 INHALER           120</t>
  </si>
  <si>
    <t xml:space="preserve">  0.00    471.90</t>
  </si>
  <si>
    <t>111   SEROFLO 250 ROTACAPS          120MD</t>
  </si>
  <si>
    <t xml:space="preserve">  0.00    431.16</t>
  </si>
  <si>
    <t>112   SEROFLO 250MG INH             120MD</t>
  </si>
  <si>
    <t xml:space="preserve">  0.00    685.14</t>
  </si>
  <si>
    <t>113   SEROFLO 250MG SYN INH         120MD</t>
  </si>
  <si>
    <t>114   SEROFLO 50 INHALER            120</t>
  </si>
  <si>
    <t xml:space="preserve">  0.00    378.26</t>
  </si>
  <si>
    <t>115   SEROFLO 500 ROTOCAP           30</t>
  </si>
  <si>
    <t xml:space="preserve">  0.00    471.98</t>
  </si>
  <si>
    <t>116   TEROL LA-4 CAPS               10</t>
  </si>
  <si>
    <t xml:space="preserve">  0.00    312.11</t>
  </si>
  <si>
    <t>117   TIOVA INHALAR                 120MD</t>
  </si>
  <si>
    <t xml:space="preserve">  0.00    537.60</t>
  </si>
  <si>
    <t>118   TIOVA ROTOCAPS                15</t>
  </si>
  <si>
    <t xml:space="preserve">  0.00    311.13</t>
  </si>
  <si>
    <t>119   TOPCORT CREAM                 15GM</t>
  </si>
  <si>
    <t xml:space="preserve">  0.00    230.00</t>
  </si>
  <si>
    <t>120   TRIVEDON MR TABS              10</t>
  </si>
  <si>
    <t xml:space="preserve">  0.00    171.02</t>
  </si>
  <si>
    <t>121   URIMAX 0.4M CAPS              30</t>
  </si>
  <si>
    <t xml:space="preserve">  0.00    349.38</t>
  </si>
  <si>
    <t>122   URIMAX 0.4MG CAP              20CAP</t>
  </si>
  <si>
    <t xml:space="preserve">  0.00    293.70</t>
  </si>
  <si>
    <t>123   URIMAX D TABS                 15</t>
  </si>
  <si>
    <t xml:space="preserve">  0.00    525.74</t>
  </si>
  <si>
    <t>124   VALCIVIR 1000 TABS            3</t>
  </si>
  <si>
    <t xml:space="preserve">  0.00    285.00</t>
  </si>
  <si>
    <t>125   WARF 1MG TAB                  30</t>
  </si>
  <si>
    <t xml:space="preserve">  0.00     80.72</t>
  </si>
  <si>
    <t>126   WARF 2 TAB                    30</t>
  </si>
  <si>
    <t xml:space="preserve">  0.00     89.71</t>
  </si>
  <si>
    <t>127   WARF 3 TAB                    30</t>
  </si>
  <si>
    <t xml:space="preserve">  0.00    105.16</t>
  </si>
  <si>
    <t>128   WARF 5MG TABS                 10</t>
  </si>
  <si>
    <t xml:space="preserve">  0.00     79.29</t>
  </si>
  <si>
    <t>129   XGAIN SHAMPOO 100 ML          100ML</t>
  </si>
  <si>
    <t xml:space="preserve">  0.00    395.00</t>
  </si>
  <si>
    <t>CITARA</t>
  </si>
  <si>
    <t>1     MONO                          5S</t>
  </si>
  <si>
    <t xml:space="preserve">  0.00     22.36</t>
  </si>
  <si>
    <t>1     RESPICURE-D SYP               100ML</t>
  </si>
  <si>
    <t xml:space="preserve">  0.00     86.37</t>
  </si>
  <si>
    <t>1     SEBO RX SOAP                  100GM</t>
  </si>
  <si>
    <t xml:space="preserve">  0.00    110.00</t>
  </si>
  <si>
    <t>2     SEBO-RX FACE WASH             100ML</t>
  </si>
  <si>
    <t xml:space="preserve">  0.00    260.00</t>
  </si>
  <si>
    <t>1     NISE                          15'S</t>
  </si>
  <si>
    <t xml:space="preserve">  0.00     98.25</t>
  </si>
  <si>
    <t>1     TONOFERON PAED SYP            100ML</t>
  </si>
  <si>
    <t>1     OROFER XT TAB                 10S</t>
  </si>
  <si>
    <t xml:space="preserve">  0.00    156.90</t>
  </si>
  <si>
    <t>1     ERITEL CH 40                  15TAB</t>
  </si>
  <si>
    <t xml:space="preserve">  0.00    193.25</t>
  </si>
  <si>
    <t>2     ERITEL H                      15</t>
  </si>
  <si>
    <t xml:space="preserve">  0.00    212.57</t>
  </si>
  <si>
    <t>3     GLIMISAVE M1 FORTE            15</t>
  </si>
  <si>
    <t xml:space="preserve">  0.00    125.88</t>
  </si>
  <si>
    <t>4     GLIMISAVE M1 TAB              15</t>
  </si>
  <si>
    <t xml:space="preserve">  0.00    116.40</t>
  </si>
  <si>
    <t>5     GLIMISAVE M2 TAB              15</t>
  </si>
  <si>
    <t xml:space="preserve">  0.00    166.67</t>
  </si>
  <si>
    <t>6     REMYLIN D TAB                 10'S</t>
  </si>
  <si>
    <t xml:space="preserve">  0.00    146.41</t>
  </si>
  <si>
    <t>7     TENDIA M TAB                  15</t>
  </si>
  <si>
    <t xml:space="preserve">  0.00    215.09</t>
  </si>
  <si>
    <t>8     ZAC D PLUS SYP                1*100ML</t>
  </si>
  <si>
    <t xml:space="preserve">  0.00    140.00</t>
  </si>
  <si>
    <t>9     ZAC D TAB                     15</t>
  </si>
  <si>
    <t>1     ACEMED FACE WASH              70ML</t>
  </si>
  <si>
    <t>2     ETHIGLO FACE WASH             70GM</t>
  </si>
  <si>
    <t>3     ETHIGLO FACEWASH              200GM</t>
  </si>
  <si>
    <t xml:space="preserve">  0.00    499.00</t>
  </si>
  <si>
    <t>4     LIPZ CREAM                    9GM</t>
  </si>
  <si>
    <t xml:space="preserve">  0.00     99.00</t>
  </si>
  <si>
    <t>1     ELECTROL POWD                 21.8GM</t>
  </si>
  <si>
    <t xml:space="preserve">  0.00     19.84</t>
  </si>
  <si>
    <t>1     AUGMENTIN 625MG               10TAB</t>
  </si>
  <si>
    <t xml:space="preserve">  0.00    201.71</t>
  </si>
  <si>
    <t>1     AIRTIO PROTOCAP               30</t>
  </si>
  <si>
    <t xml:space="preserve">  0.00    428.00</t>
  </si>
  <si>
    <t>2     APREZO 30MG                   10S</t>
  </si>
  <si>
    <t xml:space="preserve">  0.00    295.50</t>
  </si>
  <si>
    <t>3     APREZO 30MG                   10TAB</t>
  </si>
  <si>
    <t>4     ASCORIL LS SYP                100ML</t>
  </si>
  <si>
    <t xml:space="preserve">  0.00    108.00</t>
  </si>
  <si>
    <t>5     CANDID TV SHAMPOO             75ML</t>
  </si>
  <si>
    <t xml:space="preserve">  0.00    270.00</t>
  </si>
  <si>
    <t>6     CANDID V6 TAB                 6'S</t>
  </si>
  <si>
    <t xml:space="preserve">  0.00     58.20</t>
  </si>
  <si>
    <t>7     CUTICALM S SOOTHING           100ML</t>
  </si>
  <si>
    <t xml:space="preserve">  0.00    180.00</t>
  </si>
  <si>
    <t>8     DERIVA BPO CREAM              15GM</t>
  </si>
  <si>
    <t xml:space="preserve">  0.00    399.00</t>
  </si>
  <si>
    <t>9     DERIVA CMS GEL                15GM</t>
  </si>
  <si>
    <t xml:space="preserve">  0.00    325.00</t>
  </si>
  <si>
    <t>10    DERIVA MS GEL                 15GM</t>
  </si>
  <si>
    <t xml:space="preserve">  0.00    290.00</t>
  </si>
  <si>
    <t>11    EPICUTICS CLEAN LOTION        200ML</t>
  </si>
  <si>
    <t xml:space="preserve">  0.00    275.00</t>
  </si>
  <si>
    <t>12    EPISOFT AC                    75GM</t>
  </si>
  <si>
    <t xml:space="preserve">  0.00    575.00</t>
  </si>
  <si>
    <t>13    EPISOFT CLEAN LOTIION         125ML</t>
  </si>
  <si>
    <t xml:space="preserve">  0.00    330.00</t>
  </si>
  <si>
    <t>14    HALOVATE CREAM                30GM</t>
  </si>
  <si>
    <t>15    HALOVATE F CREAM              15GM</t>
  </si>
  <si>
    <t>16    HALOVATE OINT                 30GM</t>
  </si>
  <si>
    <t>17    KERACOS HAIR LOTION           75ML</t>
  </si>
  <si>
    <t xml:space="preserve">  0.00   1250.00</t>
  </si>
  <si>
    <t>18    LA SHIELD FISICO GEL          50GM</t>
  </si>
  <si>
    <t xml:space="preserve">  0.00    630.00</t>
  </si>
  <si>
    <t>19    LITEGLO FACE WASH             100GM</t>
  </si>
  <si>
    <t xml:space="preserve">  0.00    425.00</t>
  </si>
  <si>
    <t>20    MAXRICH CREAM                 150GM</t>
  </si>
  <si>
    <t>21    MAXRICH LOTION                150GM</t>
  </si>
  <si>
    <t>22    MILIXIM 200                   10</t>
  </si>
  <si>
    <t xml:space="preserve">  0.00     73.80</t>
  </si>
  <si>
    <t>23    MINYM ER 65MG TAB             10S</t>
  </si>
  <si>
    <t xml:space="preserve">  0.00    375.00</t>
  </si>
  <si>
    <t>24    MODUDERM BODY WASH            250ML</t>
  </si>
  <si>
    <t>25    MODUDERM SOAP                 92GM</t>
  </si>
  <si>
    <t>26    MOMATE CREAM                  20GM</t>
  </si>
  <si>
    <t xml:space="preserve">  0.00    298.00</t>
  </si>
  <si>
    <t>27    MOMATE F CREAM                15GM</t>
  </si>
  <si>
    <t>28    MOMATE OINTMENT 15GM          15GM</t>
  </si>
  <si>
    <t xml:space="preserve">  0.00    249.00</t>
  </si>
  <si>
    <t>29    MOMATE XL CREAM               40GM</t>
  </si>
  <si>
    <t>30    ONABET CREAM 15GM             15GM</t>
  </si>
  <si>
    <t xml:space="preserve">  0.00    189.00</t>
  </si>
  <si>
    <t>31    ONABET CREAM 30GM             30GM</t>
  </si>
  <si>
    <t xml:space="preserve">  0.00    347.00</t>
  </si>
  <si>
    <t>32    ONABET LOTION                 30ML</t>
  </si>
  <si>
    <t xml:space="preserve">  0.00    301.00</t>
  </si>
  <si>
    <t>33    ONABET SD LOTION              15ML</t>
  </si>
  <si>
    <t>34    PASILOW 100 SOFT GEL          5CAP</t>
  </si>
  <si>
    <t xml:space="preserve">  0.00    536.55</t>
  </si>
  <si>
    <t>35    PASILOW 100MG                 1*5</t>
  </si>
  <si>
    <t>36    PASILOW 50                    5CAP</t>
  </si>
  <si>
    <t xml:space="preserve">  0.00    275.57</t>
  </si>
  <si>
    <t>37    POWERDEW-LOTION               250ML</t>
  </si>
  <si>
    <t xml:space="preserve">  0.00    549.00</t>
  </si>
  <si>
    <t>38    REVIZE MICRO 0.025%           20GM</t>
  </si>
  <si>
    <t xml:space="preserve">  0.00    191.50</t>
  </si>
  <si>
    <t>39    REVIZE MICRO 0.04%            20GM</t>
  </si>
  <si>
    <t xml:space="preserve">  0.00    204.00</t>
  </si>
  <si>
    <t>40    SCALPE SHAMPOO                75ML</t>
  </si>
  <si>
    <t>41    SEBO-RX FACE WASH             100ML</t>
  </si>
  <si>
    <t>42    SEBO-RX SOAP                  100GM</t>
  </si>
  <si>
    <t>43    SOLEIBAN SUNSCREEN GEL        50GM</t>
  </si>
  <si>
    <t>44    SOLUIBAN AQUA GEL SPF30       100ML</t>
  </si>
  <si>
    <t xml:space="preserve">  0.00    450.00</t>
  </si>
  <si>
    <t>45    SYNTRAN 100MG                 1*10</t>
  </si>
  <si>
    <t xml:space="preserve">  0.00    220.00</t>
  </si>
  <si>
    <t>46    SYNTRAN 100MG                 10CAP</t>
  </si>
  <si>
    <t>47    SYNTRAN 200MG                 1*10</t>
  </si>
  <si>
    <t xml:space="preserve">  0.00    365.00</t>
  </si>
  <si>
    <t>48    SYNTRAN SB 50 MG              10CAP</t>
  </si>
  <si>
    <t>49    SYNTRAN SB 50 TAB             1*10</t>
  </si>
  <si>
    <t>50    TELMA 20                      1*30</t>
  </si>
  <si>
    <t xml:space="preserve">  0.00    122.03</t>
  </si>
  <si>
    <t>51    TELMA 40                      1*30</t>
  </si>
  <si>
    <t xml:space="preserve">  0.00    220.75</t>
  </si>
  <si>
    <t>52    TEST</t>
  </si>
  <si>
    <t xml:space="preserve">  0.00     30.00</t>
  </si>
  <si>
    <t>1     ACILOC INJ                    5*2ML</t>
  </si>
  <si>
    <t xml:space="preserve">  0.00      3.63</t>
  </si>
  <si>
    <t>2     AUGMENTIN DUO SYP             30ML</t>
  </si>
  <si>
    <t xml:space="preserve">  0.00     60.48</t>
  </si>
  <si>
    <t>3     AUGMENTIN(R 625)              10'S</t>
  </si>
  <si>
    <t xml:space="preserve">  0.00    200.59</t>
  </si>
  <si>
    <t>4     CROCIN-120 SYP                60ML</t>
  </si>
  <si>
    <t xml:space="preserve">  0.00     35.61</t>
  </si>
  <si>
    <t>5     ZENTIL TAB                    1'S</t>
  </si>
  <si>
    <t xml:space="preserve">  0.00      8.58</t>
  </si>
  <si>
    <t>6     ZODERM E CREAM                30ML</t>
  </si>
  <si>
    <t xml:space="preserve">  0.00    234.25</t>
  </si>
  <si>
    <t>1     FOLSAFE L                     15'S</t>
  </si>
  <si>
    <t xml:space="preserve">  0.00    237.35</t>
  </si>
  <si>
    <t>2     NATUROGEST GEL 8.0%           1*15</t>
  </si>
  <si>
    <t xml:space="preserve">  0.00    152.20</t>
  </si>
  <si>
    <t>1     DERMADEW LITE SOAP            50GM</t>
  </si>
  <si>
    <t xml:space="preserve">  0.00    175.00</t>
  </si>
  <si>
    <t>1     ENUFF 100 CAP                 1*10</t>
  </si>
  <si>
    <t xml:space="preserve">  0.00    107.50</t>
  </si>
  <si>
    <t>1     BONNISAN DROPS                30ML</t>
  </si>
  <si>
    <t xml:space="preserve">  0.00     65.00</t>
  </si>
  <si>
    <t>2     BONNISAN SYP                  100ML</t>
  </si>
  <si>
    <t xml:space="preserve">  0.00     55.00</t>
  </si>
  <si>
    <t>3     LIV-52 SYP                    100ML</t>
  </si>
  <si>
    <t xml:space="preserve">  0.00     80.00</t>
  </si>
  <si>
    <t>4     LIV-52 SYP                    200ML</t>
  </si>
  <si>
    <t xml:space="preserve">  0.00    135.00</t>
  </si>
  <si>
    <t>5     MENTAT TAB                    60 TAB</t>
  </si>
  <si>
    <t>6     PILEX FORTE OINT              30GM</t>
  </si>
  <si>
    <t>7     PILEX TAB                     60</t>
  </si>
  <si>
    <t>8     RENALKA SYRUP 100 ML          100ML</t>
  </si>
  <si>
    <t>1     OFLABEND-OZ TAB               10</t>
  </si>
  <si>
    <t xml:space="preserve">  0.00    134.00</t>
  </si>
  <si>
    <t>2     VOVESPAN INJ 1ML              1ML</t>
  </si>
  <si>
    <t xml:space="preserve">  0.00     19.80</t>
  </si>
  <si>
    <t>1     EXCELA MAX MOISTURISER        200G</t>
  </si>
  <si>
    <t xml:space="preserve">  0.00    440.00</t>
  </si>
  <si>
    <t>2     EXCELA MOISTURISER            50GM</t>
  </si>
  <si>
    <t xml:space="preserve">  0.00    468.56</t>
  </si>
  <si>
    <t>3     ITASPOR                       1*8</t>
  </si>
  <si>
    <t xml:space="preserve">  0.00    154.00</t>
  </si>
  <si>
    <t>4     ITASPOR                       10CAP</t>
  </si>
  <si>
    <t>5     ITASPOR 200 CAP               1*8</t>
  </si>
  <si>
    <t>6     ITASPOR 200 CAP               10CAP</t>
  </si>
  <si>
    <t xml:space="preserve">  0.00    240.00</t>
  </si>
  <si>
    <t>7     ITASPOR 200CAP                10CAP</t>
  </si>
  <si>
    <t>8     ITASPOR CAP                   1*8</t>
  </si>
  <si>
    <t>9     ITASPOR SB                    1*10CAP</t>
  </si>
  <si>
    <t xml:space="preserve">  0.00    184.00</t>
  </si>
  <si>
    <t>10    LEVERA 500                    15S</t>
  </si>
  <si>
    <t xml:space="preserve">  0.00    199.08</t>
  </si>
  <si>
    <t>11    LIPICURE 10 TAB               10</t>
  </si>
  <si>
    <t xml:space="preserve">  0.00    123.20</t>
  </si>
  <si>
    <t>12    LIPICURE 20                   15S</t>
  </si>
  <si>
    <t xml:space="preserve">  0.00    222.60</t>
  </si>
  <si>
    <t>13    LOMELA 18GM                   1*18GM</t>
  </si>
  <si>
    <t xml:space="preserve">  0.00    200.00</t>
  </si>
  <si>
    <t>14    LULIBET CREAM                 1*30GM</t>
  </si>
  <si>
    <t xml:space="preserve">  0.00    258.00</t>
  </si>
  <si>
    <t>15    MILDY SHAMPOO                 1*100ML</t>
  </si>
  <si>
    <t xml:space="preserve">  0.00    195.00</t>
  </si>
  <si>
    <t>16    MOMESONE 25GM                 1*25GM</t>
  </si>
  <si>
    <t xml:space="preserve">  0.00    155.00</t>
  </si>
  <si>
    <t>17    MORR F 10%                    1*60ML</t>
  </si>
  <si>
    <t xml:space="preserve">  0.00    975.00</t>
  </si>
  <si>
    <t>18    MORR F 5%                     1*60ML</t>
  </si>
  <si>
    <t xml:space="preserve">  0.00    725.00</t>
  </si>
  <si>
    <t>19    NAPRA-D 250                   10S</t>
  </si>
  <si>
    <t>20    OLIMELT 10 TAB                10S</t>
  </si>
  <si>
    <t xml:space="preserve">  0.00     77.50</t>
  </si>
  <si>
    <t>21    RABIUM 20 TAB                 10'S</t>
  </si>
  <si>
    <t xml:space="preserve">  0.00    117.00</t>
  </si>
  <si>
    <t>22    RENIVA M 500                  1*10</t>
  </si>
  <si>
    <t xml:space="preserve">  0.00    138.50</t>
  </si>
  <si>
    <t>23    RIVELA SUNSCREEN LOTION       50ML</t>
  </si>
  <si>
    <t xml:space="preserve">  0.00    519.24</t>
  </si>
  <si>
    <t>24    SARTEL LN                     10'S</t>
  </si>
  <si>
    <t xml:space="preserve">  0.00    123.00</t>
  </si>
  <si>
    <t>25    SARTEL-20MG                   15S</t>
  </si>
  <si>
    <t xml:space="preserve">  0.00     61.15</t>
  </si>
  <si>
    <t>26    SARTEL-40                     15S</t>
  </si>
  <si>
    <t xml:space="preserve">  0.00    111.05</t>
  </si>
  <si>
    <t>27    SASLIC DS F/W 1*60ML          60ML</t>
  </si>
  <si>
    <t xml:space="preserve">  0.00    395.96</t>
  </si>
  <si>
    <t>28    SASLIC FACE WASH              60ML</t>
  </si>
  <si>
    <t xml:space="preserve">  0.00    343.64</t>
  </si>
  <si>
    <t>29    SEBOWASH SHAMPOO              100ML</t>
  </si>
  <si>
    <t xml:space="preserve">  0.00    256.00</t>
  </si>
  <si>
    <t>30    TENIVA M FORTE TAB            15S</t>
  </si>
  <si>
    <t xml:space="preserve">  0.00    308.00</t>
  </si>
  <si>
    <t>31    TENIVA M TAB                  20S</t>
  </si>
  <si>
    <t xml:space="preserve">  0.00    320.00</t>
  </si>
  <si>
    <t>32    TENIVA TAB                    20S</t>
  </si>
  <si>
    <t xml:space="preserve">  0.00    248.00</t>
  </si>
  <si>
    <t>33    TRETIVA 20                    1*10</t>
  </si>
  <si>
    <t xml:space="preserve">  0.00    211.00</t>
  </si>
  <si>
    <t>34    TRETIVA 30                    1*10</t>
  </si>
  <si>
    <t xml:space="preserve">  0.00    295.00</t>
  </si>
  <si>
    <t>35    TUGAIN MEN SOLUTION           60ML</t>
  </si>
  <si>
    <t xml:space="preserve">  0.00    830.00</t>
  </si>
  <si>
    <t>36    TUGAIN SOLUTION 2%            60ML</t>
  </si>
  <si>
    <t xml:space="preserve">  0.00    331.44</t>
  </si>
  <si>
    <t>37    TUGAIN SOLUTION 5%            60ML</t>
  </si>
  <si>
    <t xml:space="preserve">  0.00    775.00</t>
  </si>
  <si>
    <t>38    VB7 HAIR TAB                  10'S</t>
  </si>
  <si>
    <t>39    X GAIN SHAMPOO                100ML</t>
  </si>
  <si>
    <t>40    ZORYL 1 TAB                   15S</t>
  </si>
  <si>
    <t>41    ZORYL 2 TAB                   15S</t>
  </si>
  <si>
    <t xml:space="preserve">  0.00     96.10</t>
  </si>
  <si>
    <t>42    ZORYL 4 TAB                   15S</t>
  </si>
  <si>
    <t xml:space="preserve">  0.00    216.00</t>
  </si>
  <si>
    <t>43    ZORYL M 0.5                   20S</t>
  </si>
  <si>
    <t xml:space="preserve">  0.00     65.50</t>
  </si>
  <si>
    <t>44    ZORYL M 1 TAB                 20S</t>
  </si>
  <si>
    <t xml:space="preserve">  0.00    188.00</t>
  </si>
  <si>
    <t>45    ZORYL M 2 TAB                 20S</t>
  </si>
  <si>
    <t xml:space="preserve">  0.00    264.00</t>
  </si>
  <si>
    <t>46    ZORYL M1 FORTE                15S</t>
  </si>
  <si>
    <t xml:space="preserve">  0.00    157.00</t>
  </si>
  <si>
    <t>47    ZORYL M2 FORTE TAB            15'S</t>
  </si>
  <si>
    <t xml:space="preserve">  0.00    196.00</t>
  </si>
  <si>
    <t>48    ZORYL M3 FORTE                15S</t>
  </si>
  <si>
    <t>1     ACCECLOIN PLUS BLISTER        10</t>
  </si>
  <si>
    <t xml:space="preserve">  0.00     98.00</t>
  </si>
  <si>
    <t>2     OFLOIN MZ SUSPENSTION         30ML</t>
  </si>
  <si>
    <t xml:space="preserve">  0.00     70.00</t>
  </si>
  <si>
    <t>3     PANTOIN-40 INJ                1</t>
  </si>
  <si>
    <t xml:space="preserve">  0.00     49.71</t>
  </si>
  <si>
    <t>4     PARAIN-500 TAB                10TAB</t>
  </si>
  <si>
    <t xml:space="preserve">  0.00     10.19</t>
  </si>
  <si>
    <t>5     RABIN-DSR CAP                 10</t>
  </si>
  <si>
    <t>1     ELTOCIN-DS TAB                10TAB</t>
  </si>
  <si>
    <t xml:space="preserve">  0.00    141.05</t>
  </si>
  <si>
    <t>2     KERAGLOW A/D SHAMPOO          75ML</t>
  </si>
  <si>
    <t xml:space="preserve">  0.00    324.00</t>
  </si>
  <si>
    <t>3     KERAGLOW MEN                  10TAB</t>
  </si>
  <si>
    <t xml:space="preserve">  0.00    215.00</t>
  </si>
  <si>
    <t>4     LARIAGO TAB                   10'S</t>
  </si>
  <si>
    <t xml:space="preserve">  0.00     12.49</t>
  </si>
  <si>
    <t>5     RX TOR 20MG                   1*10</t>
  </si>
  <si>
    <t xml:space="preserve">  0.00    240.80</t>
  </si>
  <si>
    <t>6     SOLVIN COLD SYP               60ML</t>
  </si>
  <si>
    <t xml:space="preserve">  0.00     58.45</t>
  </si>
  <si>
    <t>7     VALDIFF M 500MG               1*15</t>
  </si>
  <si>
    <t xml:space="preserve">  0.00    125.00</t>
  </si>
  <si>
    <t>8     ZERODOL SPAS TAB              10'S</t>
  </si>
  <si>
    <t xml:space="preserve">  0.00    119.70</t>
  </si>
  <si>
    <t>1      CTD T 6.25/40                1*10</t>
  </si>
  <si>
    <t xml:space="preserve">  0.00    172.90</t>
  </si>
  <si>
    <t>2     CALCHEK 2.5MG                 1*10</t>
  </si>
  <si>
    <t xml:space="preserve">  0.00     18.48</t>
  </si>
  <si>
    <t>3     CALCHEK 5MG                   1*10</t>
  </si>
  <si>
    <t xml:space="preserve">  0.00     29.12</t>
  </si>
  <si>
    <t>4     CTD M 6.25/50                 1*10</t>
  </si>
  <si>
    <t xml:space="preserve">  0.00    103.35</t>
  </si>
  <si>
    <t>5     CTD T 12.5/40 TAB             1*10</t>
  </si>
  <si>
    <t xml:space="preserve">  0.00    212.80</t>
  </si>
  <si>
    <t>6     CTD T 6.25/40                 1*10</t>
  </si>
  <si>
    <t>7     ETOVA -ER 600                 1*10</t>
  </si>
  <si>
    <t xml:space="preserve">  0.00    181.45</t>
  </si>
  <si>
    <t>8     ETOVA ER 400                  1*10</t>
  </si>
  <si>
    <t xml:space="preserve">  0.00    144.80</t>
  </si>
  <si>
    <t>9     ETOVA-MR 400/4MG              10TAB</t>
  </si>
  <si>
    <t xml:space="preserve">  0.00    249.05</t>
  </si>
  <si>
    <t>10    FOLITRAX 10MG                 10TAB</t>
  </si>
  <si>
    <t xml:space="preserve">  0.00    127.78</t>
  </si>
  <si>
    <t>11    FOLITRAX 15MG TAB             1*10</t>
  </si>
  <si>
    <t xml:space="preserve">  0.00    387.70</t>
  </si>
  <si>
    <t>12    FOLITRAX 2.5MG                1*10</t>
  </si>
  <si>
    <t xml:space="preserve">  0.00     50.09</t>
  </si>
  <si>
    <t>13    FOLITRAX 20MG                 4TAB</t>
  </si>
  <si>
    <t xml:space="preserve">  0.00    172.65</t>
  </si>
  <si>
    <t>14    FOLITRAX 25MG                 1*4</t>
  </si>
  <si>
    <t xml:space="preserve">  0.00    230.90</t>
  </si>
  <si>
    <t>15    FOLITRAX 5MG                  1*10</t>
  </si>
  <si>
    <t xml:space="preserve">  0.00     87.68</t>
  </si>
  <si>
    <t>16    GLYCINORM M 40MG              1*10</t>
  </si>
  <si>
    <t xml:space="preserve">  0.00    102.20</t>
  </si>
  <si>
    <t>17    GLYCINORM M 80MG              1*10</t>
  </si>
  <si>
    <t xml:space="preserve">  0.00    174.80</t>
  </si>
  <si>
    <t>18    GLYCINORM TOTAL 30MG          1*10</t>
  </si>
  <si>
    <t xml:space="preserve">  0.00     94.90</t>
  </si>
  <si>
    <t>19    HCQS 200MG                    1*10</t>
  </si>
  <si>
    <t xml:space="preserve">  0.00     99.78</t>
  </si>
  <si>
    <t>20    LEFNO-10                      1*10</t>
  </si>
  <si>
    <t xml:space="preserve">  0.00    111.78</t>
  </si>
  <si>
    <t>21    LUMERAX 80 TAB                1*6TAB</t>
  </si>
  <si>
    <t xml:space="preserve">  0.00    156.03</t>
  </si>
  <si>
    <t>22    PARI CR 12.5                  1*10</t>
  </si>
  <si>
    <t xml:space="preserve">  0.00    246.00</t>
  </si>
  <si>
    <t>23    PARI CR 25MG                  1*10</t>
  </si>
  <si>
    <t xml:space="preserve">  0.00    339.81</t>
  </si>
  <si>
    <t>24    REVELOL XL 25                 1*10</t>
  </si>
  <si>
    <t>25    REVELOL XL 50                 1*10</t>
  </si>
  <si>
    <t xml:space="preserve">  0.00     96.77</t>
  </si>
  <si>
    <t>26    REVELOL-AM 50/5 TAB           1*10</t>
  </si>
  <si>
    <t xml:space="preserve">  0.00    194.00</t>
  </si>
  <si>
    <t>27    RX TOR 10MG                   1*10</t>
  </si>
  <si>
    <t xml:space="preserve">  0.00    131.95</t>
  </si>
  <si>
    <t>28    RX TOR F 10MG                 10</t>
  </si>
  <si>
    <t xml:space="preserve">  0.00    192.45</t>
  </si>
  <si>
    <t>29    RX TOR F 5MG                  1*10</t>
  </si>
  <si>
    <t xml:space="preserve">  0.00    118.00</t>
  </si>
  <si>
    <t>30    SAAZ TAB                      1*10</t>
  </si>
  <si>
    <t xml:space="preserve">  0.00     62.00</t>
  </si>
  <si>
    <t>31    SAAZ-DS TAB                   1*10</t>
  </si>
  <si>
    <t>32    X TOR 10 MG                   1*10</t>
  </si>
  <si>
    <t xml:space="preserve">  0.00     61.26</t>
  </si>
  <si>
    <t>33    X TOR 5 MG                    1*10</t>
  </si>
  <si>
    <t xml:space="preserve">  0.00     66.80</t>
  </si>
  <si>
    <t>34    X TOR F                       1*10</t>
  </si>
  <si>
    <t>35    ZERODOL P TAB                 1*10</t>
  </si>
  <si>
    <t xml:space="preserve">  0.00     54.95</t>
  </si>
  <si>
    <t>36    ZERODOL TAB                   1*10</t>
  </si>
  <si>
    <t xml:space="preserve">  0.00     46.80</t>
  </si>
  <si>
    <t>1     EXTAND HAIR                   1*10</t>
  </si>
  <si>
    <t>2     EXTEND FORTE TAB              10</t>
  </si>
  <si>
    <t>3     KLM KLIN AHA FOAMING GEL      100GM</t>
  </si>
  <si>
    <t xml:space="preserve">  0.00    235.00</t>
  </si>
  <si>
    <t>4     KLM KLIN FACE WASH            100GM</t>
  </si>
  <si>
    <t xml:space="preserve">  0.00    255.00</t>
  </si>
  <si>
    <t>5     ONITRAZ CAP                   1*10</t>
  </si>
  <si>
    <t xml:space="preserve">  0.00    199.95</t>
  </si>
  <si>
    <t>6     RESOTEN 20                    1*10</t>
  </si>
  <si>
    <t xml:space="preserve">  0.00    197.00</t>
  </si>
  <si>
    <t>7     ZYDIP C LOTION                30ML</t>
  </si>
  <si>
    <t xml:space="preserve">  0.00    130.00</t>
  </si>
  <si>
    <t>8     ZYDIP LOTION                  100GM</t>
  </si>
  <si>
    <t xml:space="preserve">  0.00    225.00</t>
  </si>
  <si>
    <t>1     GUDCEF DRY SYP                30ML</t>
  </si>
  <si>
    <t xml:space="preserve">  0.00     81.00</t>
  </si>
  <si>
    <t>1     AMLOVAS M 5/50                10'S</t>
  </si>
  <si>
    <t xml:space="preserve">  0.00    121.00</t>
  </si>
  <si>
    <t>2     BIO D3 STRONG TAB             10S</t>
  </si>
  <si>
    <t>3     MACPOD 100 ORAL SYP           30ML</t>
  </si>
  <si>
    <t xml:space="preserve">  0.00    173.00</t>
  </si>
  <si>
    <t>4     REBAGEN TAB                   10S</t>
  </si>
  <si>
    <t xml:space="preserve">  0.00    114.00</t>
  </si>
  <si>
    <t>5     TENLIMAC M 500MG              10'S</t>
  </si>
  <si>
    <t xml:space="preserve">  0.00    157.50</t>
  </si>
  <si>
    <t>1     DELPHI-L SYP                  200ML</t>
  </si>
  <si>
    <t>2     DELPHIL-L INJ</t>
  </si>
  <si>
    <t>1     ABIWAY TAB                    10S</t>
  </si>
  <si>
    <t xml:space="preserve">  0.00    159.23</t>
  </si>
  <si>
    <t>2     ACNESTAR FACEWASH             50GM</t>
  </si>
  <si>
    <t>3     ACNESTAR SOAP                 75GM</t>
  </si>
  <si>
    <t>4     AMLOKIND 2.5 TAB              30</t>
  </si>
  <si>
    <t xml:space="preserve">  0.00     29.62</t>
  </si>
  <si>
    <t>5     AMLOKIND 5 TAB                10</t>
  </si>
  <si>
    <t xml:space="preserve">  0.00     13.03</t>
  </si>
  <si>
    <t>6     AMLOKIND AT TAB               10</t>
  </si>
  <si>
    <t xml:space="preserve">  0.00     40.65</t>
  </si>
  <si>
    <t>7     AMLOKIND H TAB                10</t>
  </si>
  <si>
    <t xml:space="preserve">  0.00     31.86</t>
  </si>
  <si>
    <t>8     AMLOKIND L TAB                10</t>
  </si>
  <si>
    <t xml:space="preserve">  0.00     57.83</t>
  </si>
  <si>
    <t>9     AMLOKIND TM TAB               6</t>
  </si>
  <si>
    <t xml:space="preserve">  0.00     57.31</t>
  </si>
  <si>
    <t>10    AMLOKIND-AT TAB               15'S</t>
  </si>
  <si>
    <t>11    ASTHAKIND DX SYP              100ML</t>
  </si>
  <si>
    <t>12    ASTHAKIND EXP SYP             100ML</t>
  </si>
  <si>
    <t xml:space="preserve">  0.00     77.00</t>
  </si>
  <si>
    <t>13    ASTHAKIND LS DROP             5ML</t>
  </si>
  <si>
    <t xml:space="preserve">  0.00     53.00</t>
  </si>
  <si>
    <t>14    ASTHAKIND LS SYP              60ML</t>
  </si>
  <si>
    <t xml:space="preserve">  0.00     60.50</t>
  </si>
  <si>
    <t>15    ASTHAKIND TAB                 10</t>
  </si>
  <si>
    <t>16    BANDY PLUS SYP                10ML</t>
  </si>
  <si>
    <t xml:space="preserve">  0.00     33.00</t>
  </si>
  <si>
    <t>17    BANDY SYP                     10ML</t>
  </si>
  <si>
    <t xml:space="preserve">  0.00     17.87</t>
  </si>
  <si>
    <t>18    BANDY TAB                     1</t>
  </si>
  <si>
    <t xml:space="preserve">  0.00      8.60</t>
  </si>
  <si>
    <t>19    BIGGABA NT TAB                10</t>
  </si>
  <si>
    <t xml:space="preserve">  0.00    179.90</t>
  </si>
  <si>
    <t>20    BISOHEART 2.5MG TAB           10</t>
  </si>
  <si>
    <t xml:space="preserve">  0.00     50.60</t>
  </si>
  <si>
    <t>21    BISOHEART 5MG TAB             10</t>
  </si>
  <si>
    <t xml:space="preserve">  0.00     79.64</t>
  </si>
  <si>
    <t>22    CALAPURE A LOTION             50ML</t>
  </si>
  <si>
    <t xml:space="preserve">  0.00    105.00</t>
  </si>
  <si>
    <t>23    CALDIKIND PLUS CAP            10</t>
  </si>
  <si>
    <t xml:space="preserve">  0.00    139.90</t>
  </si>
  <si>
    <t>24    CARDIMOL PLUS 10 TAB          10</t>
  </si>
  <si>
    <t xml:space="preserve">  0.00    113.13</t>
  </si>
  <si>
    <t>25    CEFAKIND 250 TAB              10</t>
  </si>
  <si>
    <t xml:space="preserve">  0.00    190.33</t>
  </si>
  <si>
    <t>26    CEFAKIND 500 TAB              10</t>
  </si>
  <si>
    <t xml:space="preserve">  0.00    380.66</t>
  </si>
  <si>
    <t>27    CEFAKIND CV 250 TAB           6</t>
  </si>
  <si>
    <t xml:space="preserve">  0.00    290.40</t>
  </si>
  <si>
    <t>28    CEFAKIND CV 500 TAB           6</t>
  </si>
  <si>
    <t xml:space="preserve">  0.00    435.60</t>
  </si>
  <si>
    <t>29    CEFAKIND DRY SYP              30ML</t>
  </si>
  <si>
    <t xml:space="preserve">  0.00    142.89</t>
  </si>
  <si>
    <t>30    COLIWIN R CAP                 10</t>
  </si>
  <si>
    <t xml:space="preserve">  0.00     96.62</t>
  </si>
  <si>
    <t>31    DYDROBOON TAB                 10</t>
  </si>
  <si>
    <t xml:space="preserve">  0.00    500.00</t>
  </si>
  <si>
    <t>32    DYNAGLIPT M TAB               10</t>
  </si>
  <si>
    <t xml:space="preserve">  0.00    104.50</t>
  </si>
  <si>
    <t>33    DYNAGLIPT TAB                 10</t>
  </si>
  <si>
    <t xml:space="preserve">  0.00     71.50</t>
  </si>
  <si>
    <t>34    FERIKIND M SYP                170ML</t>
  </si>
  <si>
    <t>35    FERIKIND M TAB                10</t>
  </si>
  <si>
    <t>36    GASTICA DROP                  15ML</t>
  </si>
  <si>
    <t>37    GLIMESTAR M1 TAB              10</t>
  </si>
  <si>
    <t xml:space="preserve">  0.00     65.82</t>
  </si>
  <si>
    <t>38    GLIMESTAR M2 TAB              30</t>
  </si>
  <si>
    <t xml:space="preserve">  0.00     90.75</t>
  </si>
  <si>
    <t>39    GLIPTAGREAT M1000 TAB         10</t>
  </si>
  <si>
    <t xml:space="preserve">  0.00     69.90</t>
  </si>
  <si>
    <t>40    GLIPTAGREAT M500 TAB          10</t>
  </si>
  <si>
    <t xml:space="preserve">  0.00     67.50</t>
  </si>
  <si>
    <t>41    GUDCEF 100 TAB                10</t>
  </si>
  <si>
    <t xml:space="preserve">  0.00    126.44</t>
  </si>
  <si>
    <t>42    GUDCEF 200 TAB                10</t>
  </si>
  <si>
    <t xml:space="preserve">  0.00    145.20</t>
  </si>
  <si>
    <t>43    GUDCEF 50 TAB                 10</t>
  </si>
  <si>
    <t xml:space="preserve">  0.00     66.55</t>
  </si>
  <si>
    <t>44    GUDCEF CV 100 SYP             30ML</t>
  </si>
  <si>
    <t>45    GUDCEF CV 100 TAB             6</t>
  </si>
  <si>
    <t>46    GUDCEF CV 200 TAB             10</t>
  </si>
  <si>
    <t>47    GUDCEF CV DRY SYP             30ML</t>
  </si>
  <si>
    <t xml:space="preserve">  0.00     95.70</t>
  </si>
  <si>
    <t>48    GUDCEF DROP                   10ML</t>
  </si>
  <si>
    <t>49    GUDCEF DRY SYP                30ML</t>
  </si>
  <si>
    <t>50    GUDCEF PLUS TAB               10</t>
  </si>
  <si>
    <t>51    GUT OK CAPSULE                10</t>
  </si>
  <si>
    <t xml:space="preserve">  0.00    120.40</t>
  </si>
  <si>
    <t>52    HAIRBLESS TAB                 10</t>
  </si>
  <si>
    <t xml:space="preserve">  0.00    209.90</t>
  </si>
  <si>
    <t>53    HEPANEED TAB                  10</t>
  </si>
  <si>
    <t xml:space="preserve">  0.00     40.00</t>
  </si>
  <si>
    <t>54    LECOPE TAB                    10</t>
  </si>
  <si>
    <t xml:space="preserve">  0.00     24.68</t>
  </si>
  <si>
    <t>55    LIPIKIND 10MG TAB             10</t>
  </si>
  <si>
    <t xml:space="preserve">  0.00     36.90</t>
  </si>
  <si>
    <t>56    LIPIKIND 40MG TAB             10</t>
  </si>
  <si>
    <t xml:space="preserve">  0.00    104.62</t>
  </si>
  <si>
    <t>57    LIPIKIND-20                   10TAB</t>
  </si>
  <si>
    <t xml:space="preserve">  0.00     52.29</t>
  </si>
  <si>
    <t>58    LOSAKIND 25 MG                10</t>
  </si>
  <si>
    <t xml:space="preserve">  0.00     24.20</t>
  </si>
  <si>
    <t>59    LOSAKIND 50 MG TAB            10</t>
  </si>
  <si>
    <t xml:space="preserve">  0.00     42.83</t>
  </si>
  <si>
    <t>60    LOSAKIND H TAB                10</t>
  </si>
  <si>
    <t>61    MOXIKIND CV 375MG TAB         6</t>
  </si>
  <si>
    <t>62    MOXIKIND CV SYP               30ML</t>
  </si>
  <si>
    <t xml:space="preserve">  0.00     56.87</t>
  </si>
  <si>
    <t>63    NITROBACT 100MG               10</t>
  </si>
  <si>
    <t xml:space="preserve">  0.00     78.61</t>
  </si>
  <si>
    <t>64    NITROLONG 2.6MG TAB           25</t>
  </si>
  <si>
    <t xml:space="preserve">  0.00    183.59</t>
  </si>
  <si>
    <t>65    NITROLONG 6.4MG TAB           25</t>
  </si>
  <si>
    <t xml:space="preserve">  0.00    245.02</t>
  </si>
  <si>
    <t>66    NOBEL COLD TAB                10</t>
  </si>
  <si>
    <t>67    NOBEL MD TAB                  10</t>
  </si>
  <si>
    <t xml:space="preserve">  0.00     39.66</t>
  </si>
  <si>
    <t>68    NOBEL SPAS INJ                3ML</t>
  </si>
  <si>
    <t xml:space="preserve">  0.00     13.60</t>
  </si>
  <si>
    <t>69    NOBEL SPAS TAB                10</t>
  </si>
  <si>
    <t>70    NOBEL TAB                     10</t>
  </si>
  <si>
    <t xml:space="preserve">  0.00     41.25</t>
  </si>
  <si>
    <t>71    NOBLOK AF DROP                15ML</t>
  </si>
  <si>
    <t xml:space="preserve">  0.00     47.91</t>
  </si>
  <si>
    <t>72    NOSIKIND-1% DROP              10ML</t>
  </si>
  <si>
    <t xml:space="preserve">  0.00     58.21</t>
  </si>
  <si>
    <t>73    NOSIKIND-P NASAL DROP         10ML</t>
  </si>
  <si>
    <t xml:space="preserve">  0.00     43.80</t>
  </si>
  <si>
    <t>74    NUFORCE 150MG TAB             1</t>
  </si>
  <si>
    <t xml:space="preserve">  0.00     22.31</t>
  </si>
  <si>
    <t>75    NUFORCE 200MG TAB             1</t>
  </si>
  <si>
    <t xml:space="preserve">  0.00     35.55</t>
  </si>
  <si>
    <t>76    NUFORCE 400MG TAB             1</t>
  </si>
  <si>
    <t xml:space="preserve">  0.00     26.06</t>
  </si>
  <si>
    <t>77    NUFORCE 50MG TAB              1</t>
  </si>
  <si>
    <t xml:space="preserve">  0.00     21.00</t>
  </si>
  <si>
    <t>78    NUFORCE-GM                    15GM</t>
  </si>
  <si>
    <t xml:space="preserve">  0.00     53.14</t>
  </si>
  <si>
    <t>79    NUROKIND DROP                 15ML</t>
  </si>
  <si>
    <t xml:space="preserve">  0.00     60.00</t>
  </si>
  <si>
    <t>80    NUROKIND FAST STRP            1*10</t>
  </si>
  <si>
    <t xml:space="preserve">  0.00     17.99</t>
  </si>
  <si>
    <t>81    NUROKIND FORTE TAB            10</t>
  </si>
  <si>
    <t xml:space="preserve">  0.00    115.50</t>
  </si>
  <si>
    <t>82    NUROKIND GOLD CAP             10</t>
  </si>
  <si>
    <t xml:space="preserve">  0.00     97.90</t>
  </si>
  <si>
    <t>83    NUROKIND GOLD INJ             2ML</t>
  </si>
  <si>
    <t xml:space="preserve">  0.00     24.99</t>
  </si>
  <si>
    <t>84    NUROKIND INJ                  1ML</t>
  </si>
  <si>
    <t xml:space="preserve">  0.00     18.99</t>
  </si>
  <si>
    <t>85    NUROKIND OD TAB               20</t>
  </si>
  <si>
    <t>86    NUROKIND Z MORE TAB           10</t>
  </si>
  <si>
    <t>87    NUROKIND-LC TAB               10</t>
  </si>
  <si>
    <t xml:space="preserve">  0.00    194.85</t>
  </si>
  <si>
    <t>88    OLMETIME 20MG TAB             10</t>
  </si>
  <si>
    <t>89    OLMETIME 40MG TAB             10</t>
  </si>
  <si>
    <t xml:space="preserve">  0.00    107.16</t>
  </si>
  <si>
    <t>90    OTOCIN C EAR DROP             5ML</t>
  </si>
  <si>
    <t xml:space="preserve">  0.00     58.00</t>
  </si>
  <si>
    <t>91    PLACIDA TAB                   10</t>
  </si>
  <si>
    <t xml:space="preserve">  0.00     69.57</t>
  </si>
  <si>
    <t>92    RABEKIND 20MG TAB             10</t>
  </si>
  <si>
    <t xml:space="preserve">  0.00     54.45</t>
  </si>
  <si>
    <t>93    RABEKIND DSR CAP              10</t>
  </si>
  <si>
    <t>94    RANIDOM MPS SYP               170ML</t>
  </si>
  <si>
    <t>95    RANIDOM O SYP                 200ML</t>
  </si>
  <si>
    <t xml:space="preserve">  0.00    131.07</t>
  </si>
  <si>
    <t>96    RANIDOM O TAB                 20</t>
  </si>
  <si>
    <t xml:space="preserve">  0.00     48.31</t>
  </si>
  <si>
    <t>97    RANIDOM TAB                   20</t>
  </si>
  <si>
    <t xml:space="preserve">  0.00     67.21</t>
  </si>
  <si>
    <t>98    RIFASTOP 200MG TAB            10</t>
  </si>
  <si>
    <t>99    T-98 DROP                     15ML</t>
  </si>
  <si>
    <t xml:space="preserve">  0.00     27.03</t>
  </si>
  <si>
    <t>100   T-98 SYP                      60ML</t>
  </si>
  <si>
    <t xml:space="preserve">  0.00     22.46</t>
  </si>
  <si>
    <t>101   TELMIKIND AMH TAB             10</t>
  </si>
  <si>
    <t xml:space="preserve">  0.00     80.52</t>
  </si>
  <si>
    <t>102   TELMIKIND BETA 25TAB          10</t>
  </si>
  <si>
    <t xml:space="preserve">  0.00     97.35</t>
  </si>
  <si>
    <t>103   TELMIKIND BETA 50TAB          10</t>
  </si>
  <si>
    <t xml:space="preserve">  0.00    116.90</t>
  </si>
  <si>
    <t>104   TELMIKIND CT 40MG             10</t>
  </si>
  <si>
    <t xml:space="preserve">  0.00     79.90</t>
  </si>
  <si>
    <t>105   TELMIKIND TRIO 6.25 MG        10</t>
  </si>
  <si>
    <t>106   TELMIKIND-20MG TAB            30</t>
  </si>
  <si>
    <t xml:space="preserve">  0.00     21.40</t>
  </si>
  <si>
    <t>107   TELMIKIND-40MG TAB            10</t>
  </si>
  <si>
    <t xml:space="preserve">  0.00     34.67</t>
  </si>
  <si>
    <t>108   TELMIKIND-80 TAB              10</t>
  </si>
  <si>
    <t xml:space="preserve">  0.00     68.89</t>
  </si>
  <si>
    <t>109   TELMIKIND-AM                  10TAB</t>
  </si>
  <si>
    <t>110   TELMIKIND-AM TAB              10</t>
  </si>
  <si>
    <t>111   TELMIKIND-H TAB               10</t>
  </si>
  <si>
    <t>112   TELMIKIND-H-80MG TAB          10</t>
  </si>
  <si>
    <t xml:space="preserve">  0.00    102.85</t>
  </si>
  <si>
    <t>113   TERBINAFORCE 500MG TAB        7</t>
  </si>
  <si>
    <t xml:space="preserve">  0.00    152.46</t>
  </si>
  <si>
    <t>114   TERBINAFORCE CREAM            10GM</t>
  </si>
  <si>
    <t>115   TERBINAFORCE PLUS CREAM       15GM</t>
  </si>
  <si>
    <t>116   TERBINAFORCE TAB              7</t>
  </si>
  <si>
    <t xml:space="preserve">  0.00     91.04</t>
  </si>
  <si>
    <t>117   THERMOKIND F GEL              100GM</t>
  </si>
  <si>
    <t xml:space="preserve">  0.00    123.99</t>
  </si>
  <si>
    <t>118   VENTIDOX-M TAB                10</t>
  </si>
  <si>
    <t xml:space="preserve">  0.00     79.86</t>
  </si>
  <si>
    <t>119   VERMACT-12MG TAB              10</t>
  </si>
  <si>
    <t xml:space="preserve">  0.00    372.50</t>
  </si>
  <si>
    <t>120   VERMACT-6MG TAB               1</t>
  </si>
  <si>
    <t xml:space="preserve">  0.00     90.48</t>
  </si>
  <si>
    <t>121   VERTISTAR-MD 16MG TAB         10</t>
  </si>
  <si>
    <t xml:space="preserve">  0.00     80.82</t>
  </si>
  <si>
    <t>122   VERTISTAR-MD 8MG TAB          10</t>
  </si>
  <si>
    <t xml:space="preserve">  0.00     44.91</t>
  </si>
  <si>
    <t>123   VOMIKIND FAST                 15SACH</t>
  </si>
  <si>
    <t xml:space="preserve">  0.00     13.89</t>
  </si>
  <si>
    <t>124   VOMIKIND INJ                  2ML</t>
  </si>
  <si>
    <t>125   VOMIKIND MD 4MG TAB           10</t>
  </si>
  <si>
    <t xml:space="preserve">  0.00     40.44</t>
  </si>
  <si>
    <t>126   VREMACT-6MG TAB               1</t>
  </si>
  <si>
    <t>127   ZADY 250MG TAB                6</t>
  </si>
  <si>
    <t xml:space="preserve">  0.00    110.05</t>
  </si>
  <si>
    <t>128   ZADY 500MG TAB                3</t>
  </si>
  <si>
    <t xml:space="preserve">  0.00    111.59</t>
  </si>
  <si>
    <t>129   ZENFLOX 200 MG TAB            10</t>
  </si>
  <si>
    <t xml:space="preserve">  0.00     58.90</t>
  </si>
  <si>
    <t>130   ZENFLOX EYE DROP              10ML</t>
  </si>
  <si>
    <t xml:space="preserve">  0.00     43.92</t>
  </si>
  <si>
    <t>131   ZENFLOX OZ TAB                6</t>
  </si>
  <si>
    <t xml:space="preserve">  0.00    107.69</t>
  </si>
  <si>
    <t>132   ZENFLOX UTI                   10</t>
  </si>
  <si>
    <t xml:space="preserve">  0.00    186.33</t>
  </si>
  <si>
    <t>133   ZEROGRAIN PLUS TAB            10</t>
  </si>
  <si>
    <t xml:space="preserve">  0.00     69.80</t>
  </si>
  <si>
    <t>1     URISPAS TAB                   1*15</t>
  </si>
  <si>
    <t xml:space="preserve">  0.00    377.56</t>
  </si>
  <si>
    <t>1     ONEMENTIN-625                 1*10</t>
  </si>
  <si>
    <t>1     PANTOGEN INJ                  40GM</t>
  </si>
  <si>
    <t xml:space="preserve">  0.00     48.79</t>
  </si>
  <si>
    <t>1     ACIP TH                       10*10</t>
  </si>
  <si>
    <t>2     ZINCOPLUS SYP                 200ML</t>
  </si>
  <si>
    <t>1     BECASULES-Z CAP               20S</t>
  </si>
  <si>
    <t xml:space="preserve">  0.00     41.79</t>
  </si>
  <si>
    <t>2     MEDROL 16                     14TAB</t>
  </si>
  <si>
    <t xml:space="preserve">  0.00    136.98</t>
  </si>
  <si>
    <t>3     MINIPRESS XL 5MG              30S</t>
  </si>
  <si>
    <t xml:space="preserve">  0.00    517.60</t>
  </si>
  <si>
    <t>1     CARDIVAS 6.25                 10</t>
  </si>
  <si>
    <t xml:space="preserve">  0.00     64.00</t>
  </si>
  <si>
    <t>2     ISTAMET 50/500MG              15'S</t>
  </si>
  <si>
    <t xml:space="preserve">  0.00    379.50</t>
  </si>
  <si>
    <t>3     REPALOL-H                     10'S</t>
  </si>
  <si>
    <t xml:space="preserve">  0.00    131.50</t>
  </si>
  <si>
    <t>4     REVITAL H                     10S</t>
  </si>
  <si>
    <t>5     ROSUVAS 10MG                  15'S</t>
  </si>
  <si>
    <t xml:space="preserve">  0.00    266.00</t>
  </si>
  <si>
    <t>6     SOMPRAZ HP                    10S</t>
  </si>
  <si>
    <t xml:space="preserve">  0.00    192.00</t>
  </si>
  <si>
    <t>7     SYNDOPA-CR TAB                10</t>
  </si>
  <si>
    <t xml:space="preserve">  0.00     46.08</t>
  </si>
  <si>
    <t>8     SYNDOPA-PLUS TAB              15</t>
  </si>
  <si>
    <t xml:space="preserve">  0.00     37.80</t>
  </si>
  <si>
    <t>9     TEAR DROP                     10ML</t>
  </si>
  <si>
    <t xml:space="preserve">  0.00    143.32</t>
  </si>
  <si>
    <t>10    ZOFER SYP                     30ML</t>
  </si>
  <si>
    <t xml:space="preserve">  0.00     37.34</t>
  </si>
  <si>
    <t>1     ARIP MT 20 TAB                1*15'S</t>
  </si>
  <si>
    <t xml:space="preserve">  0.00    306.00</t>
  </si>
  <si>
    <t>2     DEPLET CV 20                  10S</t>
  </si>
  <si>
    <t xml:space="preserve">  0.00    105.70</t>
  </si>
  <si>
    <t>3     LAMITOR DT 25                 10S</t>
  </si>
  <si>
    <t xml:space="preserve">  0.00    130.90</t>
  </si>
  <si>
    <t>4     VELOZ D CAP                   10S</t>
  </si>
  <si>
    <t xml:space="preserve">  0.00    171.20</t>
  </si>
  <si>
    <t>1     ACETROY-P TAB                 20*10</t>
  </si>
  <si>
    <t>1     DYNAPAR GEL                   30GM</t>
  </si>
  <si>
    <t xml:space="preserve">  0.00    131.75</t>
  </si>
  <si>
    <t>1     ANGISPAN TR 2.5MG TAB         1*25TAB</t>
  </si>
  <si>
    <t xml:space="preserve">  0.00    180.50</t>
  </si>
  <si>
    <t>2     ANGISPAN TR 6.5MG TAB         1*25</t>
  </si>
  <si>
    <t xml:space="preserve">  0.00    229.50</t>
  </si>
  <si>
    <t>3     CVP CAP                       1*10</t>
  </si>
  <si>
    <t xml:space="preserve">  0.00     86.78</t>
  </si>
  <si>
    <t>4     D-RISE SACHET                 1*10TAB</t>
  </si>
  <si>
    <t xml:space="preserve">  0.00     40.57</t>
  </si>
  <si>
    <t>5     DEROBIN OINTMENT 30 GM        1*30GM</t>
  </si>
  <si>
    <t xml:space="preserve">  0.00     99.82</t>
  </si>
  <si>
    <t>6     DOXY-1 LDR FORTE CAP          1*8CAP</t>
  </si>
  <si>
    <t xml:space="preserve">  0.00     95.25</t>
  </si>
  <si>
    <t>7     ECOSPRIN 150MG                1*14</t>
  </si>
  <si>
    <t xml:space="preserve">  0.00      8.79</t>
  </si>
  <si>
    <t>8     ECOSPRIN 75MG                 1*14</t>
  </si>
  <si>
    <t xml:space="preserve">  0.00      4.86</t>
  </si>
  <si>
    <t>9     ECOSPRIN AV 150 CAPSULES      15CAP</t>
  </si>
  <si>
    <t xml:space="preserve">  0.00     50.80</t>
  </si>
  <si>
    <t>10    ECOSPRIN AV 150/20 CAPSULES   15CAP</t>
  </si>
  <si>
    <t xml:space="preserve">  0.00     39.34</t>
  </si>
  <si>
    <t>11    ECOSPRIN AV 75 CAPSULES       10CAP</t>
  </si>
  <si>
    <t xml:space="preserve">  0.00     55.16</t>
  </si>
  <si>
    <t>12    ECOSPRIN AV 75/20             10'S</t>
  </si>
  <si>
    <t xml:space="preserve">  0.00     32.52</t>
  </si>
  <si>
    <t>13    ECOSPRIN AV 75/20 CAP         10CAP</t>
  </si>
  <si>
    <t xml:space="preserve">  0.00     35.76</t>
  </si>
  <si>
    <t>14    ECOSPRIN GOLD 10MG CAP        1*10</t>
  </si>
  <si>
    <t xml:space="preserve">  0.00     98.68</t>
  </si>
  <si>
    <t>15    ECOSPRIN GOLD 20MG            1*10</t>
  </si>
  <si>
    <t xml:space="preserve">  0.00    133.09</t>
  </si>
  <si>
    <t>16    ERYTOP LOTION                 1*25ML</t>
  </si>
  <si>
    <t xml:space="preserve">  0.00    108.88</t>
  </si>
  <si>
    <t>17    GLYCOMET 1MG TAB              1*10TAB</t>
  </si>
  <si>
    <t xml:space="preserve">  0.00     61.49</t>
  </si>
  <si>
    <t>18    GLYCOMET 500MG                1*15'S</t>
  </si>
  <si>
    <t xml:space="preserve">  0.00     16.91</t>
  </si>
  <si>
    <t>19    GLYCOMET 500SR TAB            1*20</t>
  </si>
  <si>
    <t xml:space="preserve">  0.00     43.01</t>
  </si>
  <si>
    <t>20    GLYCOMET 850 SR TAB           10TAB</t>
  </si>
  <si>
    <t xml:space="preserve">  0.00     38.70</t>
  </si>
  <si>
    <t>21    GLYCOMET GP 0.5 FORTE         1*10</t>
  </si>
  <si>
    <t xml:space="preserve">  0.00     71.00</t>
  </si>
  <si>
    <t>22    GLYCOMET GP 0.5 MG TAB        1*10</t>
  </si>
  <si>
    <t>23    GLYCOMET GP 1TAB              10</t>
  </si>
  <si>
    <t xml:space="preserve">  0.00    106.00</t>
  </si>
  <si>
    <t>24    GLYCOMET GP 2/850MG           1*10</t>
  </si>
  <si>
    <t xml:space="preserve">  0.00     88.00</t>
  </si>
  <si>
    <t>25    GLYCOMET GP 3 FORTE TAB       1*10</t>
  </si>
  <si>
    <t xml:space="preserve">  0.00    101.70</t>
  </si>
  <si>
    <t>26    GLYCOMET GP 3/850MG TAB       1*10</t>
  </si>
  <si>
    <t xml:space="preserve">  0.00     92.50</t>
  </si>
  <si>
    <t>27    GLYCOMET GP 4 FPRTE           1*10</t>
  </si>
  <si>
    <t xml:space="preserve">  0.00    103.45</t>
  </si>
  <si>
    <t>28    GLYCOMET TRIO 1/0.3 TAB       1*10</t>
  </si>
  <si>
    <t>29    GLYCOMET TRIO 1MG TAB         1*10</t>
  </si>
  <si>
    <t xml:space="preserve">  0.00    141.50</t>
  </si>
  <si>
    <t>30    GLYCOMET TRIO 2 FORTE         1*10</t>
  </si>
  <si>
    <t xml:space="preserve">  0.00    192.50</t>
  </si>
  <si>
    <t>31    GLYCOMET TRIO 2MG             1*10</t>
  </si>
  <si>
    <t xml:space="preserve">  0.00    186.50</t>
  </si>
  <si>
    <t>32    GLYNASE MF TAB                1*10</t>
  </si>
  <si>
    <t xml:space="preserve">  0.00     18.52</t>
  </si>
  <si>
    <t>33    GLYNASE TAB                   10TAB</t>
  </si>
  <si>
    <t xml:space="preserve">  0.00      7.38</t>
  </si>
  <si>
    <t>34    GP 1 TAB                      1*10</t>
  </si>
  <si>
    <t xml:space="preserve">  0.00     40.10</t>
  </si>
  <si>
    <t>35    GP 2                          1*10</t>
  </si>
  <si>
    <t xml:space="preserve">  0.00     63.73</t>
  </si>
  <si>
    <t>36    GYNACE CVP                    1*10</t>
  </si>
  <si>
    <t xml:space="preserve">  0.00     39.92</t>
  </si>
  <si>
    <t>37    JALRA OD 100MG TAB            10'S</t>
  </si>
  <si>
    <t>38    JALRA-50MG TAB                1*14TAB</t>
  </si>
  <si>
    <t xml:space="preserve">  0.00    600.00</t>
  </si>
  <si>
    <t>39    PIOZ MF G-2 TAB               1*10</t>
  </si>
  <si>
    <t xml:space="preserve">  0.00    118.20</t>
  </si>
  <si>
    <t>40    PIOZ-15 TAB                   1*10TAB</t>
  </si>
  <si>
    <t xml:space="preserve">  0.00     57.42</t>
  </si>
  <si>
    <t>41    PIOZ-30 TAB                   1*10TAB</t>
  </si>
  <si>
    <t xml:space="preserve">  0.00     91.33</t>
  </si>
  <si>
    <t>42    RAZLOC CT 80 TAB              1*10</t>
  </si>
  <si>
    <t>43    ROSEDAY 10MG TAB              1*10TAB</t>
  </si>
  <si>
    <t xml:space="preserve">  0.00    156.60</t>
  </si>
  <si>
    <t>44    ROSEDAY 20MG TAB              1*10</t>
  </si>
  <si>
    <t>45    ROSEDAY 40 MG                 10TAB</t>
  </si>
  <si>
    <t xml:space="preserve">  0.00    492.40</t>
  </si>
  <si>
    <t>46    ROSEDAY 5MG                   1*10</t>
  </si>
  <si>
    <t xml:space="preserve">  0.00     62.50</t>
  </si>
  <si>
    <t>47    ROSEDAY 5MG                   1*10</t>
  </si>
  <si>
    <t xml:space="preserve">  0.00    103.10</t>
  </si>
  <si>
    <t>48    ROSEDAY A 20 CAPSULS          10CAP</t>
  </si>
  <si>
    <t xml:space="preserve">  0.00    105.10</t>
  </si>
  <si>
    <t>49    ROSEDAY GOLD                  1*10TAB</t>
  </si>
  <si>
    <t xml:space="preserve">  0.00    122.80</t>
  </si>
  <si>
    <t>50    TAZLOC CT 80 TAB              1*10</t>
  </si>
  <si>
    <t>51    TRIGLYNASE 1GM TAB            10TAB</t>
  </si>
  <si>
    <t xml:space="preserve">  0.00     48.98</t>
  </si>
  <si>
    <t>52    TRIGLYNASE 2 FORTE TAB        10TAB</t>
  </si>
  <si>
    <t xml:space="preserve">  0.00     90.19</t>
  </si>
  <si>
    <t>53    TRIGLYNASE 2GM TAB            10TAB</t>
  </si>
  <si>
    <t xml:space="preserve">  0.00     78.49</t>
  </si>
  <si>
    <t>54    UDAPA 10 MG TAB               1*10</t>
  </si>
  <si>
    <t xml:space="preserve">  0.00    145.00</t>
  </si>
  <si>
    <t>1     DEFLAVER-6                    1*10</t>
  </si>
  <si>
    <t>2     DERMINA-L CREAM               30GM</t>
  </si>
  <si>
    <t>3     PENTARICH-DSR                 10TAB</t>
  </si>
  <si>
    <t>4     RABIVER-DSR CAP               20*10</t>
  </si>
  <si>
    <t>1     DROTIN DS TAB                 15S</t>
  </si>
  <si>
    <t xml:space="preserve">  0.00    185.50</t>
  </si>
  <si>
    <t>1     GRILINTUS L 100ML             100ML</t>
  </si>
  <si>
    <t>2     GRILINTUS LS SYP              100ML</t>
  </si>
  <si>
    <t xml:space="preserve">  0.00    104.66</t>
  </si>
  <si>
    <t>1     NEW XTFER                     1*10</t>
  </si>
  <si>
    <t>1     ZEDEX SF SYP                  100ML</t>
  </si>
  <si>
    <t xml:space="preserve">  0.00    139.00</t>
  </si>
  <si>
    <t>1     CEZUR-0.5                     10'S</t>
  </si>
  <si>
    <t xml:space="preserve">  0.00     34.00</t>
  </si>
  <si>
    <t>2     NEUROPIN 25TAB                10'S</t>
  </si>
  <si>
    <t>3     OANMELT-10                    10'S</t>
  </si>
  <si>
    <t xml:space="preserve">  0.00     55.80</t>
  </si>
  <si>
    <t>4     OCYL-5                        10'S</t>
  </si>
  <si>
    <t xml:space="preserve">  0.00     45.00</t>
  </si>
  <si>
    <t>5     TANZFF                        10'S</t>
  </si>
  <si>
    <t xml:space="preserve">  0.00     14.00</t>
  </si>
  <si>
    <t>6     VOXAZEN-100                   10'S</t>
  </si>
  <si>
    <t xml:space="preserve">  0.00    170.00</t>
  </si>
  <si>
    <t>7     ZEDIP-25                      10'S</t>
  </si>
  <si>
    <t xml:space="preserve">  0.00     31.00</t>
  </si>
  <si>
    <t>8     ZEDIP-50                      10'S</t>
  </si>
  <si>
    <t xml:space="preserve">  0.00     52.50</t>
  </si>
  <si>
    <t>9     ZENIL-50TAB                   10'S</t>
  </si>
  <si>
    <t xml:space="preserve">  0.00     72.00</t>
  </si>
  <si>
    <t>1     AUGPEN 625 BID TAB            10</t>
  </si>
  <si>
    <t xml:space="preserve">  0.00    194.22</t>
  </si>
  <si>
    <t>1     AMLODAC 5                     30S</t>
  </si>
  <si>
    <t>2     ATEN 50MG                     14</t>
  </si>
  <si>
    <t xml:space="preserve">  0.00     28.04</t>
  </si>
  <si>
    <t>3     ATEN D TAB                    10S</t>
  </si>
  <si>
    <t xml:space="preserve">  0.00     98.75</t>
  </si>
  <si>
    <t>4     PANTODAC 40 TAB               15'S</t>
  </si>
  <si>
    <t xml:space="preserve">  0.00    198.30</t>
  </si>
  <si>
    <t>5     PIVASTA 2                     10</t>
  </si>
  <si>
    <t xml:space="preserve">  0.00    165.10</t>
  </si>
  <si>
    <t>6     SUSTAMETO AM                  10'S</t>
  </si>
  <si>
    <t xml:space="preserve">  0.00    134.75</t>
  </si>
  <si>
    <t>7     ZYAQUA 0.5% EYE DROP          10ML</t>
  </si>
  <si>
    <t xml:space="preserve">  0.00    139.88</t>
  </si>
  <si>
    <t>1     LINID TAB                     10'S</t>
  </si>
  <si>
    <t xml:space="preserve">  0.00    370.88</t>
  </si>
  <si>
    <t>Our GST Billing Software MARG Erp 9300059792,07314005515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</si>
</sst>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11">
    <font>
      <sz val="11.0"/>
      <color theme="1"/>
      <name val="Calibri"/>
      <scheme val="minor"/>
    </font>
    <font>
      <color theme="1"/>
      <name val="Calibri"/>
      <scheme val="minor"/>
    </font>
    <font>
      <sz val="12.0"/>
      <color rgb="FF202124"/>
      <name val="Roboto"/>
    </font>
    <font>
      <b/>
      <sz val="12.0"/>
      <color theme="1"/>
      <name val="Arial"/>
    </font>
    <font>
      <sz val="8.0"/>
      <color theme="1"/>
      <name val="Arial"/>
    </font>
    <font>
      <b/>
      <sz val="10.0"/>
      <color theme="1"/>
      <name val="Arial"/>
    </font>
    <font>
      <b/>
      <sz val="11.0"/>
      <color theme="1"/>
      <name val="Arial"/>
    </font>
    <font/>
    <font>
      <sz val="10.0"/>
      <color theme="1"/>
      <name val="Courier New"/>
    </font>
    <font>
      <sz val="10.0"/>
      <color theme="1"/>
      <name val="Arial"/>
    </font>
    <font>
      <i/>
      <sz val="8.0"/>
      <color theme="1"/>
      <name val="Arial Narrow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0C0C0"/>
        <bgColor rgb="FFC0C0C0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1" fillId="0" fontId="1" numFmtId="49" xfId="0" applyAlignment="1" applyBorder="1" applyFont="1" applyNumberFormat="1">
      <alignment horizontal="left" readingOrder="0" shrinkToFit="0" wrapText="0"/>
    </xf>
    <xf borderId="1" fillId="0" fontId="1" numFmtId="0" xfId="0" applyAlignment="1" applyBorder="1" applyFont="1">
      <alignment horizontal="left" readingOrder="0" shrinkToFit="0" wrapText="0"/>
    </xf>
    <xf borderId="1" fillId="0" fontId="1" numFmtId="49" xfId="0" applyAlignment="1" applyBorder="1" applyFont="1" applyNumberFormat="1">
      <alignment horizontal="left" shrinkToFit="0" wrapText="0"/>
    </xf>
    <xf borderId="1" fillId="0" fontId="1" numFmtId="2" xfId="0" applyAlignment="1" applyBorder="1" applyFont="1" applyNumberFormat="1">
      <alignment horizontal="left" shrinkToFit="0" wrapText="0"/>
    </xf>
    <xf borderId="0" fillId="0" fontId="1" numFmtId="0" xfId="0" applyFont="1"/>
    <xf borderId="0" fillId="2" fontId="2" numFmtId="0" xfId="0" applyFill="1" applyFont="1"/>
    <xf borderId="0" fillId="0" fontId="1" numFmtId="0" xfId="0" applyAlignment="1" applyFont="1">
      <alignment readingOrder="0"/>
    </xf>
    <xf borderId="0" fillId="0" fontId="3" numFmtId="49" xfId="0" applyAlignment="1" applyFont="1" applyNumberFormat="1">
      <alignment horizontal="center" shrinkToFit="0" vertical="top" wrapText="0"/>
    </xf>
    <xf borderId="0" fillId="0" fontId="4" numFmtId="49" xfId="0" applyAlignment="1" applyFont="1" applyNumberFormat="1">
      <alignment horizontal="center" shrinkToFit="0" vertical="top" wrapText="0"/>
    </xf>
    <xf borderId="0" fillId="0" fontId="4" numFmtId="49" xfId="0" applyAlignment="1" applyFont="1" applyNumberFormat="1">
      <alignment shrinkToFit="0" vertical="top" wrapText="0"/>
    </xf>
    <xf borderId="1" fillId="3" fontId="5" numFmtId="49" xfId="0" applyAlignment="1" applyBorder="1" applyFill="1" applyFont="1" applyNumberFormat="1">
      <alignment horizontal="center" shrinkToFit="0" vertical="top" wrapText="0"/>
    </xf>
    <xf borderId="2" fillId="0" fontId="6" numFmtId="49" xfId="0" applyAlignment="1" applyBorder="1" applyFont="1" applyNumberFormat="1">
      <alignment horizontal="left" shrinkToFit="0" vertical="top" wrapText="0"/>
    </xf>
    <xf borderId="2" fillId="0" fontId="7" numFmtId="0" xfId="0" applyBorder="1" applyFont="1"/>
    <xf borderId="0" fillId="0" fontId="6" numFmtId="49" xfId="0" applyAlignment="1" applyFont="1" applyNumberFormat="1">
      <alignment horizontal="left" shrinkToFit="0" vertical="top" wrapText="0"/>
    </xf>
    <xf borderId="1" fillId="0" fontId="8" numFmtId="49" xfId="0" applyAlignment="1" applyBorder="1" applyFont="1" applyNumberFormat="1">
      <alignment shrinkToFit="0" vertical="bottom" wrapText="0"/>
    </xf>
    <xf borderId="1" fillId="0" fontId="9" numFmtId="49" xfId="0" applyAlignment="1" applyBorder="1" applyFont="1" applyNumberFormat="1">
      <alignment shrinkToFit="0" vertical="bottom" wrapText="0"/>
    </xf>
    <xf borderId="1" fillId="0" fontId="9" numFmtId="2" xfId="0" applyAlignment="1" applyBorder="1" applyFont="1" applyNumberFormat="1">
      <alignment shrinkToFit="0" vertical="bottom" wrapText="0"/>
    </xf>
    <xf borderId="1" fillId="0" fontId="9" numFmtId="164" xfId="0" applyAlignment="1" applyBorder="1" applyFont="1" applyNumberFormat="1">
      <alignment shrinkToFit="0" vertical="bottom" wrapText="0"/>
    </xf>
    <xf borderId="0" fillId="0" fontId="10" numFmtId="0" xfId="0" applyAlignment="1" applyFont="1">
      <alignment horizontal="left" shrinkToFit="0" vertical="top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8.14"/>
    <col customWidth="1" min="2" max="2" width="27.0"/>
    <col customWidth="1" min="3" max="3" width="10.86"/>
    <col customWidth="1" min="4" max="4" width="5.57"/>
    <col customWidth="1" min="5" max="5" width="9.14"/>
    <col customWidth="1" min="6" max="6" width="12.14"/>
    <col customWidth="1" min="7" max="7" width="5.14"/>
    <col customWidth="1" min="8" max="8" width="8.86"/>
    <col customWidth="1" min="9" max="9" width="5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>
      <c r="A2" s="3" t="s">
        <v>9</v>
      </c>
      <c r="B2" s="4" t="s">
        <v>10</v>
      </c>
      <c r="C2" s="4"/>
      <c r="D2" s="4"/>
      <c r="E2" s="3" t="s">
        <v>11</v>
      </c>
      <c r="F2" s="3"/>
      <c r="G2" s="3"/>
      <c r="H2" s="3"/>
      <c r="I2" s="3"/>
    </row>
    <row r="3">
      <c r="A3" s="3" t="s">
        <v>12</v>
      </c>
      <c r="B3" s="4" t="s">
        <v>10</v>
      </c>
      <c r="C3" s="4"/>
      <c r="D3" s="4"/>
      <c r="E3" s="3" t="s">
        <v>13</v>
      </c>
      <c r="F3" s="3"/>
      <c r="G3" s="3"/>
      <c r="H3" s="3"/>
      <c r="I3" s="3"/>
    </row>
    <row r="4">
      <c r="A4" s="3" t="s">
        <v>14</v>
      </c>
      <c r="B4" s="4" t="s">
        <v>10</v>
      </c>
      <c r="C4" s="4"/>
      <c r="D4" s="4"/>
      <c r="E4" s="3" t="s">
        <v>15</v>
      </c>
      <c r="F4" s="3"/>
      <c r="G4" s="3"/>
      <c r="H4" s="3"/>
      <c r="I4" s="3"/>
    </row>
    <row r="5">
      <c r="A5" s="3" t="s">
        <v>16</v>
      </c>
      <c r="B5" s="4" t="s">
        <v>10</v>
      </c>
      <c r="C5" s="4"/>
      <c r="D5" s="4"/>
      <c r="E5" s="1" t="s">
        <v>17</v>
      </c>
      <c r="F5" s="3"/>
      <c r="G5" s="3"/>
      <c r="H5" s="3"/>
      <c r="I5" s="3"/>
    </row>
    <row r="6">
      <c r="A6" s="3" t="s">
        <v>18</v>
      </c>
      <c r="B6" s="4" t="s">
        <v>10</v>
      </c>
      <c r="C6" s="4"/>
      <c r="D6" s="4"/>
      <c r="E6" s="1" t="s">
        <v>13</v>
      </c>
      <c r="F6" s="3"/>
      <c r="G6" s="3"/>
      <c r="H6" s="3"/>
      <c r="I6" s="3"/>
    </row>
    <row r="7">
      <c r="A7" s="1" t="s">
        <v>19</v>
      </c>
      <c r="B7" s="4" t="s">
        <v>10</v>
      </c>
      <c r="C7" s="4"/>
      <c r="D7" s="4"/>
      <c r="E7" s="1" t="s">
        <v>13</v>
      </c>
      <c r="F7" s="3"/>
      <c r="G7" s="3"/>
      <c r="H7" s="3"/>
      <c r="I7" s="3"/>
    </row>
    <row r="8">
      <c r="A8" s="3" t="s">
        <v>20</v>
      </c>
      <c r="B8" s="4" t="s">
        <v>10</v>
      </c>
      <c r="C8" s="4"/>
      <c r="D8" s="4"/>
      <c r="E8" s="1" t="s">
        <v>21</v>
      </c>
      <c r="F8" s="3"/>
      <c r="G8" s="3"/>
      <c r="H8" s="3"/>
      <c r="I8" s="3"/>
    </row>
    <row r="9">
      <c r="A9" s="3" t="s">
        <v>22</v>
      </c>
      <c r="B9" s="4" t="s">
        <v>10</v>
      </c>
      <c r="C9" s="4"/>
      <c r="D9" s="4"/>
      <c r="E9" s="3" t="s">
        <v>23</v>
      </c>
      <c r="F9" s="3"/>
      <c r="G9" s="3"/>
      <c r="H9" s="3"/>
      <c r="I9" s="3"/>
    </row>
    <row r="10">
      <c r="A10" s="1" t="s">
        <v>24</v>
      </c>
      <c r="B10" s="4" t="s">
        <v>10</v>
      </c>
      <c r="C10" s="4"/>
      <c r="D10" s="4"/>
      <c r="E10" s="1" t="s">
        <v>13</v>
      </c>
      <c r="F10" s="3"/>
      <c r="G10" s="3"/>
      <c r="H10" s="3"/>
      <c r="I10" s="3"/>
    </row>
    <row r="11" ht="15.75" customHeight="1">
      <c r="A11" s="3" t="s">
        <v>25</v>
      </c>
      <c r="B11" s="4" t="s">
        <v>26</v>
      </c>
      <c r="C11" s="4"/>
      <c r="D11" s="4"/>
      <c r="E11" s="3" t="s">
        <v>27</v>
      </c>
      <c r="F11" s="3"/>
      <c r="G11" s="3"/>
      <c r="H11" s="3"/>
      <c r="I11" s="3"/>
    </row>
    <row r="12" ht="15.75" customHeight="1">
      <c r="A12" s="3" t="s">
        <v>28</v>
      </c>
      <c r="B12" s="4" t="s">
        <v>26</v>
      </c>
      <c r="C12" s="4"/>
      <c r="D12" s="4"/>
      <c r="E12" s="3" t="s">
        <v>29</v>
      </c>
      <c r="F12" s="3"/>
      <c r="G12" s="3"/>
      <c r="H12" s="3"/>
      <c r="I12" s="3"/>
    </row>
    <row r="13" ht="15.75" customHeight="1">
      <c r="A13" s="3" t="s">
        <v>30</v>
      </c>
      <c r="B13" s="4" t="s">
        <v>31</v>
      </c>
      <c r="C13" s="4"/>
      <c r="D13" s="4"/>
      <c r="E13" s="1" t="s">
        <v>13</v>
      </c>
      <c r="F13" s="3"/>
      <c r="G13" s="3"/>
      <c r="H13" s="3"/>
      <c r="I13" s="3"/>
    </row>
    <row r="14" ht="15.75" customHeight="1">
      <c r="A14" s="3" t="s">
        <v>32</v>
      </c>
      <c r="B14" s="4" t="s">
        <v>31</v>
      </c>
      <c r="C14" s="4"/>
      <c r="D14" s="4"/>
      <c r="E14" s="1" t="s">
        <v>13</v>
      </c>
      <c r="F14" s="3"/>
      <c r="G14" s="3"/>
      <c r="H14" s="3"/>
      <c r="I14" s="3"/>
    </row>
    <row r="15" ht="15.75" customHeight="1">
      <c r="A15" s="3" t="s">
        <v>33</v>
      </c>
      <c r="B15" s="4" t="s">
        <v>31</v>
      </c>
      <c r="C15" s="4"/>
      <c r="D15" s="4"/>
      <c r="E15" s="3" t="s">
        <v>34</v>
      </c>
      <c r="F15" s="3"/>
      <c r="G15" s="3"/>
      <c r="H15" s="3"/>
      <c r="I15" s="3"/>
    </row>
    <row r="16" ht="15.75" customHeight="1">
      <c r="A16" s="3" t="s">
        <v>35</v>
      </c>
      <c r="B16" s="4" t="s">
        <v>31</v>
      </c>
      <c r="C16" s="4"/>
      <c r="D16" s="4"/>
      <c r="E16" s="3" t="s">
        <v>13</v>
      </c>
      <c r="F16" s="3"/>
      <c r="G16" s="3"/>
      <c r="H16" s="3"/>
      <c r="I16" s="3"/>
    </row>
    <row r="17" ht="15.75" customHeight="1">
      <c r="A17" s="3" t="s">
        <v>36</v>
      </c>
      <c r="B17" s="4" t="s">
        <v>31</v>
      </c>
      <c r="C17" s="4"/>
      <c r="D17" s="4"/>
      <c r="E17" s="3" t="s">
        <v>37</v>
      </c>
      <c r="F17" s="3"/>
      <c r="G17" s="3"/>
      <c r="H17" s="3"/>
      <c r="I17" s="3"/>
    </row>
    <row r="18" ht="15.75" customHeight="1">
      <c r="A18" s="3" t="s">
        <v>38</v>
      </c>
      <c r="B18" s="4" t="s">
        <v>39</v>
      </c>
      <c r="C18" s="4"/>
      <c r="D18" s="4"/>
      <c r="E18" s="3" t="s">
        <v>40</v>
      </c>
      <c r="F18" s="3"/>
      <c r="G18" s="3"/>
      <c r="H18" s="3"/>
      <c r="I18" s="3"/>
    </row>
    <row r="19" ht="15.75" customHeight="1">
      <c r="A19" s="3" t="s">
        <v>41</v>
      </c>
      <c r="B19" s="4" t="s">
        <v>39</v>
      </c>
      <c r="C19" s="4"/>
      <c r="D19" s="4"/>
      <c r="E19" s="3" t="s">
        <v>34</v>
      </c>
      <c r="F19" s="3"/>
      <c r="G19" s="3"/>
      <c r="H19" s="3"/>
      <c r="I19" s="3"/>
    </row>
    <row r="20" ht="15.75" customHeight="1">
      <c r="A20" s="3" t="s">
        <v>42</v>
      </c>
      <c r="B20" s="4" t="s">
        <v>39</v>
      </c>
      <c r="C20" s="4"/>
      <c r="D20" s="4"/>
      <c r="E20" s="1" t="s">
        <v>34</v>
      </c>
      <c r="F20" s="3"/>
      <c r="G20" s="3"/>
      <c r="H20" s="3"/>
      <c r="I20" s="3"/>
    </row>
    <row r="21" ht="15.75" customHeight="1">
      <c r="A21" s="1" t="s">
        <v>43</v>
      </c>
      <c r="B21" s="4" t="s">
        <v>39</v>
      </c>
      <c r="C21" s="4"/>
      <c r="D21" s="4"/>
      <c r="E21" s="3"/>
      <c r="F21" s="3"/>
      <c r="G21" s="3"/>
      <c r="H21" s="3"/>
      <c r="I21" s="3"/>
    </row>
    <row r="22" ht="15.75" customHeight="1">
      <c r="A22" s="3" t="s">
        <v>44</v>
      </c>
      <c r="B22" s="4" t="s">
        <v>39</v>
      </c>
      <c r="C22" s="4"/>
      <c r="D22" s="4"/>
      <c r="E22" s="3"/>
      <c r="F22" s="3"/>
      <c r="G22" s="3"/>
      <c r="H22" s="3"/>
      <c r="I22" s="3"/>
    </row>
    <row r="23" ht="15.75" customHeight="1">
      <c r="A23" s="3" t="s">
        <v>45</v>
      </c>
      <c r="B23" s="4" t="s">
        <v>39</v>
      </c>
      <c r="C23" s="4"/>
      <c r="D23" s="4"/>
      <c r="E23" s="1" t="s">
        <v>13</v>
      </c>
      <c r="F23" s="3"/>
      <c r="G23" s="3"/>
      <c r="H23" s="3"/>
      <c r="I23" s="3"/>
    </row>
    <row r="24" ht="15.75" customHeight="1">
      <c r="A24" s="3" t="s">
        <v>46</v>
      </c>
      <c r="B24" s="4" t="s">
        <v>39</v>
      </c>
      <c r="C24" s="4"/>
      <c r="D24" s="4"/>
      <c r="E24" s="1" t="s">
        <v>13</v>
      </c>
      <c r="F24" s="3"/>
      <c r="G24" s="3"/>
      <c r="H24" s="3"/>
      <c r="I24" s="3"/>
    </row>
    <row r="25" ht="15.75" customHeight="1">
      <c r="A25" s="3" t="s">
        <v>47</v>
      </c>
      <c r="B25" s="4" t="s">
        <v>39</v>
      </c>
      <c r="C25" s="4"/>
      <c r="D25" s="4"/>
      <c r="E25" s="3" t="s">
        <v>48</v>
      </c>
      <c r="F25" s="3"/>
      <c r="G25" s="3"/>
      <c r="H25" s="3"/>
      <c r="I25" s="3"/>
    </row>
    <row r="26" ht="15.75" customHeight="1">
      <c r="A26" s="3" t="s">
        <v>49</v>
      </c>
      <c r="B26" s="4" t="s">
        <v>39</v>
      </c>
      <c r="C26" s="4"/>
      <c r="D26" s="4"/>
      <c r="E26" s="3" t="s">
        <v>48</v>
      </c>
      <c r="F26" s="3"/>
      <c r="G26" s="3"/>
      <c r="H26" s="3"/>
      <c r="I26" s="3"/>
    </row>
    <row r="27" ht="15.75" customHeight="1">
      <c r="A27" s="3" t="s">
        <v>50</v>
      </c>
      <c r="B27" s="4" t="s">
        <v>39</v>
      </c>
      <c r="C27" s="4"/>
      <c r="D27" s="4"/>
      <c r="E27" s="1" t="s">
        <v>13</v>
      </c>
      <c r="F27" s="3"/>
      <c r="G27" s="3"/>
      <c r="H27" s="3"/>
      <c r="I27" s="3"/>
    </row>
    <row r="28" ht="15.75" customHeight="1">
      <c r="A28" s="3" t="s">
        <v>51</v>
      </c>
      <c r="B28" s="4" t="s">
        <v>39</v>
      </c>
      <c r="C28" s="4"/>
      <c r="D28" s="4"/>
      <c r="E28" s="1" t="s">
        <v>34</v>
      </c>
      <c r="F28" s="3"/>
      <c r="G28" s="3"/>
      <c r="H28" s="3"/>
      <c r="I28" s="3"/>
    </row>
    <row r="29" ht="15.75" customHeight="1">
      <c r="A29" s="3" t="s">
        <v>52</v>
      </c>
      <c r="B29" s="4" t="s">
        <v>39</v>
      </c>
      <c r="C29" s="4"/>
      <c r="D29" s="4"/>
      <c r="E29" s="1" t="s">
        <v>13</v>
      </c>
      <c r="F29" s="3"/>
      <c r="G29" s="3"/>
      <c r="H29" s="3"/>
      <c r="I29" s="3"/>
    </row>
    <row r="30" ht="15.75" customHeight="1">
      <c r="A30" s="3" t="s">
        <v>53</v>
      </c>
      <c r="B30" s="4" t="s">
        <v>39</v>
      </c>
      <c r="C30" s="4"/>
      <c r="D30" s="4"/>
      <c r="E30" s="3" t="s">
        <v>34</v>
      </c>
      <c r="F30" s="3"/>
      <c r="G30" s="3"/>
      <c r="H30" s="3"/>
      <c r="I30" s="3"/>
    </row>
    <row r="31" ht="15.75" customHeight="1">
      <c r="A31" s="3" t="s">
        <v>54</v>
      </c>
      <c r="B31" s="4" t="s">
        <v>39</v>
      </c>
      <c r="C31" s="4"/>
      <c r="D31" s="4"/>
      <c r="E31" s="1" t="s">
        <v>13</v>
      </c>
      <c r="F31" s="3"/>
      <c r="G31" s="3"/>
      <c r="H31" s="3"/>
      <c r="I31" s="3"/>
    </row>
    <row r="32" ht="15.75" customHeight="1">
      <c r="A32" s="3" t="s">
        <v>55</v>
      </c>
      <c r="B32" s="4" t="s">
        <v>39</v>
      </c>
      <c r="C32" s="4"/>
      <c r="D32" s="4"/>
      <c r="E32" s="1" t="s">
        <v>13</v>
      </c>
      <c r="F32" s="3"/>
      <c r="G32" s="3"/>
      <c r="H32" s="3"/>
      <c r="I32" s="3"/>
    </row>
    <row r="33" ht="15.75" customHeight="1">
      <c r="A33" s="3" t="s">
        <v>56</v>
      </c>
      <c r="B33" s="4" t="s">
        <v>39</v>
      </c>
      <c r="C33" s="4"/>
      <c r="D33" s="4"/>
      <c r="E33" s="1" t="s">
        <v>13</v>
      </c>
      <c r="F33" s="3"/>
      <c r="G33" s="3"/>
      <c r="H33" s="3"/>
      <c r="I33" s="3"/>
    </row>
    <row r="34" ht="15.75" customHeight="1">
      <c r="A34" s="3" t="s">
        <v>57</v>
      </c>
      <c r="B34" s="4" t="s">
        <v>39</v>
      </c>
      <c r="C34" s="4"/>
      <c r="D34" s="4"/>
      <c r="E34" s="3" t="s">
        <v>13</v>
      </c>
      <c r="F34" s="3"/>
      <c r="G34" s="3"/>
      <c r="H34" s="3"/>
      <c r="I34" s="3"/>
    </row>
    <row r="35" ht="15.75" customHeight="1">
      <c r="A35" s="3" t="s">
        <v>58</v>
      </c>
      <c r="B35" s="4" t="s">
        <v>39</v>
      </c>
      <c r="C35" s="4"/>
      <c r="D35" s="4"/>
      <c r="E35" s="3" t="s">
        <v>37</v>
      </c>
      <c r="F35" s="3"/>
      <c r="G35" s="3"/>
      <c r="H35" s="3"/>
      <c r="I35" s="3"/>
    </row>
    <row r="36" ht="15.75" customHeight="1">
      <c r="A36" s="3" t="s">
        <v>59</v>
      </c>
      <c r="B36" s="4" t="s">
        <v>39</v>
      </c>
      <c r="C36" s="4"/>
      <c r="D36" s="4"/>
      <c r="E36" s="3" t="s">
        <v>34</v>
      </c>
      <c r="F36" s="3"/>
      <c r="G36" s="3"/>
      <c r="H36" s="3"/>
      <c r="I36" s="3"/>
    </row>
    <row r="37" ht="15.75" customHeight="1">
      <c r="A37" s="1" t="s">
        <v>60</v>
      </c>
      <c r="B37" s="4" t="s">
        <v>39</v>
      </c>
      <c r="C37" s="4"/>
      <c r="D37" s="4"/>
      <c r="E37" s="3" t="s">
        <v>37</v>
      </c>
      <c r="F37" s="3"/>
      <c r="G37" s="3"/>
      <c r="H37" s="3"/>
      <c r="I37" s="3"/>
    </row>
    <row r="38" ht="15.75" customHeight="1">
      <c r="A38" s="3" t="s">
        <v>61</v>
      </c>
      <c r="B38" s="4" t="s">
        <v>39</v>
      </c>
      <c r="C38" s="4"/>
      <c r="D38" s="4"/>
      <c r="E38" s="3" t="s">
        <v>62</v>
      </c>
      <c r="F38" s="3"/>
      <c r="G38" s="3"/>
      <c r="H38" s="3"/>
      <c r="I38" s="3"/>
    </row>
    <row r="39" ht="15.75" customHeight="1">
      <c r="A39" s="3" t="s">
        <v>63</v>
      </c>
      <c r="B39" s="4" t="s">
        <v>39</v>
      </c>
      <c r="C39" s="4"/>
      <c r="D39" s="4"/>
      <c r="E39" s="3" t="s">
        <v>13</v>
      </c>
      <c r="F39" s="3"/>
      <c r="G39" s="3"/>
      <c r="H39" s="3"/>
      <c r="I39" s="3"/>
    </row>
    <row r="40" ht="15.75" customHeight="1">
      <c r="A40" s="3" t="s">
        <v>64</v>
      </c>
      <c r="B40" s="4" t="s">
        <v>39</v>
      </c>
      <c r="C40" s="4"/>
      <c r="D40" s="4"/>
      <c r="E40" s="3" t="s">
        <v>48</v>
      </c>
      <c r="F40" s="3"/>
      <c r="G40" s="3"/>
      <c r="H40" s="3"/>
      <c r="I40" s="3"/>
    </row>
    <row r="41" ht="15.75" customHeight="1">
      <c r="A41" s="3" t="s">
        <v>65</v>
      </c>
      <c r="B41" s="4" t="s">
        <v>39</v>
      </c>
      <c r="C41" s="4"/>
      <c r="D41" s="4"/>
      <c r="E41" s="3" t="s">
        <v>48</v>
      </c>
      <c r="F41" s="3"/>
      <c r="G41" s="3"/>
      <c r="H41" s="3"/>
      <c r="I41" s="3"/>
    </row>
    <row r="42" ht="15.75" customHeight="1">
      <c r="A42" s="3" t="s">
        <v>66</v>
      </c>
      <c r="B42" s="4" t="s">
        <v>39</v>
      </c>
      <c r="C42" s="4"/>
      <c r="D42" s="4"/>
      <c r="E42" s="3" t="s">
        <v>62</v>
      </c>
      <c r="F42" s="3"/>
      <c r="G42" s="3"/>
      <c r="H42" s="3"/>
      <c r="I42" s="3"/>
    </row>
    <row r="43" ht="15.75" customHeight="1">
      <c r="A43" s="3" t="s">
        <v>67</v>
      </c>
      <c r="B43" s="4" t="s">
        <v>39</v>
      </c>
      <c r="C43" s="4"/>
      <c r="D43" s="4"/>
      <c r="E43" s="3" t="s">
        <v>68</v>
      </c>
      <c r="F43" s="3"/>
      <c r="G43" s="3"/>
      <c r="H43" s="3"/>
      <c r="I43" s="3"/>
    </row>
    <row r="44" ht="15.75" customHeight="1">
      <c r="A44" s="3" t="s">
        <v>69</v>
      </c>
      <c r="B44" s="4" t="s">
        <v>39</v>
      </c>
      <c r="C44" s="4"/>
      <c r="D44" s="4"/>
      <c r="E44" s="3" t="s">
        <v>68</v>
      </c>
      <c r="F44" s="3"/>
      <c r="G44" s="3"/>
      <c r="H44" s="3"/>
      <c r="I44" s="3"/>
    </row>
    <row r="45" ht="15.75" customHeight="1">
      <c r="A45" s="3" t="s">
        <v>70</v>
      </c>
      <c r="B45" s="4" t="s">
        <v>39</v>
      </c>
      <c r="C45" s="4"/>
      <c r="D45" s="4"/>
      <c r="E45" s="3" t="s">
        <v>68</v>
      </c>
      <c r="F45" s="3"/>
      <c r="G45" s="3"/>
      <c r="H45" s="3"/>
      <c r="I45" s="3"/>
    </row>
    <row r="46" ht="15.75" customHeight="1">
      <c r="A46" s="3" t="s">
        <v>71</v>
      </c>
      <c r="B46" s="4" t="s">
        <v>39</v>
      </c>
      <c r="C46" s="4"/>
      <c r="D46" s="4"/>
      <c r="E46" s="1" t="s">
        <v>13</v>
      </c>
      <c r="F46" s="3"/>
      <c r="G46" s="3"/>
      <c r="H46" s="3"/>
      <c r="I46" s="3"/>
    </row>
    <row r="47" ht="15.75" customHeight="1">
      <c r="A47" s="3" t="s">
        <v>72</v>
      </c>
      <c r="B47" s="4" t="s">
        <v>39</v>
      </c>
      <c r="C47" s="4"/>
      <c r="D47" s="4"/>
      <c r="E47" s="3" t="s">
        <v>13</v>
      </c>
      <c r="F47" s="3"/>
      <c r="G47" s="3"/>
      <c r="H47" s="3"/>
      <c r="I47" s="3"/>
    </row>
    <row r="48" ht="15.75" customHeight="1">
      <c r="A48" s="1" t="s">
        <v>73</v>
      </c>
      <c r="B48" s="4" t="s">
        <v>39</v>
      </c>
      <c r="C48" s="4"/>
      <c r="D48" s="4"/>
      <c r="E48" s="3" t="s">
        <v>37</v>
      </c>
      <c r="F48" s="3"/>
      <c r="G48" s="3"/>
      <c r="H48" s="3"/>
      <c r="I48" s="3"/>
    </row>
    <row r="49" ht="15.75" customHeight="1">
      <c r="A49" s="3" t="s">
        <v>74</v>
      </c>
      <c r="B49" s="4" t="s">
        <v>39</v>
      </c>
      <c r="C49" s="4"/>
      <c r="D49" s="4"/>
      <c r="E49" s="3" t="s">
        <v>62</v>
      </c>
      <c r="F49" s="3"/>
      <c r="G49" s="3"/>
      <c r="H49" s="3"/>
      <c r="I49" s="3"/>
    </row>
    <row r="50" ht="15.75" customHeight="1">
      <c r="A50" s="3" t="s">
        <v>75</v>
      </c>
      <c r="B50" s="4" t="s">
        <v>39</v>
      </c>
      <c r="C50" s="4"/>
      <c r="D50" s="4"/>
      <c r="E50" s="3" t="s">
        <v>76</v>
      </c>
      <c r="F50" s="3"/>
      <c r="G50" s="3"/>
      <c r="H50" s="3"/>
      <c r="I50" s="3"/>
    </row>
    <row r="51" ht="15.75" customHeight="1">
      <c r="A51" s="3" t="s">
        <v>77</v>
      </c>
      <c r="B51" s="4" t="s">
        <v>39</v>
      </c>
      <c r="C51" s="4"/>
      <c r="D51" s="4"/>
      <c r="E51" s="3" t="s">
        <v>78</v>
      </c>
      <c r="F51" s="3"/>
      <c r="G51" s="3"/>
      <c r="H51" s="3"/>
      <c r="I51" s="3"/>
    </row>
    <row r="52" ht="15.75" customHeight="1">
      <c r="A52" s="3" t="s">
        <v>79</v>
      </c>
      <c r="B52" s="4" t="s">
        <v>39</v>
      </c>
      <c r="C52" s="4"/>
      <c r="D52" s="4"/>
      <c r="E52" s="1" t="s">
        <v>80</v>
      </c>
      <c r="F52" s="3"/>
      <c r="G52" s="3"/>
      <c r="H52" s="3"/>
      <c r="I52" s="3"/>
    </row>
    <row r="53" ht="15.75" customHeight="1">
      <c r="A53" s="3" t="s">
        <v>81</v>
      </c>
      <c r="B53" s="4" t="s">
        <v>82</v>
      </c>
      <c r="C53" s="4"/>
      <c r="D53" s="4"/>
      <c r="E53" s="3"/>
      <c r="F53" s="3"/>
      <c r="G53" s="3"/>
      <c r="H53" s="3"/>
      <c r="I53" s="3"/>
    </row>
    <row r="54" ht="15.75" customHeight="1">
      <c r="A54" s="3" t="s">
        <v>83</v>
      </c>
      <c r="B54" s="4" t="s">
        <v>82</v>
      </c>
      <c r="C54" s="4"/>
      <c r="D54" s="4"/>
      <c r="E54" s="3" t="s">
        <v>78</v>
      </c>
      <c r="F54" s="3"/>
      <c r="G54" s="3"/>
      <c r="H54" s="3"/>
      <c r="I54" s="3"/>
    </row>
    <row r="55" ht="15.75" customHeight="1">
      <c r="A55" s="3" t="s">
        <v>84</v>
      </c>
      <c r="B55" s="4" t="s">
        <v>82</v>
      </c>
      <c r="C55" s="4"/>
      <c r="D55" s="4"/>
      <c r="E55" s="1" t="s">
        <v>13</v>
      </c>
      <c r="F55" s="3"/>
      <c r="G55" s="3"/>
      <c r="H55" s="3"/>
      <c r="I55" s="3"/>
    </row>
    <row r="56" ht="15.75" customHeight="1">
      <c r="A56" s="3" t="s">
        <v>85</v>
      </c>
      <c r="B56" s="4" t="s">
        <v>82</v>
      </c>
      <c r="C56" s="4"/>
      <c r="D56" s="4"/>
      <c r="E56" s="1" t="s">
        <v>13</v>
      </c>
      <c r="F56" s="3"/>
      <c r="G56" s="3"/>
      <c r="H56" s="3"/>
      <c r="I56" s="3"/>
    </row>
    <row r="57" ht="15.75" customHeight="1">
      <c r="A57" s="3" t="s">
        <v>86</v>
      </c>
      <c r="B57" s="4" t="s">
        <v>82</v>
      </c>
      <c r="C57" s="4"/>
      <c r="D57" s="4"/>
      <c r="E57" s="1" t="s">
        <v>13</v>
      </c>
      <c r="F57" s="3"/>
      <c r="G57" s="3"/>
      <c r="H57" s="3"/>
      <c r="I57" s="3"/>
    </row>
    <row r="58" ht="15.75" customHeight="1">
      <c r="A58" s="3" t="s">
        <v>87</v>
      </c>
      <c r="B58" s="4" t="s">
        <v>82</v>
      </c>
      <c r="C58" s="4"/>
      <c r="D58" s="4"/>
      <c r="E58" s="3" t="s">
        <v>40</v>
      </c>
      <c r="F58" s="3"/>
      <c r="G58" s="3"/>
      <c r="H58" s="3"/>
      <c r="I58" s="3"/>
    </row>
    <row r="59" ht="15.75" customHeight="1">
      <c r="A59" s="3" t="s">
        <v>88</v>
      </c>
      <c r="B59" s="4" t="s">
        <v>82</v>
      </c>
      <c r="C59" s="4"/>
      <c r="D59" s="4"/>
      <c r="E59" s="3" t="s">
        <v>48</v>
      </c>
      <c r="F59" s="3"/>
      <c r="G59" s="3"/>
      <c r="H59" s="3"/>
      <c r="I59" s="3"/>
    </row>
    <row r="60" ht="15.75" customHeight="1">
      <c r="A60" s="3" t="s">
        <v>89</v>
      </c>
      <c r="B60" s="4" t="s">
        <v>82</v>
      </c>
      <c r="C60" s="4"/>
      <c r="D60" s="4"/>
      <c r="E60" s="3" t="s">
        <v>34</v>
      </c>
      <c r="F60" s="3"/>
      <c r="G60" s="3"/>
      <c r="H60" s="3"/>
      <c r="I60" s="3"/>
    </row>
    <row r="61" ht="15.75" customHeight="1">
      <c r="A61" s="3" t="s">
        <v>90</v>
      </c>
      <c r="B61" s="4" t="s">
        <v>82</v>
      </c>
      <c r="C61" s="4"/>
      <c r="D61" s="4"/>
      <c r="E61" s="3" t="s">
        <v>91</v>
      </c>
      <c r="F61" s="3"/>
      <c r="G61" s="3"/>
      <c r="H61" s="3"/>
      <c r="I61" s="3"/>
    </row>
    <row r="62" ht="15.75" customHeight="1">
      <c r="A62" s="3" t="s">
        <v>92</v>
      </c>
      <c r="B62" s="4" t="s">
        <v>82</v>
      </c>
      <c r="C62" s="4"/>
      <c r="D62" s="4"/>
      <c r="E62" s="3" t="s">
        <v>93</v>
      </c>
      <c r="F62" s="3"/>
      <c r="G62" s="3"/>
      <c r="H62" s="3"/>
      <c r="I62" s="3"/>
    </row>
    <row r="63" ht="15.75" customHeight="1">
      <c r="A63" s="3" t="s">
        <v>94</v>
      </c>
      <c r="B63" s="4" t="s">
        <v>82</v>
      </c>
      <c r="C63" s="4"/>
      <c r="D63" s="4"/>
      <c r="E63" s="3" t="s">
        <v>78</v>
      </c>
      <c r="F63" s="3"/>
      <c r="G63" s="3"/>
      <c r="H63" s="3"/>
      <c r="I63" s="3"/>
    </row>
    <row r="64" ht="15.75" customHeight="1">
      <c r="A64" s="3" t="s">
        <v>95</v>
      </c>
      <c r="B64" s="4" t="s">
        <v>82</v>
      </c>
      <c r="C64" s="4"/>
      <c r="D64" s="4"/>
      <c r="E64" s="3" t="s">
        <v>13</v>
      </c>
      <c r="F64" s="3"/>
      <c r="G64" s="3"/>
      <c r="H64" s="3"/>
      <c r="I64" s="3"/>
    </row>
    <row r="65" ht="15.75" customHeight="1">
      <c r="A65" s="1" t="s">
        <v>96</v>
      </c>
      <c r="B65" s="4" t="s">
        <v>97</v>
      </c>
      <c r="C65" s="4"/>
      <c r="D65" s="4"/>
      <c r="E65" s="1" t="s">
        <v>13</v>
      </c>
      <c r="F65" s="3"/>
      <c r="G65" s="3"/>
      <c r="H65" s="3"/>
      <c r="I65" s="3"/>
    </row>
    <row r="66" ht="15.75" customHeight="1">
      <c r="A66" s="3" t="s">
        <v>98</v>
      </c>
      <c r="B66" s="4" t="s">
        <v>99</v>
      </c>
      <c r="C66" s="4"/>
      <c r="D66" s="4"/>
      <c r="E66" s="1" t="s">
        <v>13</v>
      </c>
      <c r="F66" s="3"/>
      <c r="G66" s="3"/>
      <c r="H66" s="3"/>
      <c r="I66" s="3"/>
    </row>
    <row r="67" ht="15.75" customHeight="1">
      <c r="A67" s="3" t="s">
        <v>100</v>
      </c>
      <c r="B67" s="4" t="s">
        <v>99</v>
      </c>
      <c r="C67" s="4"/>
      <c r="D67" s="4"/>
      <c r="E67" s="1" t="s">
        <v>101</v>
      </c>
      <c r="F67" s="3"/>
      <c r="G67" s="3"/>
      <c r="H67" s="3"/>
      <c r="I67" s="3"/>
    </row>
    <row r="68" ht="15.75" customHeight="1">
      <c r="A68" s="1" t="s">
        <v>102</v>
      </c>
      <c r="B68" s="4" t="s">
        <v>99</v>
      </c>
      <c r="C68" s="4"/>
      <c r="D68" s="4"/>
      <c r="E68" s="3"/>
      <c r="F68" s="3"/>
      <c r="G68" s="3"/>
      <c r="H68" s="3"/>
      <c r="I68" s="3"/>
    </row>
    <row r="69" ht="15.75" customHeight="1">
      <c r="A69" s="3" t="s">
        <v>103</v>
      </c>
      <c r="B69" s="4" t="s">
        <v>99</v>
      </c>
      <c r="C69" s="4"/>
      <c r="D69" s="4"/>
      <c r="E69" s="3" t="s">
        <v>29</v>
      </c>
      <c r="F69" s="3"/>
      <c r="G69" s="3"/>
      <c r="H69" s="3"/>
      <c r="I69" s="3"/>
    </row>
    <row r="70" ht="15.75" customHeight="1">
      <c r="A70" s="3" t="s">
        <v>104</v>
      </c>
      <c r="B70" s="4" t="s">
        <v>99</v>
      </c>
      <c r="C70" s="4"/>
      <c r="D70" s="4"/>
      <c r="E70" s="3" t="s">
        <v>105</v>
      </c>
      <c r="F70" s="3"/>
      <c r="G70" s="3"/>
      <c r="H70" s="3"/>
      <c r="I70" s="3"/>
    </row>
    <row r="71" ht="15.75" customHeight="1">
      <c r="A71" s="3" t="s">
        <v>106</v>
      </c>
      <c r="B71" s="4" t="s">
        <v>99</v>
      </c>
      <c r="C71" s="4"/>
      <c r="D71" s="4"/>
      <c r="E71" s="3"/>
      <c r="F71" s="3"/>
      <c r="G71" s="3"/>
      <c r="H71" s="3"/>
      <c r="I71" s="3"/>
    </row>
    <row r="72" ht="15.75" customHeight="1">
      <c r="A72" s="3" t="s">
        <v>107</v>
      </c>
      <c r="B72" s="4" t="s">
        <v>99</v>
      </c>
      <c r="C72" s="4"/>
      <c r="D72" s="4"/>
      <c r="E72" s="3" t="s">
        <v>48</v>
      </c>
      <c r="F72" s="3"/>
      <c r="G72" s="3"/>
      <c r="H72" s="3"/>
      <c r="I72" s="3"/>
    </row>
    <row r="73" ht="15.75" customHeight="1">
      <c r="A73" s="3" t="s">
        <v>108</v>
      </c>
      <c r="B73" s="4" t="s">
        <v>99</v>
      </c>
      <c r="C73" s="4"/>
      <c r="D73" s="4"/>
      <c r="E73" s="1" t="s">
        <v>13</v>
      </c>
      <c r="F73" s="3"/>
      <c r="G73" s="3"/>
      <c r="H73" s="3"/>
      <c r="I73" s="3"/>
    </row>
    <row r="74" ht="15.75" customHeight="1">
      <c r="A74" s="3" t="s">
        <v>109</v>
      </c>
      <c r="B74" s="4" t="s">
        <v>99</v>
      </c>
      <c r="C74" s="4"/>
      <c r="D74" s="4"/>
      <c r="E74" s="1" t="s">
        <v>34</v>
      </c>
      <c r="F74" s="3"/>
      <c r="G74" s="3"/>
      <c r="H74" s="3"/>
      <c r="I74" s="3"/>
    </row>
    <row r="75" ht="15.75" customHeight="1">
      <c r="A75" s="3" t="s">
        <v>110</v>
      </c>
      <c r="B75" s="4" t="s">
        <v>99</v>
      </c>
      <c r="C75" s="4"/>
      <c r="D75" s="4"/>
      <c r="E75" s="1" t="s">
        <v>111</v>
      </c>
      <c r="F75" s="3"/>
      <c r="G75" s="3"/>
      <c r="H75" s="3"/>
      <c r="I75" s="3"/>
    </row>
    <row r="76" ht="15.75" customHeight="1">
      <c r="A76" s="3" t="s">
        <v>112</v>
      </c>
      <c r="B76" s="4" t="s">
        <v>99</v>
      </c>
      <c r="C76" s="4"/>
      <c r="D76" s="4"/>
      <c r="E76" s="1" t="s">
        <v>34</v>
      </c>
      <c r="F76" s="3"/>
      <c r="G76" s="3"/>
      <c r="H76" s="3"/>
      <c r="I76" s="3"/>
    </row>
    <row r="77" ht="15.75" customHeight="1">
      <c r="A77" s="3" t="s">
        <v>113</v>
      </c>
      <c r="B77" s="4" t="s">
        <v>99</v>
      </c>
      <c r="C77" s="4"/>
      <c r="D77" s="4"/>
      <c r="E77" s="1" t="s">
        <v>111</v>
      </c>
      <c r="F77" s="3"/>
      <c r="G77" s="3"/>
      <c r="H77" s="3"/>
      <c r="I77" s="3"/>
    </row>
    <row r="78" ht="15.75" customHeight="1">
      <c r="A78" s="3" t="s">
        <v>114</v>
      </c>
      <c r="B78" s="4" t="s">
        <v>99</v>
      </c>
      <c r="C78" s="4"/>
      <c r="D78" s="4"/>
      <c r="E78" s="1" t="s">
        <v>34</v>
      </c>
      <c r="F78" s="3"/>
      <c r="G78" s="3"/>
      <c r="H78" s="3"/>
      <c r="I78" s="3"/>
    </row>
    <row r="79" ht="15.75" customHeight="1">
      <c r="A79" s="3" t="s">
        <v>115</v>
      </c>
      <c r="B79" s="4" t="s">
        <v>99</v>
      </c>
      <c r="C79" s="4"/>
      <c r="D79" s="4"/>
      <c r="E79" s="1" t="s">
        <v>111</v>
      </c>
      <c r="F79" s="3"/>
      <c r="G79" s="3"/>
      <c r="H79" s="3"/>
      <c r="I79" s="3"/>
    </row>
    <row r="80" ht="15.75" customHeight="1">
      <c r="A80" s="3" t="s">
        <v>116</v>
      </c>
      <c r="B80" s="4" t="s">
        <v>99</v>
      </c>
      <c r="C80" s="4"/>
      <c r="D80" s="4"/>
      <c r="E80" s="3" t="s">
        <v>117</v>
      </c>
      <c r="F80" s="3"/>
      <c r="G80" s="3"/>
      <c r="H80" s="3"/>
      <c r="I80" s="3"/>
    </row>
    <row r="81" ht="15.75" customHeight="1">
      <c r="A81" s="3" t="s">
        <v>118</v>
      </c>
      <c r="B81" s="4" t="s">
        <v>99</v>
      </c>
      <c r="C81" s="4"/>
      <c r="D81" s="4"/>
      <c r="E81" s="1" t="s">
        <v>117</v>
      </c>
      <c r="F81" s="3"/>
      <c r="G81" s="3"/>
      <c r="H81" s="3"/>
      <c r="I81" s="3"/>
    </row>
    <row r="82" ht="15.75" customHeight="1">
      <c r="A82" s="3" t="s">
        <v>119</v>
      </c>
      <c r="B82" s="4" t="s">
        <v>99</v>
      </c>
      <c r="C82" s="4"/>
      <c r="D82" s="4"/>
      <c r="E82" s="1" t="s">
        <v>34</v>
      </c>
      <c r="F82" s="3"/>
      <c r="G82" s="3"/>
      <c r="H82" s="3"/>
      <c r="I82" s="3"/>
    </row>
    <row r="83" ht="15.75" customHeight="1">
      <c r="A83" s="3" t="s">
        <v>120</v>
      </c>
      <c r="B83" s="4" t="s">
        <v>99</v>
      </c>
      <c r="C83" s="4"/>
      <c r="D83" s="4"/>
      <c r="E83" s="3" t="s">
        <v>34</v>
      </c>
      <c r="F83" s="3"/>
      <c r="G83" s="3"/>
      <c r="H83" s="3"/>
      <c r="I83" s="3"/>
    </row>
    <row r="84" ht="15.75" customHeight="1">
      <c r="A84" s="3" t="s">
        <v>121</v>
      </c>
      <c r="B84" s="4" t="s">
        <v>99</v>
      </c>
      <c r="C84" s="4"/>
      <c r="D84" s="4"/>
      <c r="E84" s="3" t="s">
        <v>34</v>
      </c>
      <c r="F84" s="3"/>
      <c r="G84" s="3"/>
      <c r="H84" s="3"/>
      <c r="I84" s="3"/>
    </row>
    <row r="85" ht="15.75" customHeight="1">
      <c r="A85" s="3" t="s">
        <v>122</v>
      </c>
      <c r="B85" s="4" t="s">
        <v>99</v>
      </c>
      <c r="C85" s="4"/>
      <c r="D85" s="4"/>
      <c r="E85" s="3" t="s">
        <v>123</v>
      </c>
      <c r="F85" s="3"/>
      <c r="G85" s="3"/>
      <c r="H85" s="3"/>
      <c r="I85" s="3"/>
    </row>
    <row r="86" ht="15.75" customHeight="1">
      <c r="A86" s="3" t="s">
        <v>124</v>
      </c>
      <c r="B86" s="4" t="s">
        <v>99</v>
      </c>
      <c r="C86" s="4"/>
      <c r="D86" s="4"/>
      <c r="E86" s="1" t="s">
        <v>125</v>
      </c>
      <c r="F86" s="3"/>
      <c r="G86" s="3"/>
      <c r="H86" s="3"/>
      <c r="I86" s="3"/>
    </row>
    <row r="87" ht="15.75" customHeight="1">
      <c r="A87" s="3" t="s">
        <v>126</v>
      </c>
      <c r="B87" s="4" t="s">
        <v>99</v>
      </c>
      <c r="C87" s="4"/>
      <c r="D87" s="4"/>
      <c r="E87" s="1" t="s">
        <v>101</v>
      </c>
      <c r="F87" s="3"/>
      <c r="G87" s="3"/>
      <c r="H87" s="3"/>
      <c r="I87" s="3"/>
    </row>
    <row r="88" ht="15.75" customHeight="1">
      <c r="A88" s="3" t="s">
        <v>127</v>
      </c>
      <c r="B88" s="4" t="s">
        <v>99</v>
      </c>
      <c r="C88" s="4"/>
      <c r="D88" s="4"/>
      <c r="E88" s="1" t="s">
        <v>128</v>
      </c>
      <c r="F88" s="3"/>
      <c r="G88" s="3"/>
      <c r="H88" s="3"/>
      <c r="I88" s="3"/>
    </row>
    <row r="89" ht="15.75" customHeight="1">
      <c r="A89" s="3" t="s">
        <v>129</v>
      </c>
      <c r="B89" s="4" t="s">
        <v>99</v>
      </c>
      <c r="C89" s="4"/>
      <c r="D89" s="4"/>
      <c r="E89" s="1" t="s">
        <v>128</v>
      </c>
      <c r="F89" s="3"/>
      <c r="G89" s="3"/>
      <c r="H89" s="3"/>
      <c r="I89" s="3"/>
    </row>
    <row r="90" ht="15.75" customHeight="1">
      <c r="A90" s="3" t="s">
        <v>130</v>
      </c>
      <c r="B90" s="4" t="s">
        <v>99</v>
      </c>
      <c r="C90" s="4"/>
      <c r="D90" s="4"/>
      <c r="E90" s="1" t="s">
        <v>131</v>
      </c>
      <c r="F90" s="3"/>
      <c r="G90" s="3"/>
      <c r="H90" s="3"/>
      <c r="I90" s="3"/>
    </row>
    <row r="91" ht="15.75" customHeight="1">
      <c r="A91" s="3" t="s">
        <v>132</v>
      </c>
      <c r="B91" s="4" t="s">
        <v>99</v>
      </c>
      <c r="C91" s="4"/>
      <c r="D91" s="4"/>
      <c r="E91" s="1" t="s">
        <v>111</v>
      </c>
      <c r="F91" s="3"/>
      <c r="G91" s="3"/>
      <c r="H91" s="3"/>
      <c r="I91" s="3"/>
    </row>
    <row r="92" ht="15.75" customHeight="1">
      <c r="A92" s="3" t="s">
        <v>133</v>
      </c>
      <c r="B92" s="4" t="s">
        <v>99</v>
      </c>
      <c r="C92" s="4"/>
      <c r="D92" s="4"/>
      <c r="E92" s="1" t="s">
        <v>111</v>
      </c>
      <c r="F92" s="3"/>
      <c r="G92" s="3"/>
      <c r="H92" s="3"/>
      <c r="I92" s="3"/>
    </row>
    <row r="93" ht="15.75" customHeight="1">
      <c r="A93" s="3" t="s">
        <v>134</v>
      </c>
      <c r="B93" s="4" t="s">
        <v>99</v>
      </c>
      <c r="C93" s="4"/>
      <c r="D93" s="4"/>
      <c r="E93" s="1" t="s">
        <v>131</v>
      </c>
      <c r="F93" s="3"/>
      <c r="G93" s="3"/>
      <c r="H93" s="3"/>
      <c r="I93" s="3"/>
    </row>
    <row r="94" ht="15.75" customHeight="1">
      <c r="A94" s="3" t="s">
        <v>135</v>
      </c>
      <c r="B94" s="4" t="s">
        <v>99</v>
      </c>
      <c r="C94" s="4"/>
      <c r="D94" s="4"/>
      <c r="E94" s="3" t="s">
        <v>117</v>
      </c>
      <c r="F94" s="3"/>
      <c r="G94" s="3"/>
      <c r="H94" s="3"/>
      <c r="I94" s="3"/>
    </row>
    <row r="95" ht="15.75" customHeight="1">
      <c r="A95" s="3" t="s">
        <v>136</v>
      </c>
      <c r="B95" s="4" t="s">
        <v>99</v>
      </c>
      <c r="C95" s="4"/>
      <c r="D95" s="4"/>
      <c r="E95" s="3" t="s">
        <v>27</v>
      </c>
      <c r="F95" s="3"/>
      <c r="G95" s="3"/>
      <c r="H95" s="3"/>
      <c r="I95" s="3"/>
    </row>
    <row r="96" ht="15.75" customHeight="1">
      <c r="A96" s="3" t="s">
        <v>137</v>
      </c>
      <c r="B96" s="4" t="s">
        <v>99</v>
      </c>
      <c r="C96" s="4"/>
      <c r="D96" s="4"/>
      <c r="E96" s="1" t="s">
        <v>13</v>
      </c>
      <c r="F96" s="3"/>
      <c r="G96" s="3"/>
      <c r="H96" s="3"/>
      <c r="I96" s="3"/>
    </row>
    <row r="97" ht="15.75" customHeight="1">
      <c r="A97" s="3" t="s">
        <v>138</v>
      </c>
      <c r="B97" s="4" t="s">
        <v>99</v>
      </c>
      <c r="C97" s="4"/>
      <c r="D97" s="4"/>
      <c r="E97" s="1" t="s">
        <v>34</v>
      </c>
      <c r="F97" s="3"/>
      <c r="G97" s="3"/>
      <c r="H97" s="3"/>
      <c r="I97" s="3"/>
    </row>
    <row r="98" ht="15.75" customHeight="1">
      <c r="A98" s="3" t="s">
        <v>139</v>
      </c>
      <c r="B98" s="4" t="s">
        <v>99</v>
      </c>
      <c r="C98" s="4"/>
      <c r="D98" s="4"/>
      <c r="E98" s="1" t="s">
        <v>34</v>
      </c>
      <c r="F98" s="3"/>
      <c r="G98" s="3"/>
      <c r="H98" s="3"/>
      <c r="I98" s="3"/>
    </row>
    <row r="99" ht="15.75" customHeight="1">
      <c r="A99" s="3" t="s">
        <v>140</v>
      </c>
      <c r="B99" s="4" t="s">
        <v>99</v>
      </c>
      <c r="C99" s="4"/>
      <c r="D99" s="4"/>
      <c r="E99" s="1" t="s">
        <v>34</v>
      </c>
      <c r="F99" s="3"/>
      <c r="G99" s="3"/>
      <c r="H99" s="3"/>
      <c r="I99" s="3"/>
    </row>
    <row r="100" ht="15.75" customHeight="1">
      <c r="A100" s="3" t="s">
        <v>141</v>
      </c>
      <c r="B100" s="4" t="s">
        <v>99</v>
      </c>
      <c r="C100" s="4"/>
      <c r="D100" s="4"/>
      <c r="E100" s="1" t="s">
        <v>34</v>
      </c>
      <c r="F100" s="3"/>
      <c r="G100" s="3"/>
      <c r="H100" s="3"/>
      <c r="I100" s="3"/>
    </row>
    <row r="101" ht="15.75" customHeight="1">
      <c r="A101" s="3" t="s">
        <v>142</v>
      </c>
      <c r="B101" s="4" t="s">
        <v>99</v>
      </c>
      <c r="C101" s="4"/>
      <c r="D101" s="4"/>
      <c r="E101" s="1" t="s">
        <v>13</v>
      </c>
      <c r="F101" s="3"/>
      <c r="G101" s="3"/>
      <c r="H101" s="3"/>
      <c r="I101" s="3"/>
    </row>
    <row r="102" ht="15.75" customHeight="1">
      <c r="A102" s="3" t="s">
        <v>143</v>
      </c>
      <c r="B102" s="4" t="s">
        <v>99</v>
      </c>
      <c r="C102" s="4"/>
      <c r="D102" s="4"/>
      <c r="E102" s="1" t="s">
        <v>13</v>
      </c>
      <c r="F102" s="3"/>
      <c r="G102" s="3"/>
      <c r="H102" s="3"/>
      <c r="I102" s="3"/>
    </row>
    <row r="103" ht="15.75" customHeight="1">
      <c r="A103" s="3" t="s">
        <v>144</v>
      </c>
      <c r="B103" s="4" t="s">
        <v>99</v>
      </c>
      <c r="C103" s="4"/>
      <c r="D103" s="4"/>
      <c r="E103" s="3" t="s">
        <v>62</v>
      </c>
      <c r="F103" s="3"/>
      <c r="G103" s="3"/>
      <c r="H103" s="3"/>
      <c r="I103" s="3"/>
    </row>
    <row r="104" ht="15.75" customHeight="1">
      <c r="A104" s="3" t="s">
        <v>145</v>
      </c>
      <c r="B104" s="4" t="s">
        <v>99</v>
      </c>
      <c r="C104" s="4"/>
      <c r="D104" s="4"/>
      <c r="E104" s="3" t="s">
        <v>62</v>
      </c>
      <c r="F104" s="3"/>
      <c r="G104" s="3"/>
      <c r="H104" s="3"/>
      <c r="I104" s="3"/>
    </row>
    <row r="105" ht="15.75" customHeight="1">
      <c r="A105" s="1" t="s">
        <v>146</v>
      </c>
      <c r="B105" s="4" t="s">
        <v>99</v>
      </c>
      <c r="C105" s="4"/>
      <c r="D105" s="4"/>
      <c r="E105" s="3" t="s">
        <v>62</v>
      </c>
      <c r="F105" s="3"/>
      <c r="G105" s="3"/>
      <c r="H105" s="3"/>
      <c r="I105" s="3"/>
    </row>
    <row r="106" ht="15.75" customHeight="1">
      <c r="A106" s="3" t="s">
        <v>147</v>
      </c>
      <c r="B106" s="4" t="s">
        <v>99</v>
      </c>
      <c r="C106" s="4"/>
      <c r="D106" s="4"/>
      <c r="E106" s="1" t="s">
        <v>13</v>
      </c>
      <c r="F106" s="3"/>
      <c r="G106" s="3"/>
      <c r="H106" s="3"/>
      <c r="I106" s="3"/>
    </row>
    <row r="107" ht="15.75" customHeight="1">
      <c r="A107" s="3" t="s">
        <v>148</v>
      </c>
      <c r="B107" s="4" t="s">
        <v>99</v>
      </c>
      <c r="C107" s="4"/>
      <c r="D107" s="4"/>
      <c r="E107" s="1" t="s">
        <v>34</v>
      </c>
      <c r="F107" s="3"/>
      <c r="G107" s="3"/>
      <c r="H107" s="3"/>
      <c r="I107" s="3"/>
    </row>
    <row r="108" ht="15.75" customHeight="1">
      <c r="A108" s="3" t="s">
        <v>149</v>
      </c>
      <c r="B108" s="4" t="s">
        <v>99</v>
      </c>
      <c r="C108" s="4"/>
      <c r="D108" s="4"/>
      <c r="E108" s="1" t="s">
        <v>34</v>
      </c>
      <c r="F108" s="3"/>
      <c r="G108" s="3"/>
      <c r="H108" s="3"/>
      <c r="I108" s="3"/>
    </row>
    <row r="109" ht="15.75" customHeight="1">
      <c r="A109" s="3" t="s">
        <v>150</v>
      </c>
      <c r="B109" s="4" t="s">
        <v>99</v>
      </c>
      <c r="C109" s="4"/>
      <c r="D109" s="4"/>
      <c r="E109" s="1" t="s">
        <v>34</v>
      </c>
      <c r="F109" s="3"/>
      <c r="G109" s="3"/>
      <c r="H109" s="3"/>
      <c r="I109" s="3"/>
    </row>
    <row r="110" ht="15.75" customHeight="1">
      <c r="A110" s="3" t="s">
        <v>151</v>
      </c>
      <c r="B110" s="4" t="s">
        <v>99</v>
      </c>
      <c r="C110" s="4"/>
      <c r="D110" s="4"/>
      <c r="E110" s="1" t="s">
        <v>34</v>
      </c>
      <c r="F110" s="3"/>
      <c r="G110" s="3"/>
      <c r="H110" s="3"/>
      <c r="I110" s="3"/>
    </row>
    <row r="111" ht="15.75" customHeight="1">
      <c r="A111" s="3" t="s">
        <v>152</v>
      </c>
      <c r="B111" s="4" t="s">
        <v>99</v>
      </c>
      <c r="C111" s="4"/>
      <c r="D111" s="4"/>
      <c r="E111" s="1" t="s">
        <v>34</v>
      </c>
      <c r="F111" s="3"/>
      <c r="G111" s="3"/>
      <c r="H111" s="3"/>
      <c r="I111" s="3"/>
    </row>
    <row r="112" ht="15.75" customHeight="1">
      <c r="A112" s="3" t="s">
        <v>153</v>
      </c>
      <c r="B112" s="4" t="s">
        <v>99</v>
      </c>
      <c r="C112" s="4"/>
      <c r="D112" s="4"/>
      <c r="E112" s="1" t="s">
        <v>13</v>
      </c>
      <c r="F112" s="3"/>
      <c r="G112" s="3"/>
      <c r="H112" s="3"/>
      <c r="I112" s="3"/>
    </row>
    <row r="113" ht="15.75" customHeight="1">
      <c r="A113" s="3" t="s">
        <v>154</v>
      </c>
      <c r="B113" s="4" t="s">
        <v>99</v>
      </c>
      <c r="C113" s="4"/>
      <c r="D113" s="4"/>
      <c r="E113" s="1" t="s">
        <v>34</v>
      </c>
      <c r="F113" s="3"/>
      <c r="G113" s="3"/>
      <c r="H113" s="3"/>
      <c r="I113" s="3"/>
    </row>
    <row r="114" ht="15.75" customHeight="1">
      <c r="A114" s="3" t="s">
        <v>155</v>
      </c>
      <c r="B114" s="4" t="s">
        <v>99</v>
      </c>
      <c r="C114" s="4"/>
      <c r="D114" s="4"/>
      <c r="E114" s="3" t="s">
        <v>27</v>
      </c>
      <c r="F114" s="3"/>
      <c r="G114" s="3"/>
      <c r="H114" s="3"/>
      <c r="I114" s="3"/>
    </row>
    <row r="115" ht="15.75" customHeight="1">
      <c r="A115" s="3" t="s">
        <v>156</v>
      </c>
      <c r="B115" s="4" t="s">
        <v>99</v>
      </c>
      <c r="C115" s="4"/>
      <c r="D115" s="4"/>
      <c r="E115" s="3" t="s">
        <v>27</v>
      </c>
      <c r="F115" s="3"/>
      <c r="G115" s="3"/>
      <c r="H115" s="3"/>
      <c r="I115" s="3"/>
    </row>
    <row r="116" ht="15.75" customHeight="1">
      <c r="A116" s="3" t="s">
        <v>157</v>
      </c>
      <c r="B116" s="4" t="s">
        <v>99</v>
      </c>
      <c r="C116" s="4"/>
      <c r="D116" s="4"/>
      <c r="E116" s="3" t="s">
        <v>158</v>
      </c>
      <c r="F116" s="3"/>
      <c r="G116" s="3"/>
      <c r="H116" s="3"/>
      <c r="I116" s="3"/>
    </row>
    <row r="117" ht="15.75" customHeight="1">
      <c r="A117" s="3" t="s">
        <v>159</v>
      </c>
      <c r="B117" s="4" t="s">
        <v>99</v>
      </c>
      <c r="C117" s="4"/>
      <c r="D117" s="4"/>
      <c r="E117" s="3" t="s">
        <v>111</v>
      </c>
      <c r="F117" s="3"/>
      <c r="G117" s="3"/>
      <c r="H117" s="3"/>
      <c r="I117" s="3"/>
    </row>
    <row r="118" ht="15.75" customHeight="1">
      <c r="A118" s="3" t="s">
        <v>160</v>
      </c>
      <c r="B118" s="4" t="s">
        <v>99</v>
      </c>
      <c r="C118" s="4"/>
      <c r="D118" s="4"/>
      <c r="E118" s="3" t="s">
        <v>161</v>
      </c>
      <c r="F118" s="3"/>
      <c r="G118" s="3"/>
      <c r="H118" s="3"/>
      <c r="I118" s="3"/>
    </row>
    <row r="119" ht="15.75" customHeight="1">
      <c r="A119" s="1" t="s">
        <v>162</v>
      </c>
      <c r="B119" s="4" t="s">
        <v>99</v>
      </c>
      <c r="C119" s="4"/>
      <c r="D119" s="4"/>
      <c r="E119" s="1" t="s">
        <v>163</v>
      </c>
      <c r="F119" s="3"/>
      <c r="G119" s="3"/>
      <c r="H119" s="3"/>
      <c r="I119" s="3"/>
    </row>
    <row r="120" ht="15.75" customHeight="1">
      <c r="A120" s="3" t="s">
        <v>164</v>
      </c>
      <c r="B120" s="4" t="s">
        <v>99</v>
      </c>
      <c r="C120" s="4"/>
      <c r="D120" s="4"/>
      <c r="E120" s="1" t="s">
        <v>165</v>
      </c>
      <c r="F120" s="3"/>
      <c r="G120" s="3"/>
      <c r="H120" s="3"/>
      <c r="I120" s="3"/>
    </row>
    <row r="121" ht="15.75" customHeight="1">
      <c r="A121" s="3" t="s">
        <v>166</v>
      </c>
      <c r="B121" s="4" t="s">
        <v>99</v>
      </c>
      <c r="C121" s="4"/>
      <c r="D121" s="4"/>
      <c r="E121" s="1" t="s">
        <v>34</v>
      </c>
      <c r="F121" s="3"/>
      <c r="G121" s="3"/>
      <c r="H121" s="3"/>
      <c r="I121" s="3"/>
    </row>
    <row r="122" ht="15.75" customHeight="1">
      <c r="A122" s="3" t="s">
        <v>167</v>
      </c>
      <c r="B122" s="4" t="s">
        <v>99</v>
      </c>
      <c r="C122" s="4"/>
      <c r="D122" s="4"/>
      <c r="E122" s="1" t="s">
        <v>34</v>
      </c>
      <c r="F122" s="3"/>
      <c r="G122" s="3"/>
      <c r="H122" s="3"/>
      <c r="I122" s="3"/>
    </row>
    <row r="123" ht="15.75" customHeight="1">
      <c r="A123" s="3" t="s">
        <v>168</v>
      </c>
      <c r="B123" s="4" t="s">
        <v>99</v>
      </c>
      <c r="C123" s="4"/>
      <c r="D123" s="4"/>
      <c r="E123" s="1" t="s">
        <v>34</v>
      </c>
      <c r="F123" s="3"/>
      <c r="G123" s="3"/>
      <c r="H123" s="3"/>
      <c r="I123" s="3"/>
    </row>
    <row r="124" ht="15.75" customHeight="1">
      <c r="A124" s="3" t="s">
        <v>169</v>
      </c>
      <c r="B124" s="4" t="s">
        <v>99</v>
      </c>
      <c r="C124" s="4"/>
      <c r="D124" s="4"/>
      <c r="E124" s="1" t="s">
        <v>34</v>
      </c>
      <c r="F124" s="3"/>
      <c r="G124" s="3"/>
      <c r="H124" s="3"/>
      <c r="I124" s="3"/>
    </row>
    <row r="125" ht="15.75" customHeight="1">
      <c r="A125" s="3" t="s">
        <v>170</v>
      </c>
      <c r="B125" s="4" t="s">
        <v>99</v>
      </c>
      <c r="C125" s="4"/>
      <c r="D125" s="4"/>
      <c r="E125" s="1" t="s">
        <v>34</v>
      </c>
      <c r="F125" s="3"/>
      <c r="G125" s="3"/>
      <c r="H125" s="3"/>
      <c r="I125" s="3"/>
    </row>
    <row r="126" ht="15.75" customHeight="1">
      <c r="A126" s="3" t="s">
        <v>171</v>
      </c>
      <c r="B126" s="4" t="s">
        <v>99</v>
      </c>
      <c r="C126" s="4"/>
      <c r="D126" s="4"/>
      <c r="E126" s="1" t="s">
        <v>34</v>
      </c>
      <c r="F126" s="3"/>
      <c r="G126" s="3"/>
      <c r="H126" s="3"/>
      <c r="I126" s="3"/>
    </row>
    <row r="127" ht="15.75" customHeight="1">
      <c r="A127" s="3" t="s">
        <v>172</v>
      </c>
      <c r="B127" s="4" t="s">
        <v>99</v>
      </c>
      <c r="C127" s="4"/>
      <c r="D127" s="4"/>
      <c r="E127" s="3" t="s">
        <v>62</v>
      </c>
      <c r="F127" s="3"/>
      <c r="G127" s="3"/>
      <c r="H127" s="3"/>
      <c r="I127" s="3"/>
    </row>
    <row r="128" ht="15.75" customHeight="1">
      <c r="A128" s="3" t="s">
        <v>173</v>
      </c>
      <c r="B128" s="4" t="s">
        <v>99</v>
      </c>
      <c r="C128" s="4"/>
      <c r="D128" s="4"/>
      <c r="E128" s="1" t="s">
        <v>174</v>
      </c>
      <c r="F128" s="3"/>
      <c r="G128" s="3"/>
      <c r="H128" s="3"/>
      <c r="I128" s="3"/>
    </row>
    <row r="129" ht="15.75" customHeight="1">
      <c r="A129" s="3" t="s">
        <v>175</v>
      </c>
      <c r="B129" s="4" t="s">
        <v>99</v>
      </c>
      <c r="C129" s="4"/>
      <c r="D129" s="4"/>
      <c r="E129" s="3" t="s">
        <v>111</v>
      </c>
      <c r="F129" s="3"/>
      <c r="G129" s="3"/>
      <c r="H129" s="3"/>
      <c r="I129" s="3"/>
    </row>
    <row r="130" ht="15.75" customHeight="1">
      <c r="A130" s="3" t="s">
        <v>176</v>
      </c>
      <c r="B130" s="4" t="s">
        <v>99</v>
      </c>
      <c r="C130" s="4"/>
      <c r="D130" s="4"/>
      <c r="E130" s="1" t="s">
        <v>131</v>
      </c>
      <c r="F130" s="3"/>
      <c r="G130" s="3"/>
      <c r="H130" s="3"/>
      <c r="I130" s="3"/>
    </row>
    <row r="131" ht="15.75" customHeight="1">
      <c r="A131" s="3" t="s">
        <v>177</v>
      </c>
      <c r="B131" s="4" t="s">
        <v>99</v>
      </c>
      <c r="C131" s="4"/>
      <c r="D131" s="4"/>
      <c r="E131" s="1" t="s">
        <v>174</v>
      </c>
      <c r="F131" s="3"/>
      <c r="G131" s="3"/>
      <c r="H131" s="3"/>
      <c r="I131" s="3"/>
    </row>
    <row r="132" ht="15.75" customHeight="1">
      <c r="A132" s="3" t="s">
        <v>178</v>
      </c>
      <c r="B132" s="4" t="s">
        <v>99</v>
      </c>
      <c r="C132" s="4"/>
      <c r="D132" s="4"/>
      <c r="E132" s="1" t="s">
        <v>111</v>
      </c>
      <c r="F132" s="3"/>
      <c r="G132" s="3"/>
      <c r="H132" s="3"/>
      <c r="I132" s="3"/>
    </row>
    <row r="133" ht="15.75" customHeight="1">
      <c r="A133" s="3" t="s">
        <v>179</v>
      </c>
      <c r="B133" s="4" t="s">
        <v>99</v>
      </c>
      <c r="C133" s="4"/>
      <c r="D133" s="4"/>
      <c r="E133" s="3" t="s">
        <v>174</v>
      </c>
      <c r="F133" s="3"/>
      <c r="G133" s="3"/>
      <c r="H133" s="3"/>
      <c r="I133" s="3"/>
    </row>
    <row r="134" ht="15.75" customHeight="1">
      <c r="A134" s="3" t="s">
        <v>180</v>
      </c>
      <c r="B134" s="4" t="s">
        <v>99</v>
      </c>
      <c r="C134" s="4"/>
      <c r="D134" s="4"/>
      <c r="E134" s="3" t="s">
        <v>111</v>
      </c>
      <c r="F134" s="3"/>
      <c r="G134" s="3"/>
      <c r="H134" s="3"/>
      <c r="I134" s="3"/>
    </row>
    <row r="135" ht="15.75" customHeight="1">
      <c r="A135" s="3" t="s">
        <v>181</v>
      </c>
      <c r="B135" s="4" t="s">
        <v>99</v>
      </c>
      <c r="C135" s="4"/>
      <c r="D135" s="4"/>
      <c r="E135" s="1" t="s">
        <v>182</v>
      </c>
      <c r="F135" s="3"/>
      <c r="G135" s="3"/>
      <c r="H135" s="3"/>
      <c r="I135" s="3"/>
    </row>
    <row r="136" ht="15.75" customHeight="1">
      <c r="A136" s="3" t="s">
        <v>183</v>
      </c>
      <c r="B136" s="4" t="s">
        <v>99</v>
      </c>
      <c r="C136" s="4"/>
      <c r="D136" s="4"/>
      <c r="E136" s="3" t="s">
        <v>111</v>
      </c>
      <c r="F136" s="3"/>
      <c r="G136" s="3"/>
      <c r="H136" s="3"/>
      <c r="I136" s="3"/>
    </row>
    <row r="137" ht="15.75" customHeight="1">
      <c r="A137" s="3" t="s">
        <v>184</v>
      </c>
      <c r="B137" s="4" t="s">
        <v>99</v>
      </c>
      <c r="C137" s="4"/>
      <c r="D137" s="4"/>
      <c r="E137" s="3" t="s">
        <v>111</v>
      </c>
      <c r="F137" s="3"/>
      <c r="G137" s="3"/>
      <c r="H137" s="3"/>
      <c r="I137" s="3"/>
    </row>
    <row r="138" ht="15.75" customHeight="1">
      <c r="A138" s="3" t="s">
        <v>185</v>
      </c>
      <c r="B138" s="4" t="s">
        <v>99</v>
      </c>
      <c r="C138" s="4"/>
      <c r="D138" s="4"/>
      <c r="E138" s="3" t="s">
        <v>62</v>
      </c>
      <c r="F138" s="3"/>
      <c r="G138" s="3"/>
      <c r="H138" s="3"/>
      <c r="I138" s="3"/>
    </row>
    <row r="139" ht="15.75" customHeight="1">
      <c r="A139" s="3" t="s">
        <v>186</v>
      </c>
      <c r="B139" s="4" t="s">
        <v>99</v>
      </c>
      <c r="C139" s="4"/>
      <c r="D139" s="4"/>
      <c r="E139" s="3" t="s">
        <v>27</v>
      </c>
      <c r="F139" s="3"/>
      <c r="G139" s="3"/>
      <c r="H139" s="3"/>
      <c r="I139" s="3"/>
    </row>
    <row r="140" ht="15.75" customHeight="1">
      <c r="A140" s="3" t="s">
        <v>187</v>
      </c>
      <c r="B140" s="4" t="s">
        <v>99</v>
      </c>
      <c r="C140" s="4"/>
      <c r="D140" s="4"/>
      <c r="E140" s="1" t="s">
        <v>188</v>
      </c>
      <c r="F140" s="3"/>
      <c r="G140" s="3"/>
      <c r="H140" s="3"/>
      <c r="I140" s="3"/>
    </row>
    <row r="141" ht="15.75" customHeight="1">
      <c r="A141" s="1" t="s">
        <v>189</v>
      </c>
      <c r="B141" s="4" t="s">
        <v>99</v>
      </c>
      <c r="C141" s="4"/>
      <c r="D141" s="4"/>
      <c r="E141" s="3" t="s">
        <v>78</v>
      </c>
      <c r="F141" s="3"/>
      <c r="G141" s="3"/>
      <c r="H141" s="3"/>
      <c r="I141" s="3"/>
    </row>
    <row r="142" ht="15.75" customHeight="1">
      <c r="A142" s="1" t="s">
        <v>190</v>
      </c>
      <c r="B142" s="4" t="s">
        <v>99</v>
      </c>
      <c r="C142" s="4"/>
      <c r="D142" s="4"/>
      <c r="E142" s="3" t="s">
        <v>37</v>
      </c>
      <c r="F142" s="3"/>
      <c r="G142" s="3"/>
      <c r="H142" s="3"/>
      <c r="I142" s="3"/>
    </row>
    <row r="143" ht="15.75" customHeight="1">
      <c r="A143" s="3" t="s">
        <v>191</v>
      </c>
      <c r="B143" s="4" t="s">
        <v>99</v>
      </c>
      <c r="C143" s="4"/>
      <c r="D143" s="4"/>
      <c r="E143" s="1" t="s">
        <v>192</v>
      </c>
      <c r="F143" s="3"/>
      <c r="G143" s="3"/>
      <c r="H143" s="3"/>
      <c r="I143" s="3"/>
    </row>
    <row r="144" ht="15.75" customHeight="1">
      <c r="A144" s="3" t="s">
        <v>193</v>
      </c>
      <c r="B144" s="4" t="s">
        <v>99</v>
      </c>
      <c r="C144" s="4"/>
      <c r="D144" s="4"/>
      <c r="E144" s="1" t="s">
        <v>34</v>
      </c>
      <c r="F144" s="3"/>
      <c r="G144" s="3"/>
      <c r="H144" s="3"/>
      <c r="I144" s="3"/>
    </row>
    <row r="145" ht="15.75" customHeight="1">
      <c r="A145" s="3" t="s">
        <v>194</v>
      </c>
      <c r="B145" s="4" t="s">
        <v>99</v>
      </c>
      <c r="C145" s="4"/>
      <c r="D145" s="4"/>
      <c r="E145" s="1" t="s">
        <v>13</v>
      </c>
      <c r="F145" s="3"/>
      <c r="G145" s="3"/>
      <c r="H145" s="3"/>
      <c r="I145" s="3"/>
    </row>
    <row r="146" ht="15.75" customHeight="1">
      <c r="A146" s="3" t="s">
        <v>195</v>
      </c>
      <c r="B146" s="4" t="s">
        <v>99</v>
      </c>
      <c r="C146" s="4"/>
      <c r="D146" s="4"/>
      <c r="E146" s="1" t="s">
        <v>13</v>
      </c>
      <c r="F146" s="3"/>
      <c r="G146" s="3"/>
      <c r="H146" s="3"/>
      <c r="I146" s="3"/>
    </row>
    <row r="147" ht="15.75" customHeight="1">
      <c r="A147" s="3" t="s">
        <v>196</v>
      </c>
      <c r="B147" s="4" t="s">
        <v>99</v>
      </c>
      <c r="C147" s="4"/>
      <c r="D147" s="4"/>
      <c r="E147" s="1" t="s">
        <v>13</v>
      </c>
      <c r="F147" s="3"/>
      <c r="G147" s="3"/>
      <c r="H147" s="3"/>
      <c r="I147" s="3"/>
    </row>
    <row r="148" ht="15.75" customHeight="1">
      <c r="A148" s="3" t="s">
        <v>197</v>
      </c>
      <c r="B148" s="4" t="s">
        <v>99</v>
      </c>
      <c r="C148" s="4"/>
      <c r="D148" s="4"/>
      <c r="E148" s="1" t="s">
        <v>13</v>
      </c>
      <c r="F148" s="3"/>
      <c r="G148" s="3"/>
      <c r="H148" s="3"/>
      <c r="I148" s="3"/>
    </row>
    <row r="149" ht="15.75" customHeight="1">
      <c r="A149" s="3" t="s">
        <v>198</v>
      </c>
      <c r="B149" s="4" t="s">
        <v>99</v>
      </c>
      <c r="C149" s="4"/>
      <c r="D149" s="4"/>
      <c r="E149" s="1" t="s">
        <v>13</v>
      </c>
      <c r="F149" s="3"/>
      <c r="G149" s="3"/>
      <c r="H149" s="3"/>
      <c r="I149" s="3"/>
    </row>
    <row r="150" ht="15.75" customHeight="1">
      <c r="A150" s="3" t="s">
        <v>199</v>
      </c>
      <c r="B150" s="4" t="s">
        <v>99</v>
      </c>
      <c r="C150" s="4"/>
      <c r="D150" s="4"/>
      <c r="E150" s="1" t="s">
        <v>13</v>
      </c>
      <c r="F150" s="3"/>
      <c r="G150" s="3"/>
      <c r="H150" s="3"/>
      <c r="I150" s="3"/>
    </row>
    <row r="151" ht="15.75" customHeight="1">
      <c r="A151" s="3" t="s">
        <v>200</v>
      </c>
      <c r="B151" s="4" t="s">
        <v>99</v>
      </c>
      <c r="C151" s="4"/>
      <c r="D151" s="4"/>
      <c r="E151" s="3" t="s">
        <v>117</v>
      </c>
      <c r="F151" s="3"/>
      <c r="G151" s="3"/>
      <c r="H151" s="3"/>
      <c r="I151" s="3"/>
    </row>
    <row r="152" ht="15.75" customHeight="1">
      <c r="A152" s="3" t="s">
        <v>201</v>
      </c>
      <c r="B152" s="4" t="s">
        <v>99</v>
      </c>
      <c r="C152" s="4"/>
      <c r="D152" s="4"/>
      <c r="E152" s="1" t="s">
        <v>202</v>
      </c>
      <c r="F152" s="3"/>
      <c r="G152" s="3"/>
      <c r="H152" s="3"/>
      <c r="I152" s="3"/>
    </row>
    <row r="153" ht="15.75" customHeight="1">
      <c r="A153" s="3" t="s">
        <v>203</v>
      </c>
      <c r="B153" s="4" t="s">
        <v>99</v>
      </c>
      <c r="C153" s="4"/>
      <c r="D153" s="4"/>
      <c r="E153" s="1" t="s">
        <v>117</v>
      </c>
      <c r="F153" s="3"/>
      <c r="G153" s="3"/>
      <c r="H153" s="3"/>
      <c r="I153" s="3"/>
    </row>
    <row r="154" ht="15.75" customHeight="1">
      <c r="A154" s="3" t="s">
        <v>204</v>
      </c>
      <c r="B154" s="4" t="s">
        <v>99</v>
      </c>
      <c r="C154" s="4"/>
      <c r="D154" s="4"/>
      <c r="E154" s="1" t="s">
        <v>131</v>
      </c>
      <c r="F154" s="3"/>
      <c r="G154" s="3"/>
      <c r="H154" s="3"/>
      <c r="I154" s="3"/>
    </row>
    <row r="155" ht="15.75" customHeight="1">
      <c r="A155" s="3" t="s">
        <v>205</v>
      </c>
      <c r="B155" s="4" t="s">
        <v>99</v>
      </c>
      <c r="C155" s="4"/>
      <c r="D155" s="4"/>
      <c r="E155" s="1" t="s">
        <v>111</v>
      </c>
      <c r="F155" s="3"/>
      <c r="G155" s="3"/>
      <c r="H155" s="3"/>
      <c r="I155" s="3"/>
    </row>
    <row r="156" ht="15.75" customHeight="1">
      <c r="A156" s="3" t="s">
        <v>206</v>
      </c>
      <c r="B156" s="4" t="s">
        <v>99</v>
      </c>
      <c r="C156" s="4"/>
      <c r="D156" s="4"/>
      <c r="E156" s="1" t="s">
        <v>34</v>
      </c>
      <c r="F156" s="3"/>
      <c r="G156" s="3"/>
      <c r="H156" s="3"/>
      <c r="I156" s="3"/>
    </row>
    <row r="157" ht="15.75" customHeight="1">
      <c r="A157" s="3" t="s">
        <v>207</v>
      </c>
      <c r="B157" s="4" t="s">
        <v>99</v>
      </c>
      <c r="C157" s="4"/>
      <c r="D157" s="4"/>
      <c r="E157" s="1" t="s">
        <v>34</v>
      </c>
      <c r="F157" s="3"/>
      <c r="G157" s="3"/>
      <c r="H157" s="3"/>
      <c r="I157" s="3"/>
    </row>
    <row r="158" ht="15.75" customHeight="1">
      <c r="A158" s="3" t="s">
        <v>208</v>
      </c>
      <c r="B158" s="4" t="s">
        <v>99</v>
      </c>
      <c r="C158" s="4"/>
      <c r="D158" s="4"/>
      <c r="E158" s="1" t="s">
        <v>34</v>
      </c>
      <c r="F158" s="3"/>
      <c r="G158" s="3"/>
      <c r="H158" s="3"/>
      <c r="I158" s="3"/>
    </row>
    <row r="159" ht="15.75" customHeight="1">
      <c r="A159" s="3" t="s">
        <v>209</v>
      </c>
      <c r="B159" s="4" t="s">
        <v>99</v>
      </c>
      <c r="C159" s="4"/>
      <c r="D159" s="4"/>
      <c r="E159" s="1" t="s">
        <v>34</v>
      </c>
      <c r="F159" s="3"/>
      <c r="G159" s="3"/>
      <c r="H159" s="3"/>
      <c r="I159" s="3"/>
    </row>
    <row r="160" ht="15.75" customHeight="1">
      <c r="A160" s="3" t="s">
        <v>210</v>
      </c>
      <c r="B160" s="4" t="s">
        <v>99</v>
      </c>
      <c r="C160" s="4"/>
      <c r="D160" s="4"/>
      <c r="E160" s="1" t="s">
        <v>13</v>
      </c>
      <c r="F160" s="3"/>
      <c r="G160" s="3"/>
      <c r="H160" s="3"/>
      <c r="I160" s="3"/>
    </row>
    <row r="161" ht="15.75" customHeight="1">
      <c r="A161" s="3" t="s">
        <v>211</v>
      </c>
      <c r="B161" s="4" t="s">
        <v>99</v>
      </c>
      <c r="C161" s="4"/>
      <c r="D161" s="4"/>
      <c r="E161" s="1" t="s">
        <v>34</v>
      </c>
      <c r="F161" s="3"/>
      <c r="G161" s="3"/>
      <c r="H161" s="3"/>
      <c r="I161" s="3"/>
    </row>
    <row r="162" ht="15.75" customHeight="1">
      <c r="A162" s="3" t="s">
        <v>212</v>
      </c>
      <c r="B162" s="4" t="s">
        <v>99</v>
      </c>
      <c r="C162" s="4"/>
      <c r="D162" s="4"/>
      <c r="E162" s="3" t="s">
        <v>27</v>
      </c>
      <c r="F162" s="3"/>
      <c r="G162" s="3"/>
      <c r="H162" s="3"/>
      <c r="I162" s="3"/>
    </row>
    <row r="163" ht="15.75" customHeight="1">
      <c r="A163" s="3" t="s">
        <v>213</v>
      </c>
      <c r="B163" s="4" t="s">
        <v>99</v>
      </c>
      <c r="C163" s="4"/>
      <c r="D163" s="4"/>
      <c r="E163" s="3" t="s">
        <v>27</v>
      </c>
      <c r="F163" s="3"/>
      <c r="G163" s="3"/>
      <c r="H163" s="3"/>
      <c r="I163" s="3"/>
    </row>
    <row r="164" ht="15.75" customHeight="1">
      <c r="A164" s="3" t="s">
        <v>214</v>
      </c>
      <c r="B164" s="4" t="s">
        <v>99</v>
      </c>
      <c r="C164" s="4"/>
      <c r="D164" s="4"/>
      <c r="E164" s="3" t="s">
        <v>76</v>
      </c>
      <c r="F164" s="3"/>
      <c r="G164" s="3"/>
      <c r="H164" s="3"/>
      <c r="I164" s="3"/>
    </row>
    <row r="165" ht="15.75" customHeight="1">
      <c r="A165" s="3" t="s">
        <v>215</v>
      </c>
      <c r="B165" s="4" t="s">
        <v>99</v>
      </c>
      <c r="C165" s="4"/>
      <c r="D165" s="4"/>
      <c r="E165" s="3" t="s">
        <v>76</v>
      </c>
      <c r="F165" s="3"/>
      <c r="G165" s="3"/>
      <c r="H165" s="3"/>
      <c r="I165" s="3"/>
    </row>
    <row r="166" ht="15.75" customHeight="1">
      <c r="A166" s="3" t="s">
        <v>216</v>
      </c>
      <c r="B166" s="4" t="s">
        <v>99</v>
      </c>
      <c r="C166" s="4"/>
      <c r="D166" s="4"/>
      <c r="E166" s="1" t="s">
        <v>182</v>
      </c>
      <c r="F166" s="3"/>
      <c r="G166" s="3"/>
      <c r="H166" s="3"/>
      <c r="I166" s="3"/>
    </row>
    <row r="167" ht="15.75" customHeight="1">
      <c r="A167" s="3" t="s">
        <v>217</v>
      </c>
      <c r="B167" s="4" t="s">
        <v>99</v>
      </c>
      <c r="C167" s="4"/>
      <c r="D167" s="4"/>
      <c r="E167" s="1" t="s">
        <v>218</v>
      </c>
      <c r="F167" s="3"/>
      <c r="G167" s="3"/>
      <c r="H167" s="3"/>
      <c r="I167" s="3"/>
    </row>
    <row r="168" ht="15.75" customHeight="1">
      <c r="A168" s="3" t="s">
        <v>219</v>
      </c>
      <c r="B168" s="4" t="s">
        <v>99</v>
      </c>
      <c r="C168" s="4"/>
      <c r="D168" s="4"/>
      <c r="E168" s="3" t="s">
        <v>218</v>
      </c>
      <c r="F168" s="3"/>
      <c r="G168" s="3"/>
      <c r="H168" s="3"/>
      <c r="I168" s="3"/>
    </row>
    <row r="169" ht="15.75" customHeight="1">
      <c r="A169" s="3" t="s">
        <v>220</v>
      </c>
      <c r="B169" s="4" t="s">
        <v>99</v>
      </c>
      <c r="C169" s="4"/>
      <c r="D169" s="4"/>
      <c r="E169" s="1" t="s">
        <v>13</v>
      </c>
      <c r="F169" s="3"/>
      <c r="G169" s="3"/>
      <c r="H169" s="3"/>
      <c r="I169" s="3"/>
    </row>
    <row r="170" ht="15.75" customHeight="1">
      <c r="A170" s="3" t="s">
        <v>221</v>
      </c>
      <c r="B170" s="4" t="s">
        <v>99</v>
      </c>
      <c r="C170" s="4"/>
      <c r="D170" s="4"/>
      <c r="E170" s="1" t="s">
        <v>13</v>
      </c>
      <c r="F170" s="3"/>
      <c r="G170" s="3"/>
      <c r="H170" s="3"/>
      <c r="I170" s="3"/>
    </row>
    <row r="171" ht="15.75" customHeight="1">
      <c r="A171" s="3" t="s">
        <v>222</v>
      </c>
      <c r="B171" s="4" t="s">
        <v>99</v>
      </c>
      <c r="C171" s="4"/>
      <c r="D171" s="4"/>
      <c r="E171" s="1" t="s">
        <v>13</v>
      </c>
      <c r="F171" s="3"/>
      <c r="G171" s="3"/>
      <c r="H171" s="3"/>
      <c r="I171" s="3"/>
    </row>
    <row r="172" ht="15.75" customHeight="1">
      <c r="A172" s="3" t="s">
        <v>223</v>
      </c>
      <c r="B172" s="4" t="s">
        <v>99</v>
      </c>
      <c r="C172" s="4"/>
      <c r="D172" s="4"/>
      <c r="E172" s="1" t="s">
        <v>13</v>
      </c>
      <c r="F172" s="3"/>
      <c r="G172" s="3"/>
      <c r="H172" s="3"/>
      <c r="I172" s="3"/>
    </row>
    <row r="173" ht="15.75" customHeight="1">
      <c r="A173" s="3" t="s">
        <v>224</v>
      </c>
      <c r="B173" s="4" t="s">
        <v>99</v>
      </c>
      <c r="C173" s="4"/>
      <c r="D173" s="4"/>
      <c r="E173" s="3" t="s">
        <v>13</v>
      </c>
      <c r="F173" s="3"/>
      <c r="G173" s="3"/>
      <c r="H173" s="3"/>
      <c r="I173" s="3"/>
    </row>
    <row r="174" ht="15.75" customHeight="1">
      <c r="A174" s="3" t="s">
        <v>225</v>
      </c>
      <c r="B174" s="4" t="s">
        <v>99</v>
      </c>
      <c r="C174" s="4"/>
      <c r="D174" s="4"/>
      <c r="E174" s="3" t="s">
        <v>111</v>
      </c>
      <c r="F174" s="3"/>
      <c r="G174" s="3"/>
      <c r="H174" s="3"/>
      <c r="I174" s="3"/>
    </row>
    <row r="175" ht="15.75" customHeight="1">
      <c r="A175" s="3" t="s">
        <v>226</v>
      </c>
      <c r="B175" s="4" t="s">
        <v>99</v>
      </c>
      <c r="C175" s="4"/>
      <c r="D175" s="4"/>
      <c r="E175" s="3" t="s">
        <v>174</v>
      </c>
      <c r="F175" s="3"/>
      <c r="G175" s="3"/>
      <c r="H175" s="3"/>
      <c r="I175" s="3"/>
    </row>
    <row r="176" ht="15.75" customHeight="1">
      <c r="A176" s="3" t="s">
        <v>227</v>
      </c>
      <c r="B176" s="4" t="s">
        <v>99</v>
      </c>
      <c r="C176" s="4"/>
      <c r="D176" s="4"/>
      <c r="E176" s="1" t="s">
        <v>174</v>
      </c>
      <c r="F176" s="3"/>
      <c r="G176" s="3"/>
      <c r="H176" s="3"/>
      <c r="I176" s="3"/>
    </row>
    <row r="177" ht="15.75" customHeight="1">
      <c r="A177" s="3" t="s">
        <v>228</v>
      </c>
      <c r="B177" s="4" t="s">
        <v>99</v>
      </c>
      <c r="C177" s="4"/>
      <c r="D177" s="4"/>
      <c r="E177" s="1" t="s">
        <v>174</v>
      </c>
      <c r="F177" s="3"/>
      <c r="G177" s="3"/>
      <c r="H177" s="3"/>
      <c r="I177" s="3"/>
    </row>
    <row r="178" ht="15.75" customHeight="1">
      <c r="A178" s="3" t="s">
        <v>229</v>
      </c>
      <c r="B178" s="4" t="s">
        <v>99</v>
      </c>
      <c r="C178" s="4"/>
      <c r="D178" s="4"/>
      <c r="E178" s="1" t="s">
        <v>174</v>
      </c>
      <c r="F178" s="3"/>
      <c r="G178" s="3"/>
      <c r="H178" s="3"/>
      <c r="I178" s="3"/>
    </row>
    <row r="179" ht="15.75" customHeight="1">
      <c r="A179" s="3" t="s">
        <v>230</v>
      </c>
      <c r="B179" s="4" t="s">
        <v>99</v>
      </c>
      <c r="C179" s="4"/>
      <c r="D179" s="4"/>
      <c r="E179" s="3" t="s">
        <v>174</v>
      </c>
      <c r="F179" s="3"/>
      <c r="G179" s="3"/>
      <c r="H179" s="3"/>
      <c r="I179" s="3"/>
    </row>
    <row r="180" ht="15.75" customHeight="1">
      <c r="A180" s="3" t="s">
        <v>231</v>
      </c>
      <c r="B180" s="4" t="s">
        <v>99</v>
      </c>
      <c r="C180" s="4"/>
      <c r="D180" s="4"/>
      <c r="E180" s="3" t="s">
        <v>111</v>
      </c>
      <c r="F180" s="3"/>
      <c r="G180" s="3"/>
      <c r="H180" s="3"/>
      <c r="I180" s="3"/>
    </row>
    <row r="181" ht="15.75" customHeight="1">
      <c r="A181" s="1" t="s">
        <v>232</v>
      </c>
      <c r="B181" s="4" t="s">
        <v>99</v>
      </c>
      <c r="C181" s="4"/>
      <c r="D181" s="4"/>
      <c r="E181" s="3" t="s">
        <v>13</v>
      </c>
      <c r="F181" s="3"/>
      <c r="G181" s="3"/>
      <c r="H181" s="3"/>
      <c r="I181" s="3"/>
    </row>
    <row r="182" ht="15.75" customHeight="1">
      <c r="A182" s="3" t="s">
        <v>233</v>
      </c>
      <c r="B182" s="4" t="s">
        <v>99</v>
      </c>
      <c r="C182" s="4"/>
      <c r="D182" s="4"/>
      <c r="E182" s="1" t="s">
        <v>174</v>
      </c>
      <c r="F182" s="3"/>
      <c r="G182" s="3"/>
      <c r="H182" s="3"/>
      <c r="I182" s="3"/>
    </row>
    <row r="183" ht="15.75" customHeight="1">
      <c r="A183" s="3" t="s">
        <v>234</v>
      </c>
      <c r="B183" s="4" t="s">
        <v>99</v>
      </c>
      <c r="C183" s="4"/>
      <c r="D183" s="4"/>
      <c r="E183" s="3" t="s">
        <v>34</v>
      </c>
      <c r="F183" s="3"/>
      <c r="G183" s="3"/>
      <c r="H183" s="3"/>
      <c r="I183" s="3"/>
    </row>
    <row r="184" ht="15.75" customHeight="1">
      <c r="A184" s="3" t="s">
        <v>235</v>
      </c>
      <c r="B184" s="4" t="s">
        <v>99</v>
      </c>
      <c r="C184" s="4"/>
      <c r="D184" s="4"/>
      <c r="E184" s="3" t="s">
        <v>105</v>
      </c>
      <c r="F184" s="3"/>
      <c r="G184" s="3"/>
      <c r="H184" s="3"/>
      <c r="I184" s="3"/>
    </row>
    <row r="185" ht="15.75" customHeight="1">
      <c r="A185" s="3" t="s">
        <v>236</v>
      </c>
      <c r="B185" s="4" t="s">
        <v>99</v>
      </c>
      <c r="C185" s="4"/>
      <c r="D185" s="4"/>
      <c r="E185" s="3" t="s">
        <v>13</v>
      </c>
      <c r="F185" s="3"/>
      <c r="G185" s="3"/>
      <c r="H185" s="3"/>
      <c r="I185" s="3"/>
    </row>
    <row r="186" ht="15.75" customHeight="1">
      <c r="A186" s="3" t="s">
        <v>237</v>
      </c>
      <c r="B186" s="4" t="s">
        <v>99</v>
      </c>
      <c r="C186" s="4"/>
      <c r="D186" s="4"/>
      <c r="E186" s="3" t="s">
        <v>111</v>
      </c>
      <c r="F186" s="3"/>
      <c r="G186" s="3"/>
      <c r="H186" s="3"/>
      <c r="I186" s="3"/>
    </row>
    <row r="187" ht="15.75" customHeight="1">
      <c r="A187" s="3" t="s">
        <v>238</v>
      </c>
      <c r="B187" s="4" t="s">
        <v>99</v>
      </c>
      <c r="C187" s="4"/>
      <c r="D187" s="4"/>
      <c r="E187" s="1" t="s">
        <v>192</v>
      </c>
      <c r="F187" s="3"/>
      <c r="G187" s="3"/>
      <c r="H187" s="3"/>
      <c r="I187" s="3"/>
    </row>
    <row r="188" ht="15.75" customHeight="1">
      <c r="A188" s="3" t="s">
        <v>239</v>
      </c>
      <c r="B188" s="4" t="s">
        <v>99</v>
      </c>
      <c r="C188" s="4"/>
      <c r="D188" s="4"/>
      <c r="E188" s="3" t="s">
        <v>34</v>
      </c>
      <c r="F188" s="3"/>
      <c r="G188" s="3"/>
      <c r="H188" s="3"/>
      <c r="I188" s="3"/>
    </row>
    <row r="189" ht="15.75" customHeight="1">
      <c r="A189" s="3" t="s">
        <v>240</v>
      </c>
      <c r="B189" s="4" t="s">
        <v>99</v>
      </c>
      <c r="C189" s="4"/>
      <c r="D189" s="4"/>
      <c r="E189" s="3" t="s">
        <v>241</v>
      </c>
      <c r="F189" s="3"/>
      <c r="G189" s="3"/>
      <c r="H189" s="3"/>
      <c r="I189" s="3"/>
    </row>
    <row r="190" ht="15.75" customHeight="1">
      <c r="A190" s="3" t="s">
        <v>242</v>
      </c>
      <c r="B190" s="4" t="s">
        <v>99</v>
      </c>
      <c r="C190" s="4"/>
      <c r="D190" s="4"/>
      <c r="E190" s="3" t="s">
        <v>111</v>
      </c>
      <c r="F190" s="3"/>
      <c r="G190" s="3"/>
      <c r="H190" s="3"/>
      <c r="I190" s="3"/>
    </row>
    <row r="191" ht="15.75" customHeight="1">
      <c r="A191" s="3" t="s">
        <v>243</v>
      </c>
      <c r="B191" s="4" t="s">
        <v>99</v>
      </c>
      <c r="C191" s="4"/>
      <c r="D191" s="4"/>
      <c r="E191" s="3" t="s">
        <v>111</v>
      </c>
      <c r="F191" s="3"/>
      <c r="G191" s="3"/>
      <c r="H191" s="3"/>
      <c r="I191" s="3"/>
    </row>
    <row r="192" ht="15.75" customHeight="1">
      <c r="A192" s="3" t="s">
        <v>244</v>
      </c>
      <c r="B192" s="4" t="s">
        <v>99</v>
      </c>
      <c r="C192" s="4"/>
      <c r="D192" s="4"/>
      <c r="E192" s="3" t="s">
        <v>111</v>
      </c>
      <c r="F192" s="3"/>
      <c r="G192" s="3"/>
      <c r="H192" s="3"/>
      <c r="I192" s="3"/>
    </row>
    <row r="193" ht="15.75" customHeight="1">
      <c r="A193" s="3" t="s">
        <v>245</v>
      </c>
      <c r="B193" s="4" t="s">
        <v>99</v>
      </c>
      <c r="C193" s="4"/>
      <c r="D193" s="4"/>
      <c r="E193" s="3" t="s">
        <v>13</v>
      </c>
      <c r="F193" s="3"/>
      <c r="G193" s="3"/>
      <c r="H193" s="3"/>
      <c r="I193" s="3"/>
    </row>
    <row r="194" ht="15.75" customHeight="1">
      <c r="A194" s="3" t="s">
        <v>246</v>
      </c>
      <c r="B194" s="4" t="s">
        <v>99</v>
      </c>
      <c r="C194" s="4"/>
      <c r="D194" s="4"/>
      <c r="E194" s="3" t="s">
        <v>78</v>
      </c>
      <c r="F194" s="3"/>
      <c r="G194" s="3"/>
      <c r="H194" s="3"/>
      <c r="I194" s="3"/>
    </row>
    <row r="195" ht="15.75" customHeight="1">
      <c r="A195" s="1" t="s">
        <v>247</v>
      </c>
      <c r="B195" s="4" t="s">
        <v>248</v>
      </c>
      <c r="C195" s="4"/>
      <c r="D195" s="4"/>
      <c r="E195" s="3" t="s">
        <v>78</v>
      </c>
      <c r="F195" s="3"/>
      <c r="G195" s="3"/>
      <c r="H195" s="3"/>
      <c r="I195" s="3"/>
    </row>
    <row r="196" ht="15.75" customHeight="1">
      <c r="A196" s="3" t="s">
        <v>249</v>
      </c>
      <c r="B196" s="4" t="s">
        <v>250</v>
      </c>
      <c r="C196" s="4"/>
      <c r="D196" s="4"/>
      <c r="E196" s="3" t="s">
        <v>251</v>
      </c>
      <c r="F196" s="3"/>
      <c r="G196" s="3"/>
      <c r="H196" s="3"/>
      <c r="I196" s="3"/>
    </row>
    <row r="197" ht="15.75" customHeight="1">
      <c r="A197" s="1" t="s">
        <v>252</v>
      </c>
      <c r="B197" s="4" t="s">
        <v>250</v>
      </c>
      <c r="C197" s="4"/>
      <c r="D197" s="4"/>
      <c r="E197" s="3" t="s">
        <v>78</v>
      </c>
      <c r="F197" s="3"/>
      <c r="G197" s="3"/>
      <c r="H197" s="3"/>
      <c r="I197" s="3"/>
    </row>
    <row r="198" ht="15.75" customHeight="1">
      <c r="A198" s="3" t="s">
        <v>253</v>
      </c>
      <c r="B198" s="4" t="s">
        <v>254</v>
      </c>
      <c r="C198" s="4"/>
      <c r="D198" s="4"/>
      <c r="E198" s="1" t="s">
        <v>34</v>
      </c>
      <c r="F198" s="3"/>
      <c r="G198" s="3"/>
      <c r="H198" s="3"/>
      <c r="I198" s="3"/>
    </row>
    <row r="199" ht="15.75" customHeight="1">
      <c r="A199" s="3" t="s">
        <v>255</v>
      </c>
      <c r="B199" s="4" t="s">
        <v>256</v>
      </c>
      <c r="C199" s="4"/>
      <c r="D199" s="4"/>
      <c r="E199" s="3" t="s">
        <v>78</v>
      </c>
      <c r="F199" s="3"/>
      <c r="G199" s="3"/>
      <c r="H199" s="3"/>
      <c r="I199" s="3"/>
    </row>
    <row r="200" ht="15.75" customHeight="1">
      <c r="A200" s="3" t="s">
        <v>257</v>
      </c>
      <c r="B200" s="4" t="s">
        <v>258</v>
      </c>
      <c r="C200" s="4"/>
      <c r="D200" s="4"/>
      <c r="E200" s="1" t="s">
        <v>13</v>
      </c>
      <c r="F200" s="3"/>
      <c r="G200" s="3"/>
      <c r="H200" s="3"/>
      <c r="I200" s="3"/>
    </row>
    <row r="201" ht="15.75" customHeight="1">
      <c r="A201" s="3" t="s">
        <v>259</v>
      </c>
      <c r="B201" s="4" t="s">
        <v>260</v>
      </c>
      <c r="C201" s="4"/>
      <c r="D201" s="4"/>
      <c r="E201" s="1" t="s">
        <v>34</v>
      </c>
      <c r="F201" s="3"/>
      <c r="G201" s="3"/>
      <c r="H201" s="3"/>
      <c r="I201" s="3"/>
    </row>
    <row r="202" ht="15.75" customHeight="1">
      <c r="A202" s="3" t="s">
        <v>261</v>
      </c>
      <c r="B202" s="4" t="s">
        <v>260</v>
      </c>
      <c r="C202" s="4"/>
      <c r="D202" s="4"/>
      <c r="E202" s="3" t="s">
        <v>34</v>
      </c>
      <c r="F202" s="3"/>
      <c r="G202" s="3"/>
      <c r="H202" s="3"/>
      <c r="I202" s="3"/>
    </row>
    <row r="203" ht="15.75" customHeight="1">
      <c r="A203" s="3" t="s">
        <v>262</v>
      </c>
      <c r="B203" s="4" t="s">
        <v>260</v>
      </c>
      <c r="C203" s="4"/>
      <c r="D203" s="4"/>
      <c r="E203" s="3" t="s">
        <v>34</v>
      </c>
      <c r="F203" s="3"/>
      <c r="G203" s="3"/>
      <c r="H203" s="3"/>
      <c r="I203" s="3"/>
    </row>
    <row r="204" ht="15.75" customHeight="1">
      <c r="A204" s="3" t="s">
        <v>263</v>
      </c>
      <c r="B204" s="4" t="s">
        <v>260</v>
      </c>
      <c r="C204" s="4"/>
      <c r="D204" s="4"/>
      <c r="E204" s="3" t="s">
        <v>34</v>
      </c>
      <c r="F204" s="3"/>
      <c r="G204" s="3"/>
      <c r="H204" s="3"/>
      <c r="I204" s="3"/>
    </row>
    <row r="205" ht="15.75" customHeight="1">
      <c r="A205" s="3" t="s">
        <v>264</v>
      </c>
      <c r="B205" s="4" t="s">
        <v>260</v>
      </c>
      <c r="C205" s="4"/>
      <c r="D205" s="4"/>
      <c r="E205" s="3" t="s">
        <v>34</v>
      </c>
      <c r="F205" s="3"/>
      <c r="G205" s="3"/>
      <c r="H205" s="3"/>
      <c r="I205" s="3"/>
    </row>
    <row r="206" ht="15.75" customHeight="1">
      <c r="A206" s="3" t="s">
        <v>265</v>
      </c>
      <c r="B206" s="4" t="s">
        <v>260</v>
      </c>
      <c r="C206" s="4"/>
      <c r="D206" s="4"/>
      <c r="E206" s="1" t="s">
        <v>13</v>
      </c>
      <c r="F206" s="3"/>
      <c r="G206" s="3"/>
      <c r="H206" s="3"/>
      <c r="I206" s="3"/>
    </row>
    <row r="207" ht="15.75" customHeight="1">
      <c r="A207" s="3" t="s">
        <v>266</v>
      </c>
      <c r="B207" s="4" t="s">
        <v>260</v>
      </c>
      <c r="C207" s="4"/>
      <c r="D207" s="4"/>
      <c r="E207" s="3" t="s">
        <v>34</v>
      </c>
      <c r="F207" s="3"/>
      <c r="G207" s="3"/>
      <c r="H207" s="3"/>
      <c r="I207" s="3"/>
    </row>
    <row r="208" ht="15.75" customHeight="1">
      <c r="A208" s="3" t="s">
        <v>267</v>
      </c>
      <c r="B208" s="4" t="s">
        <v>260</v>
      </c>
      <c r="C208" s="4"/>
      <c r="D208" s="4"/>
      <c r="E208" s="1" t="s">
        <v>78</v>
      </c>
      <c r="F208" s="3"/>
      <c r="G208" s="3"/>
      <c r="H208" s="3"/>
      <c r="I208" s="3"/>
    </row>
    <row r="209" ht="15.75" customHeight="1">
      <c r="A209" s="3" t="s">
        <v>268</v>
      </c>
      <c r="B209" s="4" t="s">
        <v>260</v>
      </c>
      <c r="C209" s="4"/>
      <c r="D209" s="4"/>
      <c r="E209" s="3" t="s">
        <v>34</v>
      </c>
      <c r="F209" s="3"/>
      <c r="G209" s="3"/>
      <c r="H209" s="3"/>
      <c r="I209" s="3"/>
    </row>
    <row r="210" ht="15.75" customHeight="1">
      <c r="A210" s="3" t="s">
        <v>269</v>
      </c>
      <c r="B210" s="4" t="s">
        <v>270</v>
      </c>
      <c r="C210" s="4"/>
      <c r="D210" s="4"/>
      <c r="E210" s="3" t="s">
        <v>271</v>
      </c>
      <c r="F210" s="3"/>
      <c r="G210" s="3"/>
      <c r="H210" s="3"/>
      <c r="I210" s="3"/>
    </row>
    <row r="211" ht="15.75" customHeight="1">
      <c r="A211" s="3" t="s">
        <v>272</v>
      </c>
      <c r="B211" s="4" t="s">
        <v>270</v>
      </c>
      <c r="C211" s="4"/>
      <c r="D211" s="4"/>
      <c r="E211" s="3" t="s">
        <v>273</v>
      </c>
      <c r="F211" s="3"/>
      <c r="G211" s="3"/>
      <c r="H211" s="3"/>
      <c r="I211" s="3"/>
    </row>
    <row r="212" ht="15.75" customHeight="1">
      <c r="A212" s="3" t="s">
        <v>274</v>
      </c>
      <c r="B212" s="4" t="s">
        <v>270</v>
      </c>
      <c r="C212" s="4"/>
      <c r="D212" s="4"/>
      <c r="E212" s="3" t="s">
        <v>275</v>
      </c>
      <c r="F212" s="3"/>
      <c r="G212" s="3"/>
      <c r="H212" s="3"/>
      <c r="I212" s="3"/>
    </row>
    <row r="213" ht="15.75" customHeight="1">
      <c r="A213" s="3" t="s">
        <v>276</v>
      </c>
      <c r="B213" s="4" t="s">
        <v>270</v>
      </c>
      <c r="C213" s="4"/>
      <c r="D213" s="4"/>
      <c r="E213" s="3" t="s">
        <v>277</v>
      </c>
      <c r="F213" s="3"/>
      <c r="G213" s="3"/>
      <c r="H213" s="3"/>
      <c r="I213" s="3"/>
    </row>
    <row r="214" ht="15.75" customHeight="1">
      <c r="A214" s="3" t="s">
        <v>278</v>
      </c>
      <c r="B214" s="4" t="s">
        <v>279</v>
      </c>
      <c r="C214" s="4"/>
      <c r="D214" s="4"/>
      <c r="E214" s="3" t="s">
        <v>280</v>
      </c>
      <c r="F214" s="3"/>
      <c r="G214" s="3"/>
      <c r="H214" s="3"/>
      <c r="I214" s="3"/>
    </row>
    <row r="215" ht="15.75" customHeight="1">
      <c r="A215" s="3" t="s">
        <v>281</v>
      </c>
      <c r="B215" s="4" t="s">
        <v>282</v>
      </c>
      <c r="C215" s="4"/>
      <c r="D215" s="4"/>
      <c r="E215" s="1" t="s">
        <v>13</v>
      </c>
      <c r="F215" s="3"/>
      <c r="G215" s="3"/>
      <c r="H215" s="3"/>
      <c r="I215" s="3"/>
    </row>
    <row r="216" ht="15.75" customHeight="1">
      <c r="A216" s="3" t="s">
        <v>283</v>
      </c>
      <c r="B216" s="4" t="s">
        <v>284</v>
      </c>
      <c r="C216" s="4"/>
      <c r="D216" s="4"/>
      <c r="E216" s="3" t="s">
        <v>111</v>
      </c>
      <c r="F216" s="3"/>
      <c r="G216" s="3"/>
      <c r="H216" s="3"/>
      <c r="I216" s="3"/>
    </row>
    <row r="217" ht="15.75" customHeight="1">
      <c r="A217" s="3" t="s">
        <v>285</v>
      </c>
      <c r="B217" s="4" t="s">
        <v>284</v>
      </c>
      <c r="C217" s="4"/>
      <c r="D217" s="4"/>
      <c r="E217" s="1" t="s">
        <v>13</v>
      </c>
      <c r="F217" s="3"/>
      <c r="G217" s="3"/>
      <c r="H217" s="3"/>
      <c r="I217" s="3"/>
    </row>
    <row r="218" ht="15.75" customHeight="1">
      <c r="A218" s="3" t="s">
        <v>285</v>
      </c>
      <c r="B218" s="4" t="s">
        <v>284</v>
      </c>
      <c r="C218" s="4"/>
      <c r="D218" s="4"/>
      <c r="E218" s="1" t="s">
        <v>13</v>
      </c>
      <c r="F218" s="3"/>
      <c r="G218" s="3"/>
      <c r="H218" s="3"/>
      <c r="I218" s="3"/>
    </row>
    <row r="219" ht="15.75" customHeight="1">
      <c r="A219" s="3" t="s">
        <v>286</v>
      </c>
      <c r="B219" s="4" t="s">
        <v>284</v>
      </c>
      <c r="C219" s="4"/>
      <c r="D219" s="4"/>
      <c r="E219" s="3" t="s">
        <v>78</v>
      </c>
      <c r="F219" s="3"/>
      <c r="G219" s="3"/>
      <c r="H219" s="3"/>
      <c r="I219" s="3"/>
    </row>
    <row r="220" ht="15.75" customHeight="1">
      <c r="A220" s="3" t="s">
        <v>287</v>
      </c>
      <c r="B220" s="4" t="s">
        <v>284</v>
      </c>
      <c r="C220" s="4"/>
      <c r="D220" s="4"/>
      <c r="E220" s="3" t="s">
        <v>288</v>
      </c>
      <c r="F220" s="3"/>
      <c r="G220" s="3"/>
      <c r="H220" s="3"/>
      <c r="I220" s="3"/>
    </row>
    <row r="221" ht="15.75" customHeight="1">
      <c r="A221" s="3" t="s">
        <v>289</v>
      </c>
      <c r="B221" s="4" t="s">
        <v>284</v>
      </c>
      <c r="C221" s="4"/>
      <c r="D221" s="4"/>
      <c r="E221" s="1" t="s">
        <v>125</v>
      </c>
      <c r="F221" s="3"/>
      <c r="G221" s="3"/>
      <c r="H221" s="3"/>
      <c r="I221" s="3"/>
    </row>
    <row r="222" ht="15.75" customHeight="1">
      <c r="A222" s="3" t="s">
        <v>290</v>
      </c>
      <c r="B222" s="4" t="s">
        <v>284</v>
      </c>
      <c r="C222" s="4"/>
      <c r="D222" s="4"/>
      <c r="E222" s="3" t="s">
        <v>78</v>
      </c>
      <c r="F222" s="3"/>
      <c r="G222" s="3"/>
      <c r="H222" s="3"/>
      <c r="I222" s="3"/>
    </row>
    <row r="223" ht="15.75" customHeight="1">
      <c r="A223" s="3" t="s">
        <v>291</v>
      </c>
      <c r="B223" s="4" t="s">
        <v>284</v>
      </c>
      <c r="C223" s="4"/>
      <c r="D223" s="4"/>
      <c r="E223" s="3" t="s">
        <v>105</v>
      </c>
      <c r="F223" s="3"/>
      <c r="G223" s="3"/>
      <c r="H223" s="3"/>
      <c r="I223" s="3"/>
    </row>
    <row r="224" ht="15.75" customHeight="1">
      <c r="A224" s="3" t="s">
        <v>292</v>
      </c>
      <c r="B224" s="4" t="s">
        <v>284</v>
      </c>
      <c r="C224" s="4"/>
      <c r="D224" s="4"/>
      <c r="E224" s="3" t="s">
        <v>105</v>
      </c>
      <c r="F224" s="3"/>
      <c r="G224" s="3"/>
      <c r="H224" s="3"/>
      <c r="I224" s="3"/>
    </row>
    <row r="225" ht="15.75" customHeight="1">
      <c r="A225" s="3" t="s">
        <v>293</v>
      </c>
      <c r="B225" s="4" t="s">
        <v>284</v>
      </c>
      <c r="C225" s="4"/>
      <c r="D225" s="4"/>
      <c r="E225" s="3" t="s">
        <v>105</v>
      </c>
      <c r="F225" s="3"/>
      <c r="G225" s="3"/>
      <c r="H225" s="3"/>
      <c r="I225" s="3"/>
    </row>
    <row r="226" ht="15.75" customHeight="1">
      <c r="A226" s="3" t="s">
        <v>294</v>
      </c>
      <c r="B226" s="4" t="s">
        <v>284</v>
      </c>
      <c r="C226" s="4"/>
      <c r="D226" s="4"/>
      <c r="E226" s="3" t="s">
        <v>93</v>
      </c>
      <c r="F226" s="3"/>
      <c r="G226" s="3"/>
      <c r="H226" s="3"/>
      <c r="I226" s="3"/>
    </row>
    <row r="227" ht="15.75" customHeight="1">
      <c r="A227" s="3" t="s">
        <v>295</v>
      </c>
      <c r="B227" s="4" t="s">
        <v>284</v>
      </c>
      <c r="C227" s="4"/>
      <c r="D227" s="4"/>
      <c r="E227" s="3" t="s">
        <v>296</v>
      </c>
      <c r="F227" s="3"/>
      <c r="G227" s="3"/>
      <c r="H227" s="3"/>
      <c r="I227" s="3"/>
    </row>
    <row r="228" ht="15.75" customHeight="1">
      <c r="A228" s="3" t="s">
        <v>297</v>
      </c>
      <c r="B228" s="4" t="s">
        <v>284</v>
      </c>
      <c r="C228" s="4"/>
      <c r="D228" s="4"/>
      <c r="E228" s="3" t="s">
        <v>298</v>
      </c>
      <c r="F228" s="3"/>
      <c r="G228" s="3"/>
      <c r="H228" s="3"/>
      <c r="I228" s="3"/>
    </row>
    <row r="229" ht="15.75" customHeight="1">
      <c r="A229" s="3" t="s">
        <v>299</v>
      </c>
      <c r="B229" s="4" t="s">
        <v>284</v>
      </c>
      <c r="C229" s="4"/>
      <c r="D229" s="4"/>
      <c r="E229" s="3" t="s">
        <v>300</v>
      </c>
      <c r="F229" s="3"/>
      <c r="G229" s="3"/>
      <c r="H229" s="3"/>
      <c r="I229" s="3"/>
    </row>
    <row r="230" ht="15.75" customHeight="1">
      <c r="A230" s="3" t="s">
        <v>301</v>
      </c>
      <c r="B230" s="4" t="s">
        <v>284</v>
      </c>
      <c r="C230" s="4"/>
      <c r="D230" s="4"/>
      <c r="E230" s="3" t="s">
        <v>105</v>
      </c>
      <c r="F230" s="3"/>
      <c r="G230" s="3"/>
      <c r="H230" s="3"/>
      <c r="I230" s="3"/>
    </row>
    <row r="231" ht="15.75" customHeight="1">
      <c r="A231" s="3" t="s">
        <v>302</v>
      </c>
      <c r="B231" s="4" t="s">
        <v>284</v>
      </c>
      <c r="C231" s="4"/>
      <c r="D231" s="4"/>
      <c r="E231" s="3" t="s">
        <v>300</v>
      </c>
      <c r="F231" s="3"/>
      <c r="G231" s="3"/>
      <c r="H231" s="3"/>
      <c r="I231" s="3"/>
    </row>
    <row r="232" ht="15.75" customHeight="1">
      <c r="A232" s="3" t="s">
        <v>303</v>
      </c>
      <c r="B232" s="4" t="s">
        <v>284</v>
      </c>
      <c r="C232" s="4"/>
      <c r="D232" s="4"/>
      <c r="E232" s="3" t="s">
        <v>288</v>
      </c>
      <c r="F232" s="3"/>
      <c r="G232" s="3"/>
      <c r="H232" s="3"/>
      <c r="I232" s="3"/>
    </row>
    <row r="233" ht="15.75" customHeight="1">
      <c r="A233" s="3" t="s">
        <v>304</v>
      </c>
      <c r="B233" s="4" t="s">
        <v>284</v>
      </c>
      <c r="C233" s="4"/>
      <c r="D233" s="4"/>
      <c r="E233" s="3" t="s">
        <v>305</v>
      </c>
      <c r="F233" s="3"/>
      <c r="G233" s="3"/>
      <c r="H233" s="3"/>
      <c r="I233" s="3"/>
    </row>
    <row r="234" ht="15.75" customHeight="1">
      <c r="A234" s="3" t="s">
        <v>306</v>
      </c>
      <c r="B234" s="4" t="s">
        <v>284</v>
      </c>
      <c r="C234" s="4"/>
      <c r="D234" s="4"/>
      <c r="E234" s="3" t="s">
        <v>251</v>
      </c>
      <c r="F234" s="3"/>
      <c r="G234" s="3"/>
      <c r="H234" s="3"/>
      <c r="I234" s="3"/>
    </row>
    <row r="235" ht="15.75" customHeight="1">
      <c r="A235" s="3" t="s">
        <v>307</v>
      </c>
      <c r="B235" s="4" t="s">
        <v>284</v>
      </c>
      <c r="C235" s="4"/>
      <c r="D235" s="4"/>
      <c r="E235" s="3" t="s">
        <v>308</v>
      </c>
      <c r="F235" s="3"/>
      <c r="G235" s="3"/>
      <c r="H235" s="3"/>
      <c r="I235" s="3"/>
    </row>
    <row r="236" ht="15.75" customHeight="1">
      <c r="A236" s="3" t="s">
        <v>309</v>
      </c>
      <c r="B236" s="4" t="s">
        <v>284</v>
      </c>
      <c r="C236" s="4"/>
      <c r="D236" s="4"/>
      <c r="E236" s="3" t="s">
        <v>308</v>
      </c>
      <c r="F236" s="3"/>
      <c r="G236" s="3"/>
      <c r="H236" s="3"/>
      <c r="I236" s="3"/>
    </row>
    <row r="237" ht="15.75" customHeight="1">
      <c r="A237" s="3" t="s">
        <v>310</v>
      </c>
      <c r="B237" s="4" t="s">
        <v>284</v>
      </c>
      <c r="C237" s="4"/>
      <c r="D237" s="4"/>
      <c r="E237" s="3" t="s">
        <v>13</v>
      </c>
      <c r="F237" s="3"/>
      <c r="G237" s="3"/>
      <c r="H237" s="3"/>
      <c r="I237" s="3"/>
    </row>
    <row r="238" ht="15.75" customHeight="1">
      <c r="A238" s="3" t="s">
        <v>311</v>
      </c>
      <c r="B238" s="4" t="s">
        <v>284</v>
      </c>
      <c r="C238" s="4"/>
      <c r="D238" s="4"/>
      <c r="E238" s="1" t="s">
        <v>13</v>
      </c>
      <c r="F238" s="3"/>
      <c r="G238" s="3"/>
      <c r="H238" s="3"/>
      <c r="I238" s="3"/>
    </row>
    <row r="239" ht="15.75" customHeight="1">
      <c r="A239" s="3" t="s">
        <v>312</v>
      </c>
      <c r="B239" s="4" t="s">
        <v>284</v>
      </c>
      <c r="C239" s="4"/>
      <c r="D239" s="4"/>
      <c r="E239" s="3" t="s">
        <v>313</v>
      </c>
      <c r="F239" s="3"/>
      <c r="G239" s="3"/>
      <c r="H239" s="3"/>
      <c r="I239" s="3"/>
    </row>
    <row r="240" ht="15.75" customHeight="1">
      <c r="A240" s="3" t="s">
        <v>314</v>
      </c>
      <c r="B240" s="4" t="s">
        <v>284</v>
      </c>
      <c r="C240" s="4"/>
      <c r="D240" s="4"/>
      <c r="E240" s="3" t="s">
        <v>315</v>
      </c>
      <c r="F240" s="3"/>
      <c r="G240" s="3"/>
      <c r="H240" s="3"/>
      <c r="I240" s="3"/>
    </row>
    <row r="241" ht="15.75" customHeight="1">
      <c r="A241" s="3" t="s">
        <v>316</v>
      </c>
      <c r="B241" s="4" t="s">
        <v>284</v>
      </c>
      <c r="C241" s="4"/>
      <c r="D241" s="4"/>
      <c r="E241" s="3" t="s">
        <v>15</v>
      </c>
      <c r="F241" s="3"/>
      <c r="G241" s="3"/>
      <c r="H241" s="3"/>
      <c r="I241" s="3"/>
    </row>
    <row r="242" ht="15.75" customHeight="1">
      <c r="A242" s="3" t="s">
        <v>317</v>
      </c>
      <c r="B242" s="4" t="s">
        <v>284</v>
      </c>
      <c r="C242" s="4"/>
      <c r="D242" s="4"/>
      <c r="E242" s="3" t="s">
        <v>105</v>
      </c>
      <c r="F242" s="3"/>
      <c r="G242" s="3"/>
      <c r="H242" s="3"/>
      <c r="I242" s="3"/>
    </row>
    <row r="243" ht="15.75" customHeight="1">
      <c r="A243" s="3" t="s">
        <v>318</v>
      </c>
      <c r="B243" s="4" t="s">
        <v>284</v>
      </c>
      <c r="C243" s="4"/>
      <c r="D243" s="4"/>
      <c r="E243" s="3" t="s">
        <v>105</v>
      </c>
      <c r="F243" s="3"/>
      <c r="G243" s="3"/>
      <c r="H243" s="3"/>
      <c r="I243" s="3"/>
    </row>
    <row r="244" ht="15.75" customHeight="1">
      <c r="A244" s="3" t="s">
        <v>319</v>
      </c>
      <c r="B244" s="4" t="s">
        <v>284</v>
      </c>
      <c r="C244" s="4"/>
      <c r="D244" s="4"/>
      <c r="E244" s="3" t="s">
        <v>320</v>
      </c>
      <c r="F244" s="3"/>
      <c r="G244" s="3"/>
      <c r="H244" s="3"/>
      <c r="I244" s="3"/>
    </row>
    <row r="245" ht="15.75" customHeight="1">
      <c r="A245" s="3" t="s">
        <v>321</v>
      </c>
      <c r="B245" s="4" t="s">
        <v>284</v>
      </c>
      <c r="C245" s="4"/>
      <c r="D245" s="4"/>
      <c r="E245" s="3" t="s">
        <v>105</v>
      </c>
      <c r="F245" s="3"/>
      <c r="G245" s="3"/>
      <c r="H245" s="3"/>
      <c r="I245" s="3"/>
    </row>
    <row r="246" ht="15.75" customHeight="1">
      <c r="A246" s="3" t="s">
        <v>322</v>
      </c>
      <c r="B246" s="4" t="s">
        <v>284</v>
      </c>
      <c r="C246" s="4"/>
      <c r="D246" s="4"/>
      <c r="E246" s="3" t="s">
        <v>300</v>
      </c>
      <c r="F246" s="3"/>
      <c r="G246" s="3"/>
      <c r="H246" s="3"/>
      <c r="I246" s="3"/>
    </row>
    <row r="247" ht="15.75" customHeight="1">
      <c r="A247" s="3" t="s">
        <v>323</v>
      </c>
      <c r="B247" s="4" t="s">
        <v>284</v>
      </c>
      <c r="C247" s="4"/>
      <c r="D247" s="4"/>
      <c r="E247" s="3" t="s">
        <v>48</v>
      </c>
      <c r="F247" s="3"/>
      <c r="G247" s="3"/>
      <c r="H247" s="3"/>
      <c r="I247" s="3"/>
    </row>
    <row r="248" ht="15.75" customHeight="1">
      <c r="A248" s="3" t="s">
        <v>324</v>
      </c>
      <c r="B248" s="4" t="s">
        <v>284</v>
      </c>
      <c r="C248" s="4"/>
      <c r="D248" s="4"/>
      <c r="E248" s="3" t="s">
        <v>40</v>
      </c>
      <c r="F248" s="3"/>
      <c r="G248" s="3"/>
      <c r="H248" s="3"/>
      <c r="I248" s="3"/>
    </row>
    <row r="249" ht="15.75" customHeight="1">
      <c r="A249" s="3" t="s">
        <v>325</v>
      </c>
      <c r="B249" s="4" t="s">
        <v>284</v>
      </c>
      <c r="C249" s="4"/>
      <c r="D249" s="4"/>
      <c r="E249" s="1" t="s">
        <v>101</v>
      </c>
      <c r="F249" s="3"/>
      <c r="G249" s="3"/>
      <c r="H249" s="3"/>
      <c r="I249" s="3"/>
    </row>
    <row r="250" ht="15.75" customHeight="1">
      <c r="A250" s="3" t="s">
        <v>326</v>
      </c>
      <c r="B250" s="4" t="s">
        <v>284</v>
      </c>
      <c r="C250" s="4"/>
      <c r="D250" s="4"/>
      <c r="E250" s="1" t="s">
        <v>101</v>
      </c>
      <c r="F250" s="3"/>
      <c r="G250" s="3"/>
      <c r="H250" s="3"/>
      <c r="I250" s="3"/>
    </row>
    <row r="251" ht="15.75" customHeight="1">
      <c r="A251" s="3" t="s">
        <v>327</v>
      </c>
      <c r="B251" s="4" t="s">
        <v>284</v>
      </c>
      <c r="C251" s="4"/>
      <c r="D251" s="4"/>
      <c r="E251" s="1" t="s">
        <v>101</v>
      </c>
      <c r="F251" s="3"/>
      <c r="G251" s="3"/>
      <c r="H251" s="3"/>
      <c r="I251" s="3"/>
    </row>
    <row r="252" ht="15.75" customHeight="1">
      <c r="A252" s="1" t="s">
        <v>328</v>
      </c>
      <c r="B252" s="4" t="s">
        <v>284</v>
      </c>
      <c r="C252" s="4"/>
      <c r="D252" s="4"/>
      <c r="E252" s="3" t="s">
        <v>313</v>
      </c>
      <c r="F252" s="3"/>
      <c r="G252" s="3"/>
      <c r="H252" s="3"/>
      <c r="I252" s="3"/>
    </row>
    <row r="253" ht="15.75" customHeight="1">
      <c r="A253" s="3" t="s">
        <v>329</v>
      </c>
      <c r="B253" s="4" t="s">
        <v>284</v>
      </c>
      <c r="C253" s="4"/>
      <c r="D253" s="4"/>
      <c r="E253" s="3" t="s">
        <v>15</v>
      </c>
      <c r="F253" s="3"/>
      <c r="G253" s="3"/>
      <c r="H253" s="3"/>
      <c r="I253" s="3"/>
    </row>
    <row r="254" ht="15.75" customHeight="1">
      <c r="A254" s="3" t="s">
        <v>330</v>
      </c>
      <c r="B254" s="4" t="s">
        <v>284</v>
      </c>
      <c r="C254" s="4"/>
      <c r="D254" s="4"/>
      <c r="E254" s="3" t="s">
        <v>15</v>
      </c>
      <c r="F254" s="3"/>
      <c r="G254" s="3"/>
      <c r="H254" s="3"/>
      <c r="I254" s="3"/>
    </row>
    <row r="255" ht="15.75" customHeight="1">
      <c r="A255" s="3" t="s">
        <v>331</v>
      </c>
      <c r="B255" s="4" t="s">
        <v>284</v>
      </c>
      <c r="C255" s="4"/>
      <c r="D255" s="4"/>
      <c r="E255" s="3" t="s">
        <v>288</v>
      </c>
      <c r="F255" s="3"/>
      <c r="G255" s="3"/>
      <c r="H255" s="3"/>
      <c r="I255" s="3"/>
    </row>
    <row r="256" ht="15.75" customHeight="1">
      <c r="A256" s="1" t="s">
        <v>252</v>
      </c>
      <c r="B256" s="4" t="s">
        <v>284</v>
      </c>
      <c r="C256" s="4"/>
      <c r="D256" s="4"/>
      <c r="E256" s="3" t="s">
        <v>78</v>
      </c>
      <c r="F256" s="3"/>
      <c r="G256" s="3"/>
      <c r="H256" s="3"/>
      <c r="I256" s="3"/>
    </row>
    <row r="257" ht="15.75" customHeight="1">
      <c r="A257" s="1" t="s">
        <v>249</v>
      </c>
      <c r="B257" s="4" t="s">
        <v>284</v>
      </c>
      <c r="C257" s="4"/>
      <c r="D257" s="4"/>
      <c r="E257" s="3" t="s">
        <v>251</v>
      </c>
      <c r="F257" s="3"/>
      <c r="G257" s="3"/>
      <c r="H257" s="3"/>
      <c r="I257" s="3"/>
    </row>
    <row r="258" ht="15.75" customHeight="1">
      <c r="A258" s="3" t="s">
        <v>332</v>
      </c>
      <c r="B258" s="4" t="s">
        <v>284</v>
      </c>
      <c r="C258" s="4"/>
      <c r="D258" s="4"/>
      <c r="E258" s="3" t="s">
        <v>305</v>
      </c>
      <c r="F258" s="3"/>
      <c r="G258" s="3"/>
      <c r="H258" s="3"/>
      <c r="I258" s="3"/>
    </row>
    <row r="259" ht="15.75" customHeight="1">
      <c r="A259" s="3" t="s">
        <v>333</v>
      </c>
      <c r="B259" s="4" t="s">
        <v>284</v>
      </c>
      <c r="C259" s="4"/>
      <c r="D259" s="4"/>
      <c r="E259" s="3" t="s">
        <v>78</v>
      </c>
      <c r="F259" s="3"/>
      <c r="G259" s="3"/>
      <c r="H259" s="3"/>
      <c r="I259" s="3"/>
    </row>
    <row r="260" ht="15.75" customHeight="1">
      <c r="A260" s="3" t="s">
        <v>334</v>
      </c>
      <c r="B260" s="4" t="s">
        <v>284</v>
      </c>
      <c r="C260" s="4"/>
      <c r="D260" s="4"/>
      <c r="E260" s="1" t="s">
        <v>13</v>
      </c>
      <c r="F260" s="3"/>
      <c r="G260" s="3"/>
      <c r="H260" s="3"/>
      <c r="I260" s="3"/>
    </row>
    <row r="261" ht="15.75" customHeight="1">
      <c r="A261" s="3" t="s">
        <v>334</v>
      </c>
      <c r="B261" s="4" t="s">
        <v>284</v>
      </c>
      <c r="C261" s="4"/>
      <c r="D261" s="4"/>
      <c r="E261" s="1" t="s">
        <v>13</v>
      </c>
      <c r="F261" s="3"/>
      <c r="G261" s="3"/>
      <c r="H261" s="3"/>
      <c r="I261" s="3"/>
    </row>
    <row r="262" ht="15.75" customHeight="1">
      <c r="A262" s="3" t="s">
        <v>335</v>
      </c>
      <c r="B262" s="4" t="s">
        <v>284</v>
      </c>
      <c r="C262" s="4"/>
      <c r="D262" s="4"/>
      <c r="E262" s="1" t="s">
        <v>13</v>
      </c>
      <c r="F262" s="3"/>
      <c r="G262" s="3"/>
      <c r="H262" s="3"/>
      <c r="I262" s="3"/>
    </row>
    <row r="263" ht="15.75" customHeight="1">
      <c r="A263" s="3" t="s">
        <v>336</v>
      </c>
      <c r="B263" s="4" t="s">
        <v>284</v>
      </c>
      <c r="C263" s="4"/>
      <c r="D263" s="4"/>
      <c r="E263" s="1" t="s">
        <v>13</v>
      </c>
      <c r="F263" s="3"/>
      <c r="G263" s="3"/>
      <c r="H263" s="3"/>
      <c r="I263" s="3"/>
    </row>
    <row r="264" ht="15.75" customHeight="1">
      <c r="A264" s="3" t="s">
        <v>337</v>
      </c>
      <c r="B264" s="4" t="s">
        <v>284</v>
      </c>
      <c r="C264" s="4"/>
      <c r="D264" s="4"/>
      <c r="E264" s="1" t="s">
        <v>13</v>
      </c>
      <c r="F264" s="3"/>
      <c r="G264" s="3"/>
      <c r="H264" s="3"/>
      <c r="I264" s="3"/>
    </row>
    <row r="265" ht="15.75" customHeight="1">
      <c r="A265" s="3" t="s">
        <v>338</v>
      </c>
      <c r="B265" s="4" t="s">
        <v>284</v>
      </c>
      <c r="C265" s="4"/>
      <c r="D265" s="4"/>
      <c r="E265" s="1" t="s">
        <v>111</v>
      </c>
      <c r="F265" s="3"/>
      <c r="G265" s="3"/>
      <c r="H265" s="3"/>
      <c r="I265" s="3"/>
    </row>
    <row r="266" ht="15.75" customHeight="1">
      <c r="A266" s="3" t="s">
        <v>339</v>
      </c>
      <c r="B266" s="4" t="s">
        <v>284</v>
      </c>
      <c r="C266" s="4"/>
      <c r="D266" s="4"/>
      <c r="E266" s="1" t="s">
        <v>111</v>
      </c>
      <c r="F266" s="3"/>
      <c r="G266" s="3"/>
      <c r="H266" s="3"/>
      <c r="I266" s="3"/>
    </row>
    <row r="267" ht="15.75" customHeight="1">
      <c r="A267" s="3" t="s">
        <v>340</v>
      </c>
      <c r="B267" s="4" t="s">
        <v>284</v>
      </c>
      <c r="C267" s="4"/>
      <c r="D267" s="4"/>
      <c r="E267" s="3"/>
      <c r="F267" s="3"/>
      <c r="G267" s="3"/>
      <c r="H267" s="3"/>
      <c r="I267" s="3"/>
    </row>
    <row r="268" ht="15.75" customHeight="1">
      <c r="A268" s="3" t="s">
        <v>341</v>
      </c>
      <c r="B268" s="4" t="s">
        <v>282</v>
      </c>
      <c r="C268" s="4"/>
      <c r="D268" s="4"/>
      <c r="E268" s="1" t="s">
        <v>128</v>
      </c>
      <c r="F268" s="3"/>
      <c r="G268" s="3"/>
      <c r="H268" s="3"/>
      <c r="I268" s="3"/>
    </row>
    <row r="269" ht="15.75" customHeight="1">
      <c r="A269" s="3" t="s">
        <v>342</v>
      </c>
      <c r="B269" s="4" t="s">
        <v>282</v>
      </c>
      <c r="C269" s="4"/>
      <c r="D269" s="4"/>
      <c r="E269" s="3" t="s">
        <v>48</v>
      </c>
      <c r="F269" s="3"/>
      <c r="G269" s="3"/>
      <c r="H269" s="3"/>
      <c r="I269" s="3"/>
    </row>
    <row r="270" ht="15.75" customHeight="1">
      <c r="A270" s="1" t="s">
        <v>343</v>
      </c>
      <c r="B270" s="4" t="s">
        <v>282</v>
      </c>
      <c r="C270" s="4"/>
      <c r="D270" s="4"/>
      <c r="E270" s="1" t="s">
        <v>13</v>
      </c>
      <c r="F270" s="3"/>
      <c r="G270" s="3"/>
      <c r="H270" s="3"/>
      <c r="I270" s="3"/>
    </row>
    <row r="271" ht="15.75" customHeight="1">
      <c r="A271" s="1" t="s">
        <v>344</v>
      </c>
      <c r="B271" s="4" t="s">
        <v>282</v>
      </c>
      <c r="C271" s="4"/>
      <c r="D271" s="4"/>
      <c r="E271" s="3" t="s">
        <v>37</v>
      </c>
      <c r="F271" s="3"/>
      <c r="G271" s="3"/>
      <c r="H271" s="3"/>
      <c r="I271" s="3"/>
    </row>
    <row r="272" ht="15.75" customHeight="1">
      <c r="A272" s="3" t="s">
        <v>345</v>
      </c>
      <c r="B272" s="4" t="s">
        <v>282</v>
      </c>
      <c r="C272" s="4"/>
      <c r="D272" s="4"/>
      <c r="E272" s="1" t="s">
        <v>182</v>
      </c>
      <c r="F272" s="3"/>
      <c r="G272" s="3"/>
      <c r="H272" s="3"/>
      <c r="I272" s="3"/>
    </row>
    <row r="273" ht="15.75" customHeight="1">
      <c r="A273" s="3" t="s">
        <v>346</v>
      </c>
      <c r="B273" s="4" t="s">
        <v>282</v>
      </c>
      <c r="C273" s="4"/>
      <c r="D273" s="4"/>
      <c r="E273" s="3" t="s">
        <v>48</v>
      </c>
      <c r="F273" s="3"/>
      <c r="G273" s="3"/>
      <c r="H273" s="3"/>
      <c r="I273" s="3"/>
    </row>
    <row r="274" ht="15.75" customHeight="1">
      <c r="A274" s="3" t="s">
        <v>347</v>
      </c>
      <c r="B274" s="4" t="s">
        <v>348</v>
      </c>
      <c r="C274" s="4"/>
      <c r="D274" s="4"/>
      <c r="E274" s="1" t="s">
        <v>34</v>
      </c>
      <c r="F274" s="3"/>
      <c r="G274" s="3"/>
      <c r="H274" s="3"/>
      <c r="I274" s="3"/>
    </row>
    <row r="275" ht="15.75" customHeight="1">
      <c r="A275" s="3" t="s">
        <v>349</v>
      </c>
      <c r="B275" s="4" t="s">
        <v>348</v>
      </c>
      <c r="C275" s="4"/>
      <c r="D275" s="4"/>
      <c r="E275" s="1" t="s">
        <v>34</v>
      </c>
      <c r="F275" s="3"/>
      <c r="G275" s="3"/>
      <c r="H275" s="3"/>
      <c r="I275" s="3"/>
    </row>
    <row r="276" ht="15.75" customHeight="1">
      <c r="A276" s="3" t="s">
        <v>350</v>
      </c>
      <c r="B276" s="4" t="s">
        <v>351</v>
      </c>
      <c r="C276" s="4"/>
      <c r="D276" s="4"/>
      <c r="E276" s="3" t="s">
        <v>305</v>
      </c>
      <c r="F276" s="3"/>
      <c r="G276" s="3"/>
      <c r="H276" s="3"/>
      <c r="I276" s="3"/>
    </row>
    <row r="277" ht="15.75" customHeight="1">
      <c r="A277" s="3" t="s">
        <v>352</v>
      </c>
      <c r="B277" s="4" t="s">
        <v>353</v>
      </c>
      <c r="C277" s="4"/>
      <c r="D277" s="4"/>
      <c r="E277" s="1" t="s">
        <v>13</v>
      </c>
      <c r="F277" s="3"/>
      <c r="G277" s="3"/>
      <c r="H277" s="3"/>
      <c r="I277" s="3"/>
    </row>
    <row r="278" ht="15.75" customHeight="1">
      <c r="A278" s="3" t="s">
        <v>354</v>
      </c>
      <c r="B278" s="4" t="s">
        <v>355</v>
      </c>
      <c r="C278" s="4"/>
      <c r="D278" s="4"/>
      <c r="E278" s="3" t="s">
        <v>48</v>
      </c>
      <c r="F278" s="3"/>
      <c r="G278" s="3"/>
      <c r="H278" s="3"/>
      <c r="I278" s="3"/>
    </row>
    <row r="279" ht="15.75" customHeight="1">
      <c r="A279" s="3" t="s">
        <v>356</v>
      </c>
      <c r="B279" s="4" t="s">
        <v>355</v>
      </c>
      <c r="C279" s="4"/>
      <c r="D279" s="4"/>
      <c r="E279" s="3" t="s">
        <v>78</v>
      </c>
      <c r="F279" s="3"/>
      <c r="G279" s="3"/>
      <c r="H279" s="3"/>
      <c r="I279" s="3"/>
    </row>
    <row r="280" ht="15.75" customHeight="1">
      <c r="A280" s="1" t="s">
        <v>357</v>
      </c>
      <c r="B280" s="4" t="s">
        <v>355</v>
      </c>
      <c r="C280" s="4"/>
      <c r="D280" s="4"/>
      <c r="E280" s="3" t="s">
        <v>78</v>
      </c>
      <c r="F280" s="3"/>
      <c r="G280" s="3"/>
      <c r="H280" s="3"/>
      <c r="I280" s="3"/>
    </row>
    <row r="281" ht="15.75" customHeight="1">
      <c r="A281" s="1" t="s">
        <v>357</v>
      </c>
      <c r="B281" s="4" t="s">
        <v>355</v>
      </c>
      <c r="C281" s="4"/>
      <c r="D281" s="4"/>
      <c r="E281" s="3" t="s">
        <v>93</v>
      </c>
      <c r="F281" s="3"/>
      <c r="G281" s="3"/>
      <c r="H281" s="3"/>
      <c r="I281" s="3"/>
    </row>
    <row r="282" ht="15.75" customHeight="1">
      <c r="A282" s="3" t="s">
        <v>358</v>
      </c>
      <c r="B282" s="4" t="s">
        <v>355</v>
      </c>
      <c r="C282" s="4"/>
      <c r="D282" s="4"/>
      <c r="E282" s="1" t="s">
        <v>359</v>
      </c>
      <c r="F282" s="3"/>
      <c r="G282" s="3"/>
      <c r="H282" s="3"/>
      <c r="I282" s="3"/>
    </row>
    <row r="283" ht="15.75" customHeight="1">
      <c r="A283" s="3" t="s">
        <v>360</v>
      </c>
      <c r="B283" s="4" t="s">
        <v>355</v>
      </c>
      <c r="C283" s="4"/>
      <c r="D283" s="4"/>
      <c r="E283" s="3" t="s">
        <v>300</v>
      </c>
      <c r="F283" s="3"/>
      <c r="G283" s="3"/>
      <c r="H283" s="3"/>
      <c r="I283" s="3"/>
    </row>
    <row r="284" ht="15.75" customHeight="1">
      <c r="A284" s="3" t="s">
        <v>361</v>
      </c>
      <c r="B284" s="4" t="s">
        <v>355</v>
      </c>
      <c r="C284" s="4"/>
      <c r="D284" s="4"/>
      <c r="E284" s="3" t="s">
        <v>163</v>
      </c>
      <c r="F284" s="3"/>
      <c r="G284" s="3"/>
      <c r="H284" s="3"/>
      <c r="I284" s="3"/>
    </row>
    <row r="285" ht="15.75" customHeight="1">
      <c r="A285" s="3" t="s">
        <v>362</v>
      </c>
      <c r="B285" s="4" t="s">
        <v>355</v>
      </c>
      <c r="C285" s="4"/>
      <c r="D285" s="4"/>
      <c r="E285" s="3" t="s">
        <v>78</v>
      </c>
      <c r="F285" s="3"/>
      <c r="G285" s="3"/>
      <c r="H285" s="3"/>
      <c r="I285" s="3"/>
    </row>
    <row r="286" ht="15.75" customHeight="1">
      <c r="A286" s="1" t="s">
        <v>363</v>
      </c>
      <c r="B286" s="4" t="s">
        <v>364</v>
      </c>
      <c r="C286" s="4"/>
      <c r="D286" s="4"/>
      <c r="E286" s="3" t="s">
        <v>13</v>
      </c>
      <c r="F286" s="3"/>
      <c r="G286" s="3"/>
      <c r="H286" s="3"/>
      <c r="I286" s="3"/>
    </row>
    <row r="287" ht="15.75" customHeight="1">
      <c r="A287" s="3" t="s">
        <v>365</v>
      </c>
      <c r="B287" s="4" t="s">
        <v>364</v>
      </c>
      <c r="C287" s="4"/>
      <c r="D287" s="4"/>
      <c r="E287" s="3" t="s">
        <v>202</v>
      </c>
      <c r="F287" s="3"/>
      <c r="G287" s="3"/>
      <c r="H287" s="3"/>
      <c r="I287" s="3"/>
    </row>
    <row r="288" ht="15.75" customHeight="1">
      <c r="A288" s="3" t="s">
        <v>366</v>
      </c>
      <c r="B288" s="4" t="s">
        <v>367</v>
      </c>
      <c r="C288" s="4"/>
      <c r="D288" s="4"/>
      <c r="E288" s="3" t="s">
        <v>368</v>
      </c>
      <c r="F288" s="3"/>
      <c r="G288" s="3"/>
      <c r="H288" s="3"/>
      <c r="I288" s="3"/>
    </row>
    <row r="289" ht="15.75" customHeight="1">
      <c r="A289" s="3" t="s">
        <v>369</v>
      </c>
      <c r="B289" s="4" t="s">
        <v>367</v>
      </c>
      <c r="C289" s="4"/>
      <c r="D289" s="4"/>
      <c r="E289" s="3" t="s">
        <v>305</v>
      </c>
      <c r="F289" s="3"/>
      <c r="G289" s="3"/>
      <c r="H289" s="3"/>
      <c r="I289" s="3"/>
    </row>
    <row r="290" ht="15.75" customHeight="1">
      <c r="A290" s="3" t="s">
        <v>370</v>
      </c>
      <c r="B290" s="4" t="s">
        <v>367</v>
      </c>
      <c r="C290" s="4"/>
      <c r="D290" s="4"/>
      <c r="E290" s="1" t="s">
        <v>80</v>
      </c>
      <c r="F290" s="3"/>
      <c r="G290" s="3"/>
      <c r="H290" s="3"/>
      <c r="I290" s="3"/>
    </row>
    <row r="291" ht="15.75" customHeight="1">
      <c r="A291" s="3" t="s">
        <v>370</v>
      </c>
      <c r="B291" s="4" t="s">
        <v>367</v>
      </c>
      <c r="C291" s="4"/>
      <c r="D291" s="4"/>
      <c r="E291" s="1" t="s">
        <v>13</v>
      </c>
      <c r="F291" s="3"/>
      <c r="G291" s="3"/>
      <c r="H291" s="3"/>
      <c r="I291" s="3"/>
    </row>
    <row r="292" ht="15.75" customHeight="1">
      <c r="A292" s="3" t="s">
        <v>371</v>
      </c>
      <c r="B292" s="4" t="s">
        <v>367</v>
      </c>
      <c r="C292" s="4"/>
      <c r="D292" s="4"/>
      <c r="E292" s="1" t="s">
        <v>80</v>
      </c>
      <c r="F292" s="3"/>
      <c r="G292" s="3"/>
      <c r="H292" s="3"/>
      <c r="I292" s="3"/>
    </row>
    <row r="293" ht="15.75" customHeight="1">
      <c r="A293" s="3" t="s">
        <v>371</v>
      </c>
      <c r="B293" s="4" t="s">
        <v>367</v>
      </c>
      <c r="C293" s="4"/>
      <c r="D293" s="4"/>
      <c r="E293" s="1" t="s">
        <v>13</v>
      </c>
      <c r="F293" s="3"/>
      <c r="G293" s="3"/>
      <c r="H293" s="3"/>
      <c r="I293" s="3"/>
    </row>
    <row r="294" ht="15.75" customHeight="1">
      <c r="A294" s="3" t="s">
        <v>372</v>
      </c>
      <c r="B294" s="4" t="s">
        <v>367</v>
      </c>
      <c r="C294" s="4"/>
      <c r="D294" s="4"/>
      <c r="E294" s="1" t="s">
        <v>13</v>
      </c>
      <c r="F294" s="3"/>
      <c r="G294" s="3"/>
      <c r="H294" s="3"/>
      <c r="I294" s="3"/>
    </row>
    <row r="295" ht="15.75" customHeight="1">
      <c r="A295" s="3" t="s">
        <v>373</v>
      </c>
      <c r="B295" s="4" t="s">
        <v>367</v>
      </c>
      <c r="C295" s="4"/>
      <c r="D295" s="4"/>
      <c r="E295" s="1" t="s">
        <v>80</v>
      </c>
      <c r="F295" s="3"/>
      <c r="G295" s="3"/>
      <c r="H295" s="3"/>
      <c r="I295" s="3"/>
    </row>
    <row r="296" ht="15.75" customHeight="1">
      <c r="A296" s="3" t="s">
        <v>374</v>
      </c>
      <c r="B296" s="4" t="s">
        <v>367</v>
      </c>
      <c r="C296" s="4"/>
      <c r="D296" s="4"/>
      <c r="E296" s="1" t="s">
        <v>13</v>
      </c>
      <c r="F296" s="3"/>
      <c r="G296" s="3"/>
      <c r="H296" s="3"/>
      <c r="I296" s="3"/>
    </row>
    <row r="297" ht="15.75" customHeight="1">
      <c r="A297" s="3" t="s">
        <v>375</v>
      </c>
      <c r="B297" s="4" t="s">
        <v>367</v>
      </c>
      <c r="C297" s="4"/>
      <c r="D297" s="4"/>
      <c r="E297" s="1" t="s">
        <v>34</v>
      </c>
      <c r="F297" s="3"/>
      <c r="G297" s="3"/>
      <c r="H297" s="3"/>
      <c r="I297" s="3"/>
    </row>
    <row r="298" ht="15.75" customHeight="1">
      <c r="A298" s="3" t="s">
        <v>376</v>
      </c>
      <c r="B298" s="4" t="s">
        <v>367</v>
      </c>
      <c r="C298" s="4"/>
      <c r="D298" s="4"/>
      <c r="E298" s="3" t="s">
        <v>13</v>
      </c>
      <c r="F298" s="3"/>
      <c r="G298" s="3"/>
      <c r="H298" s="3"/>
      <c r="I298" s="3"/>
    </row>
    <row r="299" ht="15.75" customHeight="1">
      <c r="A299" s="3" t="s">
        <v>377</v>
      </c>
      <c r="B299" s="4" t="s">
        <v>367</v>
      </c>
      <c r="C299" s="4"/>
      <c r="D299" s="4"/>
      <c r="E299" s="1" t="s">
        <v>34</v>
      </c>
      <c r="F299" s="3"/>
      <c r="G299" s="3"/>
      <c r="H299" s="3"/>
      <c r="I299" s="3"/>
    </row>
    <row r="300" ht="15.75" customHeight="1">
      <c r="A300" s="3" t="s">
        <v>378</v>
      </c>
      <c r="B300" s="4" t="s">
        <v>367</v>
      </c>
      <c r="C300" s="4"/>
      <c r="D300" s="4"/>
      <c r="E300" s="1" t="s">
        <v>379</v>
      </c>
      <c r="F300" s="3"/>
      <c r="G300" s="3"/>
      <c r="H300" s="3"/>
      <c r="I300" s="3"/>
    </row>
    <row r="301" ht="15.75" customHeight="1">
      <c r="A301" s="3" t="s">
        <v>380</v>
      </c>
      <c r="B301" s="4" t="s">
        <v>367</v>
      </c>
      <c r="C301" s="4"/>
      <c r="D301" s="4"/>
      <c r="E301" s="1" t="s">
        <v>300</v>
      </c>
      <c r="F301" s="3"/>
      <c r="G301" s="3"/>
      <c r="H301" s="3"/>
      <c r="I301" s="3"/>
    </row>
    <row r="302" ht="15.75" customHeight="1">
      <c r="A302" s="3" t="s">
        <v>381</v>
      </c>
      <c r="B302" s="4" t="s">
        <v>367</v>
      </c>
      <c r="C302" s="4"/>
      <c r="D302" s="4"/>
      <c r="E302" s="1" t="s">
        <v>78</v>
      </c>
      <c r="F302" s="3"/>
      <c r="G302" s="3"/>
      <c r="H302" s="3"/>
      <c r="I302" s="3"/>
    </row>
    <row r="303" ht="15.75" customHeight="1">
      <c r="A303" s="3" t="s">
        <v>382</v>
      </c>
      <c r="B303" s="4" t="s">
        <v>367</v>
      </c>
      <c r="C303" s="4"/>
      <c r="D303" s="4"/>
      <c r="E303" s="1" t="s">
        <v>383</v>
      </c>
      <c r="F303" s="3"/>
      <c r="G303" s="3"/>
      <c r="H303" s="3"/>
      <c r="I303" s="3"/>
    </row>
    <row r="304" ht="15.75" customHeight="1">
      <c r="A304" s="3" t="s">
        <v>384</v>
      </c>
      <c r="B304" s="4" t="s">
        <v>367</v>
      </c>
      <c r="C304" s="4"/>
      <c r="D304" s="4"/>
      <c r="E304" s="1" t="s">
        <v>37</v>
      </c>
      <c r="F304" s="3"/>
      <c r="G304" s="3"/>
      <c r="H304" s="3"/>
      <c r="I304" s="3"/>
    </row>
    <row r="305" ht="15.75" customHeight="1">
      <c r="A305" s="3" t="s">
        <v>385</v>
      </c>
      <c r="B305" s="4" t="s">
        <v>367</v>
      </c>
      <c r="C305" s="4"/>
      <c r="D305" s="4"/>
      <c r="E305" s="1" t="s">
        <v>37</v>
      </c>
      <c r="F305" s="3"/>
      <c r="G305" s="3"/>
      <c r="H305" s="3"/>
      <c r="I305" s="3"/>
    </row>
    <row r="306" ht="15.75" customHeight="1">
      <c r="A306" s="1" t="s">
        <v>386</v>
      </c>
      <c r="B306" s="4" t="s">
        <v>367</v>
      </c>
      <c r="C306" s="4"/>
      <c r="D306" s="4"/>
      <c r="E306" s="1" t="s">
        <v>13</v>
      </c>
      <c r="F306" s="3"/>
      <c r="G306" s="3"/>
      <c r="H306" s="3"/>
      <c r="I306" s="3"/>
    </row>
    <row r="307" ht="15.75" customHeight="1">
      <c r="A307" s="3" t="s">
        <v>387</v>
      </c>
      <c r="B307" s="4" t="s">
        <v>367</v>
      </c>
      <c r="C307" s="4"/>
      <c r="D307" s="4"/>
      <c r="E307" s="1" t="s">
        <v>13</v>
      </c>
      <c r="F307" s="3"/>
      <c r="G307" s="3"/>
      <c r="H307" s="3"/>
      <c r="I307" s="3"/>
    </row>
    <row r="308" ht="15.75" customHeight="1">
      <c r="A308" s="3" t="s">
        <v>388</v>
      </c>
      <c r="B308" s="4" t="s">
        <v>367</v>
      </c>
      <c r="C308" s="4"/>
      <c r="D308" s="4"/>
      <c r="E308" s="1" t="s">
        <v>13</v>
      </c>
      <c r="F308" s="3"/>
      <c r="G308" s="3"/>
      <c r="H308" s="3"/>
      <c r="I308" s="3"/>
    </row>
    <row r="309" ht="15.75" customHeight="1">
      <c r="A309" s="3" t="s">
        <v>389</v>
      </c>
      <c r="B309" s="4" t="s">
        <v>367</v>
      </c>
      <c r="C309" s="4"/>
      <c r="D309" s="4"/>
      <c r="E309" s="1" t="s">
        <v>13</v>
      </c>
      <c r="F309" s="3"/>
      <c r="G309" s="3"/>
      <c r="H309" s="3"/>
      <c r="I309" s="3"/>
    </row>
    <row r="310" ht="15.75" customHeight="1">
      <c r="A310" s="3" t="s">
        <v>390</v>
      </c>
      <c r="B310" s="4" t="s">
        <v>367</v>
      </c>
      <c r="C310" s="4"/>
      <c r="D310" s="4"/>
      <c r="E310" s="3" t="s">
        <v>391</v>
      </c>
      <c r="F310" s="3"/>
      <c r="G310" s="3"/>
      <c r="H310" s="3"/>
      <c r="I310" s="3"/>
    </row>
    <row r="311" ht="15.75" customHeight="1">
      <c r="A311" s="3" t="s">
        <v>392</v>
      </c>
      <c r="B311" s="4" t="s">
        <v>367</v>
      </c>
      <c r="C311" s="4"/>
      <c r="D311" s="4"/>
      <c r="E311" s="1" t="s">
        <v>13</v>
      </c>
      <c r="F311" s="3"/>
      <c r="G311" s="3"/>
      <c r="H311" s="3"/>
      <c r="I311" s="3"/>
    </row>
    <row r="312" ht="15.75" customHeight="1">
      <c r="A312" s="1" t="s">
        <v>393</v>
      </c>
      <c r="B312" s="4" t="s">
        <v>367</v>
      </c>
      <c r="C312" s="4"/>
      <c r="D312" s="4"/>
      <c r="E312" s="1" t="s">
        <v>34</v>
      </c>
      <c r="F312" s="3"/>
      <c r="G312" s="3"/>
      <c r="H312" s="3"/>
      <c r="I312" s="3"/>
    </row>
    <row r="313" ht="15.75" customHeight="1">
      <c r="A313" s="1" t="s">
        <v>394</v>
      </c>
      <c r="B313" s="4" t="s">
        <v>367</v>
      </c>
      <c r="C313" s="4"/>
      <c r="D313" s="4"/>
      <c r="E313" s="1" t="s">
        <v>34</v>
      </c>
      <c r="F313" s="3"/>
      <c r="G313" s="3"/>
      <c r="H313" s="3"/>
      <c r="I313" s="3"/>
    </row>
    <row r="314" ht="15.75" customHeight="1">
      <c r="A314" s="3" t="s">
        <v>395</v>
      </c>
      <c r="B314" s="4" t="s">
        <v>367</v>
      </c>
      <c r="C314" s="4"/>
      <c r="D314" s="4"/>
      <c r="E314" s="3" t="s">
        <v>37</v>
      </c>
      <c r="F314" s="3"/>
      <c r="G314" s="3"/>
      <c r="H314" s="3"/>
      <c r="I314" s="3"/>
    </row>
    <row r="315" ht="15.75" customHeight="1">
      <c r="A315" s="3" t="s">
        <v>396</v>
      </c>
      <c r="B315" s="4" t="s">
        <v>367</v>
      </c>
      <c r="C315" s="4"/>
      <c r="D315" s="4"/>
      <c r="E315" s="3" t="s">
        <v>37</v>
      </c>
      <c r="F315" s="3"/>
      <c r="G315" s="3"/>
      <c r="H315" s="3"/>
      <c r="I315" s="3"/>
    </row>
    <row r="316" ht="15.75" customHeight="1">
      <c r="A316" s="3" t="s">
        <v>397</v>
      </c>
      <c r="B316" s="4" t="s">
        <v>367</v>
      </c>
      <c r="C316" s="4"/>
      <c r="D316" s="4"/>
      <c r="E316" s="3" t="s">
        <v>78</v>
      </c>
      <c r="F316" s="3"/>
      <c r="G316" s="3"/>
      <c r="H316" s="3"/>
      <c r="I316" s="3"/>
    </row>
    <row r="317" ht="15.75" customHeight="1">
      <c r="A317" s="3" t="s">
        <v>398</v>
      </c>
      <c r="B317" s="4" t="s">
        <v>367</v>
      </c>
      <c r="C317" s="4"/>
      <c r="D317" s="4"/>
      <c r="E317" s="1" t="s">
        <v>34</v>
      </c>
      <c r="F317" s="3"/>
      <c r="G317" s="3"/>
      <c r="H317" s="3"/>
      <c r="I317" s="3"/>
    </row>
    <row r="318" ht="15.75" customHeight="1">
      <c r="A318" s="3" t="s">
        <v>399</v>
      </c>
      <c r="B318" s="4" t="s">
        <v>367</v>
      </c>
      <c r="C318" s="4"/>
      <c r="D318" s="4"/>
      <c r="E318" s="1" t="s">
        <v>192</v>
      </c>
      <c r="F318" s="3"/>
      <c r="G318" s="3"/>
      <c r="H318" s="3"/>
      <c r="I318" s="3"/>
    </row>
    <row r="319" ht="15.75" customHeight="1">
      <c r="A319" s="3" t="s">
        <v>400</v>
      </c>
      <c r="B319" s="4" t="s">
        <v>367</v>
      </c>
      <c r="C319" s="4"/>
      <c r="D319" s="4"/>
      <c r="E319" s="1" t="s">
        <v>192</v>
      </c>
      <c r="F319" s="3"/>
      <c r="G319" s="3"/>
      <c r="H319" s="3"/>
      <c r="I319" s="3"/>
    </row>
    <row r="320" ht="15.75" customHeight="1">
      <c r="A320" s="3" t="s">
        <v>401</v>
      </c>
      <c r="B320" s="4" t="s">
        <v>367</v>
      </c>
      <c r="C320" s="4"/>
      <c r="D320" s="4"/>
      <c r="E320" s="1" t="s">
        <v>13</v>
      </c>
      <c r="F320" s="3"/>
      <c r="G320" s="3"/>
      <c r="H320" s="3"/>
      <c r="I320" s="3"/>
    </row>
    <row r="321" ht="15.75" customHeight="1">
      <c r="A321" s="3" t="s">
        <v>402</v>
      </c>
      <c r="B321" s="4" t="s">
        <v>367</v>
      </c>
      <c r="C321" s="4"/>
      <c r="D321" s="4"/>
      <c r="E321" s="1" t="s">
        <v>13</v>
      </c>
      <c r="F321" s="3"/>
      <c r="G321" s="3"/>
      <c r="H321" s="3"/>
      <c r="I321" s="3"/>
    </row>
    <row r="322" ht="15.75" customHeight="1">
      <c r="A322" s="3" t="s">
        <v>403</v>
      </c>
      <c r="B322" s="4" t="s">
        <v>367</v>
      </c>
      <c r="C322" s="4"/>
      <c r="D322" s="4"/>
      <c r="E322" s="3" t="s">
        <v>37</v>
      </c>
      <c r="F322" s="3"/>
      <c r="G322" s="3"/>
      <c r="H322" s="3"/>
      <c r="I322" s="3"/>
    </row>
    <row r="323" ht="15.75" customHeight="1">
      <c r="A323" s="3" t="s">
        <v>404</v>
      </c>
      <c r="B323" s="4" t="s">
        <v>367</v>
      </c>
      <c r="C323" s="4"/>
      <c r="D323" s="4"/>
      <c r="E323" s="3" t="s">
        <v>37</v>
      </c>
      <c r="F323" s="3"/>
      <c r="G323" s="3"/>
      <c r="H323" s="3"/>
      <c r="I323" s="3"/>
    </row>
    <row r="324" ht="15.75" customHeight="1">
      <c r="A324" s="3" t="s">
        <v>405</v>
      </c>
      <c r="B324" s="4" t="s">
        <v>367</v>
      </c>
      <c r="C324" s="4"/>
      <c r="D324" s="4"/>
      <c r="E324" s="3" t="s">
        <v>37</v>
      </c>
      <c r="F324" s="3"/>
      <c r="G324" s="3"/>
      <c r="H324" s="3"/>
      <c r="I324" s="3"/>
    </row>
    <row r="325" ht="15.75" customHeight="1">
      <c r="A325" s="3" t="s">
        <v>406</v>
      </c>
      <c r="B325" s="4" t="s">
        <v>367</v>
      </c>
      <c r="C325" s="4"/>
      <c r="D325" s="4"/>
      <c r="E325" s="1" t="s">
        <v>13</v>
      </c>
      <c r="F325" s="3"/>
      <c r="G325" s="3"/>
      <c r="H325" s="3"/>
      <c r="I325" s="3"/>
    </row>
    <row r="326" ht="15.75" customHeight="1">
      <c r="A326" s="3" t="s">
        <v>407</v>
      </c>
      <c r="B326" s="4" t="s">
        <v>367</v>
      </c>
      <c r="C326" s="4"/>
      <c r="D326" s="4"/>
      <c r="E326" s="3" t="s">
        <v>78</v>
      </c>
      <c r="F326" s="3"/>
      <c r="G326" s="3"/>
      <c r="H326" s="3"/>
      <c r="I326" s="3"/>
    </row>
    <row r="327" ht="15.75" customHeight="1">
      <c r="A327" s="3" t="s">
        <v>408</v>
      </c>
      <c r="B327" s="4" t="s">
        <v>367</v>
      </c>
      <c r="C327" s="4"/>
      <c r="D327" s="4"/>
      <c r="E327" s="1" t="s">
        <v>34</v>
      </c>
      <c r="F327" s="3"/>
      <c r="G327" s="3"/>
      <c r="H327" s="3"/>
      <c r="I327" s="3"/>
    </row>
    <row r="328" ht="15.75" customHeight="1">
      <c r="A328" s="3" t="s">
        <v>409</v>
      </c>
      <c r="B328" s="4" t="s">
        <v>367</v>
      </c>
      <c r="C328" s="4"/>
      <c r="D328" s="4"/>
      <c r="E328" s="1" t="s">
        <v>34</v>
      </c>
      <c r="F328" s="3"/>
      <c r="G328" s="3"/>
      <c r="H328" s="3"/>
      <c r="I328" s="3"/>
    </row>
    <row r="329" ht="15.75" customHeight="1">
      <c r="A329" s="3" t="s">
        <v>410</v>
      </c>
      <c r="B329" s="4" t="s">
        <v>367</v>
      </c>
      <c r="C329" s="4"/>
      <c r="D329" s="4"/>
      <c r="E329" s="1" t="s">
        <v>34</v>
      </c>
      <c r="F329" s="3"/>
      <c r="G329" s="3"/>
      <c r="H329" s="3"/>
      <c r="I329" s="3"/>
    </row>
    <row r="330" ht="15.75" customHeight="1">
      <c r="A330" s="3" t="s">
        <v>411</v>
      </c>
      <c r="B330" s="4" t="s">
        <v>367</v>
      </c>
      <c r="C330" s="4"/>
      <c r="D330" s="4"/>
      <c r="E330" s="1" t="s">
        <v>192</v>
      </c>
      <c r="F330" s="3"/>
      <c r="G330" s="3"/>
      <c r="H330" s="3"/>
      <c r="I330" s="3"/>
    </row>
    <row r="331" ht="15.75" customHeight="1">
      <c r="A331" s="3" t="s">
        <v>412</v>
      </c>
      <c r="B331" s="4" t="s">
        <v>367</v>
      </c>
      <c r="C331" s="4"/>
      <c r="D331" s="4"/>
      <c r="E331" s="1" t="s">
        <v>192</v>
      </c>
      <c r="F331" s="3"/>
      <c r="G331" s="3"/>
      <c r="H331" s="3"/>
      <c r="I331" s="3"/>
    </row>
    <row r="332" ht="15.75" customHeight="1">
      <c r="A332" s="3" t="s">
        <v>413</v>
      </c>
      <c r="B332" s="4" t="s">
        <v>367</v>
      </c>
      <c r="C332" s="4"/>
      <c r="D332" s="4"/>
      <c r="E332" s="1" t="s">
        <v>192</v>
      </c>
      <c r="F332" s="3"/>
      <c r="G332" s="3"/>
      <c r="H332" s="3"/>
      <c r="I332" s="3"/>
    </row>
    <row r="333" ht="15.75" customHeight="1">
      <c r="A333" s="3" t="s">
        <v>414</v>
      </c>
      <c r="B333" s="4" t="s">
        <v>367</v>
      </c>
      <c r="C333" s="4"/>
      <c r="D333" s="4"/>
      <c r="E333" s="1" t="s">
        <v>34</v>
      </c>
      <c r="F333" s="3"/>
      <c r="G333" s="3"/>
      <c r="H333" s="3"/>
      <c r="I333" s="3"/>
    </row>
    <row r="334" ht="15.75" customHeight="1">
      <c r="A334" s="3" t="s">
        <v>415</v>
      </c>
      <c r="B334" s="4" t="s">
        <v>367</v>
      </c>
      <c r="C334" s="4"/>
      <c r="D334" s="4"/>
      <c r="E334" s="1" t="s">
        <v>34</v>
      </c>
      <c r="F334" s="3"/>
      <c r="G334" s="3"/>
      <c r="H334" s="3"/>
      <c r="I334" s="3"/>
    </row>
    <row r="335" ht="15.75" customHeight="1">
      <c r="A335" s="3" t="s">
        <v>416</v>
      </c>
      <c r="B335" s="4" t="s">
        <v>367</v>
      </c>
      <c r="C335" s="4"/>
      <c r="D335" s="4"/>
      <c r="E335" s="1" t="s">
        <v>34</v>
      </c>
      <c r="F335" s="3"/>
      <c r="G335" s="3"/>
      <c r="H335" s="3"/>
      <c r="I335" s="3"/>
    </row>
    <row r="336" ht="15.75" customHeight="1">
      <c r="A336" s="3" t="s">
        <v>417</v>
      </c>
      <c r="B336" s="4" t="s">
        <v>418</v>
      </c>
      <c r="C336" s="4"/>
      <c r="D336" s="4"/>
      <c r="E336" s="3" t="s">
        <v>13</v>
      </c>
      <c r="F336" s="3"/>
      <c r="G336" s="3"/>
      <c r="H336" s="3"/>
      <c r="I336" s="3"/>
    </row>
    <row r="337" ht="15.75" customHeight="1">
      <c r="A337" s="3" t="s">
        <v>419</v>
      </c>
      <c r="B337" s="4" t="s">
        <v>418</v>
      </c>
      <c r="C337" s="4"/>
      <c r="D337" s="4"/>
      <c r="E337" s="3" t="s">
        <v>48</v>
      </c>
      <c r="F337" s="3"/>
      <c r="G337" s="3"/>
      <c r="H337" s="3"/>
      <c r="I337" s="3"/>
    </row>
    <row r="338" ht="15.75" customHeight="1">
      <c r="A338" s="1" t="s">
        <v>420</v>
      </c>
      <c r="B338" s="4" t="s">
        <v>418</v>
      </c>
      <c r="C338" s="4"/>
      <c r="D338" s="4"/>
      <c r="E338" s="3" t="s">
        <v>182</v>
      </c>
      <c r="F338" s="3"/>
      <c r="G338" s="3"/>
      <c r="H338" s="3"/>
      <c r="I338" s="3"/>
    </row>
    <row r="339" ht="15.75" customHeight="1">
      <c r="A339" s="1" t="s">
        <v>421</v>
      </c>
      <c r="B339" s="4" t="s">
        <v>418</v>
      </c>
      <c r="C339" s="4"/>
      <c r="D339" s="4"/>
      <c r="E339" s="1" t="s">
        <v>13</v>
      </c>
      <c r="F339" s="3"/>
      <c r="G339" s="3"/>
      <c r="H339" s="3"/>
      <c r="I339" s="3"/>
    </row>
    <row r="340" ht="15.75" customHeight="1">
      <c r="A340" s="1" t="s">
        <v>422</v>
      </c>
      <c r="B340" s="4" t="s">
        <v>418</v>
      </c>
      <c r="C340" s="4"/>
      <c r="D340" s="4"/>
      <c r="E340" s="3" t="s">
        <v>13</v>
      </c>
      <c r="F340" s="3"/>
      <c r="G340" s="3"/>
      <c r="H340" s="3"/>
      <c r="I340" s="3"/>
    </row>
    <row r="341" ht="15.75" customHeight="1">
      <c r="A341" s="1" t="s">
        <v>423</v>
      </c>
      <c r="B341" s="4" t="s">
        <v>424</v>
      </c>
      <c r="C341" s="4"/>
      <c r="D341" s="4"/>
      <c r="E341" s="1" t="s">
        <v>13</v>
      </c>
      <c r="F341" s="3"/>
      <c r="G341" s="3"/>
      <c r="H341" s="3"/>
      <c r="I341" s="3"/>
    </row>
    <row r="342" ht="15.75" customHeight="1">
      <c r="A342" s="3" t="s">
        <v>425</v>
      </c>
      <c r="B342" s="4" t="s">
        <v>424</v>
      </c>
      <c r="C342" s="4"/>
      <c r="D342" s="4"/>
      <c r="E342" s="3" t="s">
        <v>288</v>
      </c>
      <c r="F342" s="3"/>
      <c r="G342" s="3"/>
      <c r="H342" s="3"/>
      <c r="I342" s="3"/>
    </row>
    <row r="343" ht="15.75" customHeight="1">
      <c r="A343" s="3" t="s">
        <v>426</v>
      </c>
      <c r="B343" s="4" t="s">
        <v>424</v>
      </c>
      <c r="C343" s="4"/>
      <c r="D343" s="4"/>
      <c r="E343" s="1" t="s">
        <v>13</v>
      </c>
      <c r="F343" s="3"/>
      <c r="G343" s="3"/>
      <c r="H343" s="3"/>
      <c r="I343" s="3"/>
    </row>
    <row r="344" ht="15.75" customHeight="1">
      <c r="A344" s="3" t="s">
        <v>427</v>
      </c>
      <c r="B344" s="4" t="s">
        <v>424</v>
      </c>
      <c r="C344" s="4"/>
      <c r="D344" s="4"/>
      <c r="E344" s="1" t="s">
        <v>13</v>
      </c>
      <c r="F344" s="3"/>
      <c r="G344" s="3"/>
      <c r="H344" s="3"/>
      <c r="I344" s="3"/>
    </row>
    <row r="345" ht="15.75" customHeight="1">
      <c r="A345" s="3" t="s">
        <v>428</v>
      </c>
      <c r="B345" s="4" t="s">
        <v>424</v>
      </c>
      <c r="C345" s="4"/>
      <c r="D345" s="4"/>
      <c r="E345" s="1" t="s">
        <v>13</v>
      </c>
      <c r="F345" s="3"/>
      <c r="G345" s="3"/>
      <c r="H345" s="3"/>
      <c r="I345" s="3"/>
    </row>
    <row r="346" ht="15.75" customHeight="1">
      <c r="A346" s="3" t="s">
        <v>429</v>
      </c>
      <c r="B346" s="4" t="s">
        <v>424</v>
      </c>
      <c r="C346" s="4"/>
      <c r="D346" s="4"/>
      <c r="E346" s="3" t="s">
        <v>37</v>
      </c>
      <c r="F346" s="3"/>
      <c r="G346" s="3"/>
      <c r="H346" s="3"/>
      <c r="I346" s="3"/>
    </row>
    <row r="347" ht="15.75" customHeight="1">
      <c r="A347" s="3" t="s">
        <v>430</v>
      </c>
      <c r="B347" s="4" t="s">
        <v>424</v>
      </c>
      <c r="C347" s="4"/>
      <c r="D347" s="4"/>
      <c r="E347" s="1" t="s">
        <v>34</v>
      </c>
      <c r="F347" s="3"/>
      <c r="G347" s="3"/>
      <c r="H347" s="3"/>
      <c r="I347" s="3"/>
    </row>
    <row r="348" ht="15.75" customHeight="1">
      <c r="A348" s="3" t="s">
        <v>431</v>
      </c>
      <c r="B348" s="4" t="s">
        <v>424</v>
      </c>
      <c r="C348" s="4"/>
      <c r="D348" s="4"/>
      <c r="E348" s="1" t="s">
        <v>13</v>
      </c>
      <c r="F348" s="3"/>
      <c r="G348" s="3"/>
      <c r="H348" s="3"/>
      <c r="I348" s="3"/>
    </row>
    <row r="349" ht="15.75" customHeight="1">
      <c r="A349" s="3" t="s">
        <v>432</v>
      </c>
      <c r="B349" s="4" t="s">
        <v>424</v>
      </c>
      <c r="C349" s="4"/>
      <c r="D349" s="4"/>
      <c r="E349" s="1" t="s">
        <v>13</v>
      </c>
      <c r="F349" s="3"/>
      <c r="G349" s="3"/>
      <c r="H349" s="3"/>
      <c r="I349" s="3"/>
    </row>
    <row r="350" ht="15.75" customHeight="1">
      <c r="A350" s="3" t="s">
        <v>433</v>
      </c>
      <c r="B350" s="4" t="s">
        <v>424</v>
      </c>
      <c r="C350" s="4"/>
      <c r="D350" s="4"/>
      <c r="E350" s="1" t="s">
        <v>13</v>
      </c>
      <c r="F350" s="3"/>
      <c r="G350" s="3"/>
      <c r="H350" s="3"/>
      <c r="I350" s="3"/>
    </row>
    <row r="351" ht="15.75" customHeight="1">
      <c r="A351" s="3" t="s">
        <v>434</v>
      </c>
      <c r="B351" s="4" t="s">
        <v>424</v>
      </c>
      <c r="C351" s="4"/>
      <c r="D351" s="4"/>
      <c r="E351" s="1" t="s">
        <v>13</v>
      </c>
      <c r="F351" s="3"/>
      <c r="G351" s="3"/>
      <c r="H351" s="3"/>
      <c r="I351" s="3"/>
    </row>
    <row r="352" ht="15.75" customHeight="1">
      <c r="A352" s="3" t="s">
        <v>435</v>
      </c>
      <c r="B352" s="4" t="s">
        <v>424</v>
      </c>
      <c r="C352" s="4"/>
      <c r="D352" s="4"/>
      <c r="E352" s="1" t="s">
        <v>13</v>
      </c>
      <c r="F352" s="3"/>
      <c r="G352" s="3"/>
      <c r="H352" s="3"/>
      <c r="I352" s="3"/>
    </row>
    <row r="353" ht="15.75" customHeight="1">
      <c r="A353" s="3" t="s">
        <v>436</v>
      </c>
      <c r="B353" s="4" t="s">
        <v>424</v>
      </c>
      <c r="C353" s="4"/>
      <c r="D353" s="4"/>
      <c r="E353" s="1" t="s">
        <v>13</v>
      </c>
      <c r="F353" s="3"/>
      <c r="G353" s="3"/>
      <c r="H353" s="3"/>
      <c r="I353" s="3"/>
    </row>
    <row r="354" ht="15.75" customHeight="1">
      <c r="A354" s="1" t="s">
        <v>437</v>
      </c>
      <c r="B354" s="4" t="s">
        <v>424</v>
      </c>
      <c r="C354" s="4"/>
      <c r="D354" s="4"/>
      <c r="E354" s="1" t="s">
        <v>13</v>
      </c>
      <c r="F354" s="3"/>
      <c r="G354" s="3"/>
      <c r="H354" s="3"/>
      <c r="I354" s="3"/>
    </row>
    <row r="355" ht="15.75" customHeight="1">
      <c r="A355" s="3" t="s">
        <v>438</v>
      </c>
      <c r="B355" s="4" t="s">
        <v>424</v>
      </c>
      <c r="C355" s="4"/>
      <c r="D355" s="4"/>
      <c r="E355" s="1" t="s">
        <v>13</v>
      </c>
      <c r="F355" s="3"/>
      <c r="G355" s="3"/>
      <c r="H355" s="3"/>
      <c r="I355" s="3"/>
    </row>
    <row r="356" ht="15.75" customHeight="1">
      <c r="A356" s="1" t="s">
        <v>439</v>
      </c>
      <c r="B356" s="4" t="s">
        <v>424</v>
      </c>
      <c r="C356" s="4"/>
      <c r="D356" s="4"/>
      <c r="E356" s="1" t="s">
        <v>13</v>
      </c>
      <c r="F356" s="3"/>
      <c r="G356" s="3"/>
      <c r="H356" s="3"/>
      <c r="I356" s="3"/>
    </row>
    <row r="357" ht="15.75" customHeight="1">
      <c r="A357" s="3" t="s">
        <v>440</v>
      </c>
      <c r="B357" s="4" t="s">
        <v>424</v>
      </c>
      <c r="C357" s="4"/>
      <c r="D357" s="4"/>
      <c r="E357" s="1" t="s">
        <v>13</v>
      </c>
      <c r="F357" s="3"/>
      <c r="G357" s="3"/>
      <c r="H357" s="3"/>
      <c r="I357" s="3"/>
    </row>
    <row r="358" ht="15.75" customHeight="1">
      <c r="A358" s="3" t="s">
        <v>441</v>
      </c>
      <c r="B358" s="4" t="s">
        <v>424</v>
      </c>
      <c r="C358" s="4"/>
      <c r="D358" s="4"/>
      <c r="E358" s="1" t="s">
        <v>13</v>
      </c>
      <c r="F358" s="3"/>
      <c r="G358" s="3"/>
      <c r="H358" s="3"/>
      <c r="I358" s="3"/>
    </row>
    <row r="359" ht="15.75" customHeight="1">
      <c r="A359" s="3" t="s">
        <v>442</v>
      </c>
      <c r="B359" s="4" t="s">
        <v>424</v>
      </c>
      <c r="C359" s="4"/>
      <c r="D359" s="4"/>
      <c r="E359" s="1" t="s">
        <v>13</v>
      </c>
      <c r="F359" s="3"/>
      <c r="G359" s="3"/>
      <c r="H359" s="3"/>
      <c r="I359" s="3"/>
    </row>
    <row r="360" ht="15.75" customHeight="1">
      <c r="A360" s="3" t="s">
        <v>443</v>
      </c>
      <c r="B360" s="4" t="s">
        <v>424</v>
      </c>
      <c r="C360" s="4"/>
      <c r="D360" s="4"/>
      <c r="E360" s="1" t="s">
        <v>444</v>
      </c>
      <c r="F360" s="3"/>
      <c r="G360" s="3"/>
      <c r="H360" s="3"/>
      <c r="I360" s="3"/>
    </row>
    <row r="361" ht="15.75" customHeight="1">
      <c r="A361" s="3" t="s">
        <v>445</v>
      </c>
      <c r="B361" s="4" t="s">
        <v>424</v>
      </c>
      <c r="C361" s="4"/>
      <c r="D361" s="4"/>
      <c r="E361" s="1" t="s">
        <v>444</v>
      </c>
      <c r="F361" s="3"/>
      <c r="G361" s="3"/>
      <c r="H361" s="3"/>
      <c r="I361" s="3"/>
    </row>
    <row r="362" ht="15.75" customHeight="1">
      <c r="A362" s="3" t="s">
        <v>446</v>
      </c>
      <c r="B362" s="4" t="s">
        <v>424</v>
      </c>
      <c r="C362" s="4"/>
      <c r="D362" s="4"/>
      <c r="E362" s="1" t="s">
        <v>13</v>
      </c>
      <c r="F362" s="3"/>
      <c r="G362" s="3"/>
      <c r="H362" s="3"/>
      <c r="I362" s="3"/>
    </row>
    <row r="363" ht="15.75" customHeight="1">
      <c r="A363" s="3" t="s">
        <v>447</v>
      </c>
      <c r="B363" s="4" t="s">
        <v>424</v>
      </c>
      <c r="C363" s="4"/>
      <c r="D363" s="4"/>
      <c r="E363" s="1" t="s">
        <v>13</v>
      </c>
      <c r="F363" s="3"/>
      <c r="G363" s="3"/>
      <c r="H363" s="3"/>
      <c r="I363" s="3"/>
    </row>
    <row r="364" ht="15.75" customHeight="1">
      <c r="A364" s="3" t="s">
        <v>448</v>
      </c>
      <c r="B364" s="4" t="s">
        <v>424</v>
      </c>
      <c r="C364" s="4"/>
      <c r="D364" s="4"/>
      <c r="E364" s="1" t="s">
        <v>13</v>
      </c>
      <c r="F364" s="3"/>
      <c r="G364" s="3"/>
      <c r="H364" s="3"/>
      <c r="I364" s="3"/>
    </row>
    <row r="365" ht="15.75" customHeight="1">
      <c r="A365" s="3" t="s">
        <v>449</v>
      </c>
      <c r="B365" s="4" t="s">
        <v>424</v>
      </c>
      <c r="C365" s="4"/>
      <c r="D365" s="4"/>
      <c r="E365" s="1" t="s">
        <v>13</v>
      </c>
      <c r="F365" s="3"/>
      <c r="G365" s="3"/>
      <c r="H365" s="3"/>
      <c r="I365" s="3"/>
    </row>
    <row r="366" ht="15.75" customHeight="1">
      <c r="A366" s="3" t="s">
        <v>450</v>
      </c>
      <c r="B366" s="4" t="s">
        <v>424</v>
      </c>
      <c r="C366" s="4"/>
      <c r="D366" s="4"/>
      <c r="E366" s="1" t="s">
        <v>13</v>
      </c>
      <c r="F366" s="3"/>
      <c r="G366" s="3"/>
      <c r="H366" s="3"/>
      <c r="I366" s="3"/>
    </row>
    <row r="367" ht="15.75" customHeight="1">
      <c r="A367" s="1" t="s">
        <v>451</v>
      </c>
      <c r="B367" s="4" t="s">
        <v>424</v>
      </c>
      <c r="C367" s="4"/>
      <c r="D367" s="4"/>
      <c r="E367" s="1" t="s">
        <v>13</v>
      </c>
      <c r="F367" s="3"/>
      <c r="G367" s="3"/>
      <c r="H367" s="3"/>
      <c r="I367" s="3"/>
    </row>
    <row r="368" ht="15.75" customHeight="1">
      <c r="A368" s="3" t="s">
        <v>452</v>
      </c>
      <c r="B368" s="4" t="s">
        <v>424</v>
      </c>
      <c r="C368" s="4"/>
      <c r="D368" s="4"/>
      <c r="E368" s="1" t="s">
        <v>125</v>
      </c>
      <c r="F368" s="3"/>
      <c r="G368" s="3"/>
      <c r="H368" s="3"/>
      <c r="I368" s="3"/>
    </row>
    <row r="369" ht="15.75" customHeight="1">
      <c r="A369" s="3" t="s">
        <v>453</v>
      </c>
      <c r="B369" s="4" t="s">
        <v>424</v>
      </c>
      <c r="C369" s="4"/>
      <c r="D369" s="4"/>
      <c r="E369" s="1" t="s">
        <v>13</v>
      </c>
      <c r="F369" s="3"/>
      <c r="G369" s="3"/>
      <c r="H369" s="3"/>
      <c r="I369" s="3"/>
    </row>
    <row r="370" ht="15.75" customHeight="1">
      <c r="A370" s="3" t="s">
        <v>454</v>
      </c>
      <c r="B370" s="4" t="s">
        <v>424</v>
      </c>
      <c r="C370" s="4"/>
      <c r="D370" s="4"/>
      <c r="E370" s="1" t="s">
        <v>13</v>
      </c>
      <c r="F370" s="3"/>
      <c r="G370" s="3"/>
      <c r="H370" s="3"/>
      <c r="I370" s="3"/>
    </row>
    <row r="371" ht="15.75" customHeight="1">
      <c r="A371" s="3" t="s">
        <v>455</v>
      </c>
      <c r="B371" s="4" t="s">
        <v>424</v>
      </c>
      <c r="C371" s="4"/>
      <c r="D371" s="4"/>
      <c r="E371" s="1" t="s">
        <v>13</v>
      </c>
      <c r="F371" s="3"/>
      <c r="G371" s="3"/>
      <c r="H371" s="3"/>
      <c r="I371" s="3"/>
    </row>
    <row r="372" ht="15.75" customHeight="1">
      <c r="A372" s="3" t="s">
        <v>456</v>
      </c>
      <c r="B372" s="4" t="s">
        <v>424</v>
      </c>
      <c r="C372" s="4"/>
      <c r="D372" s="4"/>
      <c r="E372" s="1" t="s">
        <v>13</v>
      </c>
      <c r="F372" s="3"/>
      <c r="G372" s="3"/>
      <c r="H372" s="3"/>
      <c r="I372" s="3"/>
    </row>
    <row r="373" ht="15.75" customHeight="1">
      <c r="A373" s="1" t="s">
        <v>457</v>
      </c>
      <c r="B373" s="4" t="s">
        <v>424</v>
      </c>
      <c r="C373" s="4"/>
      <c r="D373" s="4"/>
      <c r="E373" s="1" t="s">
        <v>13</v>
      </c>
      <c r="F373" s="3"/>
      <c r="G373" s="3"/>
      <c r="H373" s="3"/>
      <c r="I373" s="3"/>
    </row>
    <row r="374" ht="15.75" customHeight="1">
      <c r="A374" s="3" t="s">
        <v>458</v>
      </c>
      <c r="B374" s="4" t="s">
        <v>424</v>
      </c>
      <c r="C374" s="4"/>
      <c r="D374" s="4"/>
      <c r="E374" s="1" t="s">
        <v>13</v>
      </c>
      <c r="F374" s="3"/>
      <c r="G374" s="3"/>
      <c r="H374" s="3"/>
      <c r="I374" s="3"/>
    </row>
    <row r="375" ht="15.75" customHeight="1">
      <c r="A375" s="3" t="s">
        <v>459</v>
      </c>
      <c r="B375" s="4" t="s">
        <v>424</v>
      </c>
      <c r="C375" s="4"/>
      <c r="D375" s="4"/>
      <c r="E375" s="3" t="s">
        <v>13</v>
      </c>
      <c r="F375" s="3"/>
      <c r="G375" s="3"/>
      <c r="H375" s="3"/>
      <c r="I375" s="3"/>
    </row>
    <row r="376" ht="15.75" customHeight="1">
      <c r="A376" s="3" t="s">
        <v>460</v>
      </c>
      <c r="B376" s="4" t="s">
        <v>424</v>
      </c>
      <c r="C376" s="4"/>
      <c r="D376" s="4"/>
      <c r="E376" s="1" t="s">
        <v>13</v>
      </c>
      <c r="F376" s="3"/>
      <c r="G376" s="3"/>
      <c r="H376" s="3"/>
      <c r="I376" s="3"/>
    </row>
    <row r="377" ht="15.75" customHeight="1">
      <c r="A377" s="3" t="s">
        <v>461</v>
      </c>
      <c r="B377" s="4" t="s">
        <v>424</v>
      </c>
      <c r="C377" s="4"/>
      <c r="D377" s="4"/>
      <c r="E377" s="1" t="s">
        <v>13</v>
      </c>
      <c r="F377" s="3"/>
      <c r="G377" s="3"/>
      <c r="H377" s="3"/>
      <c r="I377" s="3"/>
    </row>
    <row r="378" ht="15.75" customHeight="1">
      <c r="A378" s="1" t="s">
        <v>462</v>
      </c>
      <c r="B378" s="4" t="s">
        <v>424</v>
      </c>
      <c r="C378" s="4"/>
      <c r="D378" s="4"/>
      <c r="E378" s="1" t="s">
        <v>13</v>
      </c>
      <c r="F378" s="3"/>
      <c r="G378" s="3"/>
      <c r="H378" s="3"/>
      <c r="I378" s="3"/>
    </row>
    <row r="379" ht="15.75" customHeight="1">
      <c r="A379" s="3" t="s">
        <v>463</v>
      </c>
      <c r="B379" s="4" t="s">
        <v>424</v>
      </c>
      <c r="C379" s="4"/>
      <c r="D379" s="4"/>
      <c r="E379" s="1" t="s">
        <v>13</v>
      </c>
      <c r="F379" s="3"/>
      <c r="G379" s="3"/>
      <c r="H379" s="3"/>
      <c r="I379" s="3"/>
    </row>
    <row r="380" ht="15.75" customHeight="1">
      <c r="A380" s="3" t="s">
        <v>464</v>
      </c>
      <c r="B380" s="4" t="s">
        <v>424</v>
      </c>
      <c r="C380" s="4"/>
      <c r="D380" s="4"/>
      <c r="E380" s="1" t="s">
        <v>13</v>
      </c>
      <c r="F380" s="3"/>
      <c r="G380" s="3"/>
      <c r="H380" s="3"/>
      <c r="I380" s="3"/>
    </row>
    <row r="381" ht="15.75" customHeight="1">
      <c r="A381" s="3" t="s">
        <v>465</v>
      </c>
      <c r="B381" s="4" t="s">
        <v>424</v>
      </c>
      <c r="C381" s="4"/>
      <c r="D381" s="4"/>
      <c r="E381" s="1" t="s">
        <v>13</v>
      </c>
      <c r="F381" s="3"/>
      <c r="G381" s="3"/>
      <c r="H381" s="3"/>
      <c r="I381" s="3"/>
    </row>
    <row r="382" ht="15.75" customHeight="1">
      <c r="A382" s="3" t="s">
        <v>466</v>
      </c>
      <c r="B382" s="4" t="s">
        <v>424</v>
      </c>
      <c r="C382" s="4"/>
      <c r="D382" s="4"/>
      <c r="E382" s="1" t="s">
        <v>13</v>
      </c>
      <c r="F382" s="3"/>
      <c r="G382" s="3"/>
      <c r="H382" s="3"/>
      <c r="I382" s="3"/>
    </row>
    <row r="383" ht="15.75" customHeight="1">
      <c r="A383" s="3" t="s">
        <v>467</v>
      </c>
      <c r="B383" s="4" t="s">
        <v>424</v>
      </c>
      <c r="C383" s="4"/>
      <c r="D383" s="4"/>
      <c r="E383" s="1" t="s">
        <v>13</v>
      </c>
      <c r="F383" s="3"/>
      <c r="G383" s="3"/>
      <c r="H383" s="3"/>
      <c r="I383" s="3"/>
    </row>
    <row r="384" ht="15.75" customHeight="1">
      <c r="A384" s="3" t="s">
        <v>468</v>
      </c>
      <c r="B384" s="4" t="s">
        <v>469</v>
      </c>
      <c r="C384" s="4"/>
      <c r="D384" s="4"/>
      <c r="E384" s="1" t="s">
        <v>13</v>
      </c>
      <c r="F384" s="3"/>
      <c r="G384" s="3"/>
      <c r="H384" s="3"/>
      <c r="I384" s="3"/>
    </row>
    <row r="385" ht="15.75" customHeight="1">
      <c r="A385" s="3" t="s">
        <v>470</v>
      </c>
      <c r="B385" s="4" t="s">
        <v>469</v>
      </c>
      <c r="C385" s="4"/>
      <c r="D385" s="4"/>
      <c r="E385" s="3" t="s">
        <v>13</v>
      </c>
      <c r="F385" s="3"/>
      <c r="G385" s="3"/>
      <c r="H385" s="3"/>
      <c r="I385" s="3"/>
    </row>
    <row r="386" ht="15.75" customHeight="1">
      <c r="A386" s="3" t="s">
        <v>471</v>
      </c>
      <c r="B386" s="4" t="s">
        <v>469</v>
      </c>
      <c r="C386" s="4"/>
      <c r="D386" s="4"/>
      <c r="E386" s="3" t="s">
        <v>251</v>
      </c>
      <c r="F386" s="3"/>
      <c r="G386" s="3"/>
      <c r="H386" s="3"/>
      <c r="I386" s="3"/>
    </row>
    <row r="387" ht="15.75" customHeight="1">
      <c r="A387" s="3" t="s">
        <v>472</v>
      </c>
      <c r="B387" s="4" t="s">
        <v>469</v>
      </c>
      <c r="C387" s="4"/>
      <c r="D387" s="4"/>
      <c r="E387" s="3" t="s">
        <v>251</v>
      </c>
      <c r="F387" s="3"/>
      <c r="G387" s="3"/>
      <c r="H387" s="3"/>
      <c r="I387" s="3"/>
    </row>
    <row r="388" ht="15.75" customHeight="1">
      <c r="A388" s="3" t="s">
        <v>473</v>
      </c>
      <c r="B388" s="4" t="s">
        <v>469</v>
      </c>
      <c r="C388" s="4"/>
      <c r="D388" s="4"/>
      <c r="E388" s="1" t="s">
        <v>13</v>
      </c>
      <c r="F388" s="3"/>
      <c r="G388" s="3"/>
      <c r="H388" s="3"/>
      <c r="I388" s="3"/>
    </row>
    <row r="389" ht="15.75" customHeight="1">
      <c r="A389" s="3" t="s">
        <v>474</v>
      </c>
      <c r="B389" s="4" t="s">
        <v>469</v>
      </c>
      <c r="C389" s="4"/>
      <c r="D389" s="4"/>
      <c r="E389" s="1" t="s">
        <v>13</v>
      </c>
      <c r="F389" s="3"/>
      <c r="G389" s="3"/>
      <c r="H389" s="3"/>
      <c r="I389" s="3"/>
    </row>
    <row r="390" ht="15.75" customHeight="1">
      <c r="A390" s="3" t="s">
        <v>475</v>
      </c>
      <c r="B390" s="4" t="s">
        <v>469</v>
      </c>
      <c r="C390" s="4"/>
      <c r="D390" s="4"/>
      <c r="E390" s="3" t="s">
        <v>48</v>
      </c>
      <c r="F390" s="3"/>
      <c r="G390" s="3"/>
      <c r="H390" s="3"/>
      <c r="I390" s="3"/>
    </row>
    <row r="391" ht="15.75" customHeight="1">
      <c r="A391" s="3" t="s">
        <v>476</v>
      </c>
      <c r="B391" s="4" t="s">
        <v>469</v>
      </c>
      <c r="C391" s="4"/>
      <c r="D391" s="4"/>
      <c r="E391" s="3" t="s">
        <v>251</v>
      </c>
      <c r="F391" s="3"/>
      <c r="G391" s="3"/>
      <c r="H391" s="3"/>
      <c r="I391" s="3"/>
    </row>
    <row r="392" ht="15.75" customHeight="1">
      <c r="A392" s="3" t="s">
        <v>477</v>
      </c>
      <c r="B392" s="4" t="s">
        <v>478</v>
      </c>
      <c r="C392" s="4"/>
      <c r="D392" s="4"/>
      <c r="E392" s="3" t="s">
        <v>48</v>
      </c>
      <c r="F392" s="3"/>
      <c r="G392" s="3"/>
      <c r="H392" s="3"/>
      <c r="I392" s="3"/>
    </row>
    <row r="393" ht="15.75" customHeight="1">
      <c r="A393" s="3" t="s">
        <v>479</v>
      </c>
      <c r="B393" s="4" t="s">
        <v>480</v>
      </c>
      <c r="C393" s="4"/>
      <c r="D393" s="4"/>
      <c r="E393" s="1" t="s">
        <v>13</v>
      </c>
      <c r="F393" s="3"/>
      <c r="G393" s="3"/>
      <c r="H393" s="3"/>
      <c r="I393" s="3"/>
    </row>
    <row r="394" ht="15.75" customHeight="1">
      <c r="A394" s="3" t="s">
        <v>481</v>
      </c>
      <c r="B394" s="4" t="s">
        <v>480</v>
      </c>
      <c r="C394" s="4"/>
      <c r="D394" s="4"/>
      <c r="E394" s="1" t="s">
        <v>13</v>
      </c>
      <c r="F394" s="3"/>
      <c r="G394" s="3"/>
      <c r="H394" s="3"/>
      <c r="I394" s="3"/>
    </row>
    <row r="395" ht="15.75" customHeight="1">
      <c r="A395" s="3" t="s">
        <v>482</v>
      </c>
      <c r="B395" s="4" t="s">
        <v>480</v>
      </c>
      <c r="C395" s="4"/>
      <c r="D395" s="4"/>
      <c r="E395" s="3" t="s">
        <v>48</v>
      </c>
      <c r="F395" s="3"/>
      <c r="G395" s="3"/>
      <c r="H395" s="3"/>
      <c r="I395" s="3"/>
    </row>
    <row r="396" ht="15.75" customHeight="1">
      <c r="A396" s="3" t="s">
        <v>483</v>
      </c>
      <c r="B396" s="4" t="s">
        <v>480</v>
      </c>
      <c r="C396" s="4"/>
      <c r="D396" s="4"/>
      <c r="E396" s="1" t="s">
        <v>13</v>
      </c>
      <c r="F396" s="3"/>
      <c r="G396" s="3"/>
      <c r="H396" s="3"/>
      <c r="I396" s="3"/>
    </row>
    <row r="397" ht="15.75" customHeight="1">
      <c r="A397" s="3" t="s">
        <v>484</v>
      </c>
      <c r="B397" s="4" t="s">
        <v>480</v>
      </c>
      <c r="C397" s="4"/>
      <c r="D397" s="4"/>
      <c r="E397" s="1" t="s">
        <v>13</v>
      </c>
      <c r="F397" s="3"/>
      <c r="G397" s="3"/>
      <c r="H397" s="3"/>
      <c r="I397" s="3"/>
    </row>
    <row r="398" ht="15.75" customHeight="1">
      <c r="A398" s="1" t="s">
        <v>485</v>
      </c>
      <c r="B398" s="4" t="s">
        <v>486</v>
      </c>
      <c r="C398" s="4"/>
      <c r="D398" s="4"/>
      <c r="E398" s="3" t="s">
        <v>93</v>
      </c>
      <c r="F398" s="3"/>
      <c r="G398" s="3"/>
      <c r="H398" s="3"/>
      <c r="I398" s="3"/>
    </row>
    <row r="399" ht="15.75" customHeight="1">
      <c r="A399" s="1" t="s">
        <v>487</v>
      </c>
      <c r="B399" s="4" t="s">
        <v>486</v>
      </c>
      <c r="C399" s="4"/>
      <c r="D399" s="4"/>
      <c r="E399" s="3"/>
      <c r="F399" s="3"/>
      <c r="G399" s="3"/>
      <c r="H399" s="3"/>
      <c r="I399" s="3"/>
    </row>
    <row r="400" ht="15.75" customHeight="1">
      <c r="A400" s="3" t="s">
        <v>488</v>
      </c>
      <c r="B400" s="4" t="s">
        <v>489</v>
      </c>
      <c r="C400" s="4"/>
      <c r="D400" s="4"/>
      <c r="E400" s="1" t="s">
        <v>13</v>
      </c>
      <c r="F400" s="3"/>
      <c r="G400" s="3"/>
      <c r="H400" s="3"/>
      <c r="I400" s="3"/>
    </row>
    <row r="401" ht="15.75" customHeight="1">
      <c r="A401" s="3" t="s">
        <v>490</v>
      </c>
      <c r="B401" s="4" t="s">
        <v>489</v>
      </c>
      <c r="C401" s="4"/>
      <c r="D401" s="4"/>
      <c r="E401" s="3" t="s">
        <v>305</v>
      </c>
      <c r="F401" s="3"/>
      <c r="G401" s="3"/>
      <c r="H401" s="3"/>
      <c r="I401" s="3"/>
    </row>
    <row r="402" ht="15.75" customHeight="1">
      <c r="A402" s="3" t="s">
        <v>491</v>
      </c>
      <c r="B402" s="4" t="s">
        <v>489</v>
      </c>
      <c r="C402" s="4"/>
      <c r="D402" s="4"/>
      <c r="E402" s="3" t="s">
        <v>296</v>
      </c>
      <c r="F402" s="3"/>
      <c r="G402" s="3"/>
      <c r="H402" s="3"/>
      <c r="I402" s="3"/>
    </row>
    <row r="403" ht="15.75" customHeight="1">
      <c r="A403" s="3" t="s">
        <v>492</v>
      </c>
      <c r="B403" s="4" t="s">
        <v>489</v>
      </c>
      <c r="C403" s="4"/>
      <c r="D403" s="4"/>
      <c r="E403" s="3" t="s">
        <v>111</v>
      </c>
      <c r="F403" s="3"/>
      <c r="G403" s="3"/>
      <c r="H403" s="3"/>
      <c r="I403" s="3"/>
    </row>
    <row r="404" ht="15.75" customHeight="1">
      <c r="A404" s="3" t="s">
        <v>493</v>
      </c>
      <c r="B404" s="4" t="s">
        <v>489</v>
      </c>
      <c r="C404" s="4"/>
      <c r="D404" s="4"/>
      <c r="E404" s="3" t="s">
        <v>13</v>
      </c>
      <c r="F404" s="3"/>
      <c r="G404" s="3"/>
      <c r="H404" s="3"/>
      <c r="I404" s="3"/>
    </row>
    <row r="405" ht="15.75" customHeight="1">
      <c r="A405" s="3" t="s">
        <v>494</v>
      </c>
      <c r="B405" s="4" t="s">
        <v>489</v>
      </c>
      <c r="C405" s="4"/>
      <c r="D405" s="4"/>
      <c r="E405" s="3" t="s">
        <v>13</v>
      </c>
      <c r="F405" s="3"/>
      <c r="G405" s="3"/>
      <c r="H405" s="3"/>
      <c r="I405" s="3"/>
    </row>
    <row r="406" ht="15.75" customHeight="1">
      <c r="A406" s="3" t="s">
        <v>495</v>
      </c>
      <c r="B406" s="4" t="s">
        <v>489</v>
      </c>
      <c r="C406" s="4"/>
      <c r="D406" s="4"/>
      <c r="E406" s="3" t="s">
        <v>13</v>
      </c>
      <c r="F406" s="3"/>
      <c r="G406" s="3"/>
      <c r="H406" s="3"/>
      <c r="I406" s="3"/>
    </row>
    <row r="407" ht="15.75" customHeight="1">
      <c r="A407" s="3" t="s">
        <v>496</v>
      </c>
      <c r="B407" s="4" t="s">
        <v>489</v>
      </c>
      <c r="C407" s="4"/>
      <c r="D407" s="4"/>
      <c r="E407" s="3" t="s">
        <v>13</v>
      </c>
      <c r="F407" s="3"/>
      <c r="G407" s="3"/>
      <c r="H407" s="3"/>
      <c r="I407" s="3"/>
    </row>
    <row r="408" ht="15.75" customHeight="1">
      <c r="A408" s="3" t="s">
        <v>497</v>
      </c>
      <c r="B408" s="4" t="s">
        <v>489</v>
      </c>
      <c r="C408" s="4"/>
      <c r="D408" s="4"/>
      <c r="E408" s="3" t="s">
        <v>125</v>
      </c>
      <c r="F408" s="3"/>
      <c r="G408" s="3"/>
      <c r="H408" s="3"/>
      <c r="I408" s="3"/>
    </row>
    <row r="409" ht="15.75" customHeight="1">
      <c r="A409" s="1" t="s">
        <v>494</v>
      </c>
      <c r="B409" s="4" t="s">
        <v>489</v>
      </c>
      <c r="C409" s="4"/>
      <c r="D409" s="4"/>
      <c r="E409" s="1" t="s">
        <v>34</v>
      </c>
      <c r="F409" s="3"/>
      <c r="G409" s="3"/>
      <c r="H409" s="3"/>
      <c r="I409" s="3"/>
    </row>
    <row r="410" ht="15.75" customHeight="1">
      <c r="A410" s="3" t="s">
        <v>498</v>
      </c>
      <c r="B410" s="4" t="s">
        <v>489</v>
      </c>
      <c r="C410" s="4"/>
      <c r="D410" s="4"/>
      <c r="E410" s="3" t="s">
        <v>78</v>
      </c>
      <c r="F410" s="3"/>
      <c r="G410" s="3"/>
      <c r="H410" s="3"/>
      <c r="I410" s="3"/>
    </row>
    <row r="411" ht="15.75" customHeight="1">
      <c r="A411" s="3" t="s">
        <v>499</v>
      </c>
      <c r="B411" s="4" t="s">
        <v>489</v>
      </c>
      <c r="C411" s="4"/>
      <c r="D411" s="4"/>
      <c r="E411" s="3" t="s">
        <v>78</v>
      </c>
      <c r="F411" s="3"/>
      <c r="G411" s="3"/>
      <c r="H411" s="3"/>
      <c r="I411" s="3"/>
    </row>
    <row r="412" ht="15.75" customHeight="1">
      <c r="A412" s="3" t="s">
        <v>500</v>
      </c>
      <c r="B412" s="4" t="s">
        <v>489</v>
      </c>
      <c r="C412" s="4"/>
      <c r="D412" s="4"/>
      <c r="E412" s="3" t="s">
        <v>27</v>
      </c>
      <c r="F412" s="3"/>
      <c r="G412" s="3"/>
      <c r="H412" s="3"/>
      <c r="I412" s="3"/>
    </row>
    <row r="413" ht="15.75" customHeight="1">
      <c r="A413" s="3" t="s">
        <v>501</v>
      </c>
      <c r="B413" s="4" t="s">
        <v>489</v>
      </c>
      <c r="C413" s="4"/>
      <c r="D413" s="4"/>
      <c r="E413" s="3" t="s">
        <v>37</v>
      </c>
      <c r="F413" s="3"/>
      <c r="G413" s="3"/>
      <c r="H413" s="3"/>
      <c r="I413" s="3"/>
    </row>
    <row r="414" ht="15.75" customHeight="1">
      <c r="A414" s="3" t="s">
        <v>502</v>
      </c>
      <c r="B414" s="4" t="s">
        <v>489</v>
      </c>
      <c r="C414" s="4"/>
      <c r="D414" s="4"/>
      <c r="E414" s="3" t="s">
        <v>13</v>
      </c>
      <c r="F414" s="3"/>
      <c r="G414" s="3"/>
      <c r="H414" s="3"/>
      <c r="I414" s="3"/>
    </row>
    <row r="415" ht="15.75" customHeight="1">
      <c r="A415" s="3" t="s">
        <v>503</v>
      </c>
      <c r="B415" s="4" t="s">
        <v>489</v>
      </c>
      <c r="C415" s="4"/>
      <c r="D415" s="4"/>
      <c r="E415" s="3" t="s">
        <v>62</v>
      </c>
      <c r="F415" s="3"/>
      <c r="G415" s="3"/>
      <c r="H415" s="3"/>
      <c r="I415" s="3"/>
    </row>
    <row r="416" ht="15.75" customHeight="1">
      <c r="A416" s="3" t="s">
        <v>504</v>
      </c>
      <c r="B416" s="4" t="s">
        <v>489</v>
      </c>
      <c r="C416" s="4"/>
      <c r="D416" s="4"/>
      <c r="E416" s="3" t="s">
        <v>62</v>
      </c>
      <c r="F416" s="3"/>
      <c r="G416" s="3"/>
      <c r="H416" s="3"/>
      <c r="I416" s="3"/>
    </row>
    <row r="417" ht="15.75" customHeight="1">
      <c r="A417" s="3" t="s">
        <v>505</v>
      </c>
      <c r="B417" s="4" t="s">
        <v>489</v>
      </c>
      <c r="C417" s="4"/>
      <c r="D417" s="4"/>
      <c r="E417" s="3" t="s">
        <v>182</v>
      </c>
      <c r="F417" s="3"/>
      <c r="G417" s="3"/>
      <c r="H417" s="3"/>
      <c r="I417" s="3"/>
    </row>
    <row r="418" ht="15.75" customHeight="1">
      <c r="A418" s="3" t="s">
        <v>506</v>
      </c>
      <c r="B418" s="4" t="s">
        <v>489</v>
      </c>
      <c r="C418" s="4"/>
      <c r="D418" s="4"/>
      <c r="E418" s="3" t="s">
        <v>13</v>
      </c>
      <c r="F418" s="3"/>
      <c r="G418" s="3"/>
      <c r="H418" s="3"/>
      <c r="I418" s="3"/>
    </row>
    <row r="419" ht="15.75" customHeight="1">
      <c r="A419" s="3" t="s">
        <v>507</v>
      </c>
      <c r="B419" s="4" t="s">
        <v>489</v>
      </c>
      <c r="C419" s="4"/>
      <c r="D419" s="4"/>
      <c r="E419" s="3" t="s">
        <v>13</v>
      </c>
      <c r="F419" s="3"/>
      <c r="G419" s="3"/>
      <c r="H419" s="3"/>
      <c r="I419" s="3"/>
    </row>
    <row r="420" ht="15.75" customHeight="1">
      <c r="A420" s="3" t="s">
        <v>508</v>
      </c>
      <c r="B420" s="4" t="s">
        <v>489</v>
      </c>
      <c r="C420" s="4"/>
      <c r="D420" s="4"/>
      <c r="E420" s="3" t="s">
        <v>13</v>
      </c>
      <c r="F420" s="3"/>
      <c r="G420" s="3"/>
      <c r="H420" s="3"/>
      <c r="I420" s="3"/>
    </row>
    <row r="421" ht="15.75" customHeight="1">
      <c r="A421" s="3" t="s">
        <v>509</v>
      </c>
      <c r="B421" s="4" t="s">
        <v>489</v>
      </c>
      <c r="C421" s="4"/>
      <c r="D421" s="4"/>
      <c r="E421" s="3" t="s">
        <v>391</v>
      </c>
      <c r="F421" s="3"/>
      <c r="G421" s="3"/>
      <c r="H421" s="3"/>
      <c r="I421" s="3"/>
    </row>
    <row r="422" ht="15.75" customHeight="1">
      <c r="A422" s="3" t="s">
        <v>510</v>
      </c>
      <c r="B422" s="4" t="s">
        <v>489</v>
      </c>
      <c r="C422" s="4"/>
      <c r="D422" s="4"/>
      <c r="E422" s="3" t="s">
        <v>13</v>
      </c>
      <c r="F422" s="3"/>
      <c r="G422" s="3"/>
      <c r="H422" s="3"/>
      <c r="I422" s="3"/>
    </row>
    <row r="423" ht="15.75" customHeight="1">
      <c r="A423" s="3" t="s">
        <v>511</v>
      </c>
      <c r="B423" s="4" t="s">
        <v>489</v>
      </c>
      <c r="C423" s="4"/>
      <c r="D423" s="4"/>
      <c r="E423" s="3" t="s">
        <v>13</v>
      </c>
      <c r="F423" s="3"/>
      <c r="G423" s="3"/>
      <c r="H423" s="3"/>
      <c r="I423" s="3"/>
    </row>
    <row r="424" ht="15.75" customHeight="1">
      <c r="A424" s="3" t="s">
        <v>512</v>
      </c>
      <c r="B424" s="4" t="s">
        <v>489</v>
      </c>
      <c r="C424" s="4"/>
      <c r="D424" s="4"/>
      <c r="E424" s="3" t="s">
        <v>13</v>
      </c>
      <c r="F424" s="3"/>
      <c r="G424" s="3"/>
      <c r="H424" s="3"/>
      <c r="I424" s="3"/>
    </row>
    <row r="425" ht="15.75" customHeight="1">
      <c r="A425" s="3" t="s">
        <v>513</v>
      </c>
      <c r="B425" s="4" t="s">
        <v>489</v>
      </c>
      <c r="C425" s="4"/>
      <c r="D425" s="4"/>
      <c r="E425" s="3" t="s">
        <v>13</v>
      </c>
      <c r="F425" s="3"/>
      <c r="G425" s="3"/>
      <c r="H425" s="3"/>
      <c r="I425" s="3"/>
    </row>
    <row r="426" ht="15.75" customHeight="1">
      <c r="A426" s="3" t="s">
        <v>514</v>
      </c>
      <c r="B426" s="4" t="s">
        <v>489</v>
      </c>
      <c r="C426" s="4"/>
      <c r="D426" s="4"/>
      <c r="E426" s="3" t="s">
        <v>125</v>
      </c>
      <c r="F426" s="3"/>
      <c r="G426" s="3"/>
      <c r="H426" s="3"/>
      <c r="I426" s="3"/>
    </row>
    <row r="427" ht="15.75" customHeight="1">
      <c r="A427" s="3" t="s">
        <v>515</v>
      </c>
      <c r="B427" s="4" t="s">
        <v>489</v>
      </c>
      <c r="C427" s="4"/>
      <c r="D427" s="4"/>
      <c r="E427" s="3" t="s">
        <v>125</v>
      </c>
      <c r="F427" s="3"/>
      <c r="G427" s="3"/>
      <c r="H427" s="3"/>
      <c r="I427" s="3"/>
    </row>
    <row r="428" ht="15.75" customHeight="1">
      <c r="A428" s="3" t="s">
        <v>516</v>
      </c>
      <c r="B428" s="4" t="s">
        <v>489</v>
      </c>
      <c r="C428" s="4"/>
      <c r="D428" s="4"/>
      <c r="E428" s="3" t="s">
        <v>48</v>
      </c>
      <c r="F428" s="3"/>
      <c r="G428" s="3"/>
      <c r="H428" s="3"/>
      <c r="I428" s="3"/>
    </row>
    <row r="429" ht="15.75" customHeight="1">
      <c r="A429" s="3" t="s">
        <v>517</v>
      </c>
      <c r="B429" s="4" t="s">
        <v>489</v>
      </c>
      <c r="C429" s="4"/>
      <c r="D429" s="4"/>
      <c r="E429" s="3" t="s">
        <v>13</v>
      </c>
      <c r="F429" s="3"/>
      <c r="G429" s="3"/>
      <c r="H429" s="3"/>
      <c r="I429" s="3"/>
    </row>
    <row r="430" ht="15.75" customHeight="1">
      <c r="A430" s="3" t="s">
        <v>518</v>
      </c>
      <c r="B430" s="4" t="s">
        <v>489</v>
      </c>
      <c r="C430" s="4"/>
      <c r="D430" s="4"/>
      <c r="E430" s="3" t="s">
        <v>13</v>
      </c>
      <c r="F430" s="3"/>
      <c r="G430" s="3"/>
      <c r="H430" s="3"/>
      <c r="I430" s="3"/>
    </row>
    <row r="431" ht="15.75" customHeight="1">
      <c r="A431" s="3" t="s">
        <v>519</v>
      </c>
      <c r="B431" s="4" t="s">
        <v>489</v>
      </c>
      <c r="C431" s="4"/>
      <c r="D431" s="4"/>
      <c r="E431" s="3" t="s">
        <v>13</v>
      </c>
      <c r="F431" s="3"/>
      <c r="G431" s="3"/>
      <c r="H431" s="3"/>
      <c r="I431" s="3"/>
    </row>
    <row r="432" ht="15.75" customHeight="1">
      <c r="A432" s="3" t="s">
        <v>520</v>
      </c>
      <c r="B432" s="4" t="s">
        <v>489</v>
      </c>
      <c r="C432" s="4"/>
      <c r="D432" s="4"/>
      <c r="E432" s="3" t="s">
        <v>13</v>
      </c>
      <c r="F432" s="3"/>
      <c r="G432" s="3"/>
      <c r="H432" s="3"/>
      <c r="I432" s="3"/>
    </row>
    <row r="433" ht="15.75" customHeight="1">
      <c r="A433" s="3" t="s">
        <v>521</v>
      </c>
      <c r="B433" s="4" t="s">
        <v>489</v>
      </c>
      <c r="C433" s="4"/>
      <c r="D433" s="4"/>
      <c r="E433" s="3" t="s">
        <v>522</v>
      </c>
      <c r="F433" s="3"/>
      <c r="G433" s="3"/>
      <c r="H433" s="3"/>
      <c r="I433" s="3"/>
    </row>
    <row r="434" ht="15.75" customHeight="1">
      <c r="A434" s="3" t="s">
        <v>523</v>
      </c>
      <c r="B434" s="4" t="s">
        <v>489</v>
      </c>
      <c r="C434" s="4"/>
      <c r="D434" s="4"/>
      <c r="E434" s="3" t="s">
        <v>13</v>
      </c>
      <c r="F434" s="3"/>
      <c r="G434" s="3"/>
      <c r="H434" s="3"/>
      <c r="I434" s="3"/>
    </row>
    <row r="435" ht="15.75" customHeight="1">
      <c r="A435" s="3" t="s">
        <v>524</v>
      </c>
      <c r="B435" s="4" t="s">
        <v>489</v>
      </c>
      <c r="C435" s="4"/>
      <c r="D435" s="4"/>
      <c r="E435" s="3" t="s">
        <v>40</v>
      </c>
      <c r="F435" s="3"/>
      <c r="G435" s="3"/>
      <c r="H435" s="3"/>
      <c r="I435" s="3"/>
    </row>
    <row r="436" ht="15.75" customHeight="1">
      <c r="A436" s="3" t="s">
        <v>525</v>
      </c>
      <c r="B436" s="4" t="s">
        <v>489</v>
      </c>
      <c r="C436" s="4"/>
      <c r="D436" s="4"/>
      <c r="E436" s="3" t="s">
        <v>13</v>
      </c>
      <c r="F436" s="3"/>
      <c r="G436" s="3"/>
      <c r="H436" s="3"/>
      <c r="I436" s="3"/>
    </row>
    <row r="437" ht="15.75" customHeight="1">
      <c r="A437" s="3" t="s">
        <v>526</v>
      </c>
      <c r="B437" s="4" t="s">
        <v>489</v>
      </c>
      <c r="C437" s="4"/>
      <c r="D437" s="4"/>
      <c r="E437" s="3" t="s">
        <v>111</v>
      </c>
      <c r="F437" s="3"/>
      <c r="G437" s="3"/>
      <c r="H437" s="3"/>
      <c r="I437" s="3"/>
    </row>
    <row r="438" ht="15.75" customHeight="1">
      <c r="A438" s="3" t="s">
        <v>527</v>
      </c>
      <c r="B438" s="4" t="s">
        <v>489</v>
      </c>
      <c r="C438" s="4"/>
      <c r="D438" s="4"/>
      <c r="E438" s="3" t="s">
        <v>13</v>
      </c>
      <c r="F438" s="3"/>
      <c r="G438" s="3"/>
      <c r="H438" s="3"/>
      <c r="I438" s="3"/>
    </row>
    <row r="439" ht="15.75" customHeight="1">
      <c r="A439" s="3" t="s">
        <v>528</v>
      </c>
      <c r="B439" s="4" t="s">
        <v>489</v>
      </c>
      <c r="C439" s="4"/>
      <c r="D439" s="4"/>
      <c r="E439" s="3" t="s">
        <v>13</v>
      </c>
      <c r="F439" s="3"/>
      <c r="G439" s="3"/>
      <c r="H439" s="3"/>
      <c r="I439" s="3"/>
    </row>
    <row r="440" ht="15.75" customHeight="1">
      <c r="A440" s="3" t="s">
        <v>529</v>
      </c>
      <c r="B440" s="4" t="s">
        <v>489</v>
      </c>
      <c r="C440" s="4"/>
      <c r="D440" s="4"/>
      <c r="E440" s="3" t="s">
        <v>13</v>
      </c>
      <c r="F440" s="3"/>
      <c r="G440" s="3"/>
      <c r="H440" s="3"/>
      <c r="I440" s="3"/>
    </row>
    <row r="441" ht="15.75" customHeight="1">
      <c r="A441" s="3" t="s">
        <v>530</v>
      </c>
      <c r="B441" s="4" t="s">
        <v>489</v>
      </c>
      <c r="C441" s="4"/>
      <c r="D441" s="4"/>
      <c r="E441" s="3" t="s">
        <v>13</v>
      </c>
      <c r="F441" s="3"/>
      <c r="G441" s="3"/>
      <c r="H441" s="3"/>
      <c r="I441" s="3"/>
    </row>
    <row r="442" ht="15.75" customHeight="1">
      <c r="A442" s="3" t="s">
        <v>531</v>
      </c>
      <c r="B442" s="4" t="s">
        <v>489</v>
      </c>
      <c r="C442" s="4"/>
      <c r="D442" s="4"/>
      <c r="E442" s="3" t="s">
        <v>13</v>
      </c>
      <c r="F442" s="3"/>
      <c r="G442" s="3"/>
      <c r="H442" s="3"/>
      <c r="I442" s="3"/>
    </row>
    <row r="443" ht="15.75" customHeight="1">
      <c r="A443" s="3" t="s">
        <v>532</v>
      </c>
      <c r="B443" s="4" t="s">
        <v>489</v>
      </c>
      <c r="C443" s="4"/>
      <c r="D443" s="4"/>
      <c r="E443" s="3" t="s">
        <v>48</v>
      </c>
      <c r="F443" s="3"/>
      <c r="G443" s="3"/>
      <c r="H443" s="3"/>
      <c r="I443" s="3"/>
    </row>
    <row r="444" ht="15.75" customHeight="1">
      <c r="A444" s="3" t="s">
        <v>533</v>
      </c>
      <c r="B444" s="4" t="s">
        <v>489</v>
      </c>
      <c r="C444" s="4"/>
      <c r="D444" s="4"/>
      <c r="E444" s="3" t="s">
        <v>125</v>
      </c>
      <c r="F444" s="3"/>
      <c r="G444" s="3"/>
      <c r="H444" s="3"/>
      <c r="I444" s="3"/>
    </row>
    <row r="445" ht="15.75" customHeight="1">
      <c r="A445" s="3" t="s">
        <v>534</v>
      </c>
      <c r="B445" s="4" t="s">
        <v>489</v>
      </c>
      <c r="C445" s="4"/>
      <c r="D445" s="4"/>
      <c r="E445" s="3" t="s">
        <v>13</v>
      </c>
      <c r="F445" s="3"/>
      <c r="G445" s="3"/>
      <c r="H445" s="3"/>
      <c r="I445" s="3"/>
    </row>
    <row r="446" ht="15.75" customHeight="1">
      <c r="A446" s="3" t="s">
        <v>535</v>
      </c>
      <c r="B446" s="4" t="s">
        <v>489</v>
      </c>
      <c r="C446" s="4"/>
      <c r="D446" s="4"/>
      <c r="E446" s="3" t="s">
        <v>48</v>
      </c>
      <c r="F446" s="3"/>
      <c r="G446" s="3"/>
      <c r="H446" s="3"/>
      <c r="I446" s="3"/>
    </row>
    <row r="447" ht="15.75" customHeight="1">
      <c r="A447" s="3" t="s">
        <v>536</v>
      </c>
      <c r="B447" s="4" t="s">
        <v>489</v>
      </c>
      <c r="C447" s="4"/>
      <c r="D447" s="4"/>
      <c r="E447" s="3" t="s">
        <v>62</v>
      </c>
      <c r="F447" s="3"/>
      <c r="G447" s="3"/>
      <c r="H447" s="3"/>
      <c r="I447" s="3"/>
    </row>
    <row r="448" ht="15.75" customHeight="1">
      <c r="A448" s="3" t="s">
        <v>477</v>
      </c>
      <c r="B448" s="4" t="s">
        <v>489</v>
      </c>
      <c r="C448" s="4"/>
      <c r="D448" s="4"/>
      <c r="E448" s="3" t="s">
        <v>48</v>
      </c>
      <c r="F448" s="3"/>
      <c r="G448" s="3"/>
      <c r="H448" s="3"/>
      <c r="I448" s="3"/>
    </row>
    <row r="449" ht="15.75" customHeight="1">
      <c r="A449" s="3" t="s">
        <v>537</v>
      </c>
      <c r="B449" s="4" t="s">
        <v>489</v>
      </c>
      <c r="C449" s="4"/>
      <c r="D449" s="4"/>
      <c r="E449" s="3" t="s">
        <v>13</v>
      </c>
      <c r="F449" s="3"/>
      <c r="G449" s="3"/>
      <c r="H449" s="3"/>
      <c r="I449" s="3"/>
    </row>
    <row r="450" ht="15.75" customHeight="1">
      <c r="A450" s="3" t="s">
        <v>538</v>
      </c>
      <c r="B450" s="4" t="s">
        <v>489</v>
      </c>
      <c r="C450" s="4"/>
      <c r="D450" s="4"/>
      <c r="E450" s="3" t="s">
        <v>13</v>
      </c>
      <c r="F450" s="3"/>
      <c r="G450" s="3"/>
      <c r="H450" s="3"/>
      <c r="I450" s="3"/>
    </row>
    <row r="451" ht="15.75" customHeight="1">
      <c r="A451" s="3" t="s">
        <v>539</v>
      </c>
      <c r="B451" s="4" t="s">
        <v>489</v>
      </c>
      <c r="C451" s="4"/>
      <c r="D451" s="4"/>
      <c r="E451" s="3" t="s">
        <v>13</v>
      </c>
      <c r="F451" s="3"/>
      <c r="G451" s="3"/>
      <c r="H451" s="3"/>
      <c r="I451" s="3"/>
    </row>
    <row r="452" ht="15.75" customHeight="1">
      <c r="A452" s="3" t="s">
        <v>540</v>
      </c>
      <c r="B452" s="4" t="s">
        <v>489</v>
      </c>
      <c r="C452" s="4"/>
      <c r="D452" s="4"/>
      <c r="E452" s="3" t="s">
        <v>13</v>
      </c>
      <c r="F452" s="3"/>
      <c r="G452" s="3"/>
      <c r="H452" s="3"/>
      <c r="I452" s="3"/>
    </row>
    <row r="453" ht="15.75" customHeight="1">
      <c r="A453" s="3" t="s">
        <v>541</v>
      </c>
      <c r="B453" s="4" t="s">
        <v>489</v>
      </c>
      <c r="C453" s="4"/>
      <c r="D453" s="4"/>
      <c r="E453" s="3" t="s">
        <v>13</v>
      </c>
      <c r="F453" s="3"/>
      <c r="G453" s="3"/>
      <c r="H453" s="3"/>
      <c r="I453" s="3"/>
    </row>
    <row r="454" ht="15.75" customHeight="1">
      <c r="A454" s="3" t="s">
        <v>542</v>
      </c>
      <c r="B454" s="4" t="s">
        <v>489</v>
      </c>
      <c r="C454" s="4"/>
      <c r="D454" s="4"/>
      <c r="E454" s="3" t="s">
        <v>13</v>
      </c>
      <c r="F454" s="3"/>
      <c r="G454" s="3"/>
      <c r="H454" s="3"/>
      <c r="I454" s="3"/>
    </row>
    <row r="455" ht="15.75" customHeight="1">
      <c r="A455" s="3" t="s">
        <v>543</v>
      </c>
      <c r="B455" s="4" t="s">
        <v>489</v>
      </c>
      <c r="C455" s="4"/>
      <c r="D455" s="4"/>
      <c r="E455" s="3" t="s">
        <v>13</v>
      </c>
      <c r="F455" s="3"/>
      <c r="G455" s="3"/>
      <c r="H455" s="3"/>
      <c r="I455" s="3"/>
    </row>
    <row r="456" ht="15.75" customHeight="1">
      <c r="A456" s="1" t="s">
        <v>544</v>
      </c>
      <c r="B456" s="4" t="s">
        <v>489</v>
      </c>
      <c r="C456" s="4"/>
      <c r="D456" s="4"/>
      <c r="E456" s="1" t="s">
        <v>13</v>
      </c>
      <c r="F456" s="3"/>
      <c r="G456" s="3"/>
      <c r="H456" s="3"/>
      <c r="I456" s="3"/>
    </row>
    <row r="457" ht="15.75" customHeight="1">
      <c r="A457" s="3" t="s">
        <v>545</v>
      </c>
      <c r="B457" s="4" t="s">
        <v>489</v>
      </c>
      <c r="C457" s="4"/>
      <c r="D457" s="4"/>
      <c r="E457" s="3" t="s">
        <v>13</v>
      </c>
      <c r="F457" s="3"/>
      <c r="G457" s="3"/>
      <c r="H457" s="3"/>
      <c r="I457" s="3"/>
    </row>
    <row r="458" ht="15.75" customHeight="1">
      <c r="A458" s="3" t="s">
        <v>546</v>
      </c>
      <c r="B458" s="4" t="s">
        <v>489</v>
      </c>
      <c r="C458" s="4"/>
      <c r="D458" s="4"/>
      <c r="E458" s="3" t="s">
        <v>13</v>
      </c>
      <c r="F458" s="3"/>
      <c r="G458" s="3"/>
      <c r="H458" s="3"/>
      <c r="I458" s="3"/>
    </row>
    <row r="459" ht="15.75" customHeight="1">
      <c r="A459" s="3" t="s">
        <v>547</v>
      </c>
      <c r="B459" s="4" t="s">
        <v>489</v>
      </c>
      <c r="C459" s="4"/>
      <c r="D459" s="4"/>
      <c r="E459" s="3" t="s">
        <v>13</v>
      </c>
      <c r="F459" s="3"/>
      <c r="G459" s="3"/>
      <c r="H459" s="3"/>
      <c r="I459" s="3"/>
    </row>
    <row r="460" ht="15.75" customHeight="1">
      <c r="A460" s="3" t="s">
        <v>548</v>
      </c>
      <c r="B460" s="4" t="s">
        <v>489</v>
      </c>
      <c r="C460" s="4"/>
      <c r="D460" s="4"/>
      <c r="E460" s="3" t="s">
        <v>125</v>
      </c>
      <c r="F460" s="3"/>
      <c r="G460" s="3"/>
      <c r="H460" s="3"/>
      <c r="I460" s="3"/>
    </row>
    <row r="461" ht="15.75" customHeight="1">
      <c r="A461" s="3" t="s">
        <v>549</v>
      </c>
      <c r="B461" s="4" t="s">
        <v>489</v>
      </c>
      <c r="C461" s="4"/>
      <c r="D461" s="4"/>
      <c r="E461" s="3" t="s">
        <v>48</v>
      </c>
      <c r="F461" s="3"/>
      <c r="G461" s="3"/>
      <c r="H461" s="3"/>
      <c r="I461" s="3"/>
    </row>
    <row r="462" ht="15.75" customHeight="1">
      <c r="A462" s="3" t="s">
        <v>550</v>
      </c>
      <c r="B462" s="4" t="s">
        <v>489</v>
      </c>
      <c r="C462" s="4"/>
      <c r="D462" s="4"/>
      <c r="E462" s="3" t="s">
        <v>13</v>
      </c>
      <c r="F462" s="3"/>
      <c r="G462" s="3"/>
      <c r="H462" s="3"/>
      <c r="I462" s="3"/>
    </row>
    <row r="463" ht="15.75" customHeight="1">
      <c r="A463" s="3" t="s">
        <v>551</v>
      </c>
      <c r="B463" s="4" t="s">
        <v>489</v>
      </c>
      <c r="C463" s="4"/>
      <c r="D463" s="4"/>
      <c r="E463" s="3" t="s">
        <v>552</v>
      </c>
      <c r="F463" s="3"/>
      <c r="G463" s="3"/>
      <c r="H463" s="3"/>
      <c r="I463" s="3"/>
    </row>
    <row r="464" ht="15.75" customHeight="1">
      <c r="A464" s="3" t="s">
        <v>553</v>
      </c>
      <c r="B464" s="4" t="s">
        <v>489</v>
      </c>
      <c r="C464" s="4"/>
      <c r="D464" s="4"/>
      <c r="E464" s="3" t="s">
        <v>552</v>
      </c>
      <c r="F464" s="3"/>
      <c r="G464" s="3"/>
      <c r="H464" s="3"/>
      <c r="I464" s="3"/>
    </row>
    <row r="465" ht="15.75" customHeight="1">
      <c r="A465" s="3" t="s">
        <v>554</v>
      </c>
      <c r="B465" s="4" t="s">
        <v>489</v>
      </c>
      <c r="C465" s="4"/>
      <c r="D465" s="4"/>
      <c r="E465" s="3" t="s">
        <v>13</v>
      </c>
      <c r="F465" s="3"/>
      <c r="G465" s="3"/>
      <c r="H465" s="3"/>
      <c r="I465" s="3"/>
    </row>
    <row r="466" ht="15.75" customHeight="1">
      <c r="A466" s="3" t="s">
        <v>555</v>
      </c>
      <c r="B466" s="4" t="s">
        <v>489</v>
      </c>
      <c r="C466" s="4"/>
      <c r="D466" s="4"/>
      <c r="E466" s="3" t="s">
        <v>13</v>
      </c>
      <c r="F466" s="3"/>
      <c r="G466" s="3"/>
      <c r="H466" s="3"/>
      <c r="I466" s="3"/>
    </row>
    <row r="467" ht="15.75" customHeight="1">
      <c r="A467" s="3" t="s">
        <v>556</v>
      </c>
      <c r="B467" s="4" t="s">
        <v>489</v>
      </c>
      <c r="C467" s="4"/>
      <c r="D467" s="4"/>
      <c r="E467" s="3" t="s">
        <v>158</v>
      </c>
      <c r="F467" s="3"/>
      <c r="G467" s="3"/>
      <c r="H467" s="3"/>
      <c r="I467" s="3"/>
    </row>
    <row r="468" ht="15.75" customHeight="1">
      <c r="A468" s="3" t="s">
        <v>557</v>
      </c>
      <c r="B468" s="4" t="s">
        <v>489</v>
      </c>
      <c r="C468" s="4"/>
      <c r="D468" s="4"/>
      <c r="E468" s="3" t="s">
        <v>13</v>
      </c>
      <c r="F468" s="3"/>
      <c r="G468" s="3"/>
      <c r="H468" s="3"/>
      <c r="I468" s="3"/>
    </row>
    <row r="469" ht="15.75" customHeight="1">
      <c r="A469" s="3" t="s">
        <v>558</v>
      </c>
      <c r="B469" s="4" t="s">
        <v>489</v>
      </c>
      <c r="C469" s="4"/>
      <c r="D469" s="4"/>
      <c r="E469" s="3" t="s">
        <v>13</v>
      </c>
      <c r="F469" s="3"/>
      <c r="G469" s="3"/>
      <c r="H469" s="3"/>
      <c r="I469" s="3"/>
    </row>
    <row r="470" ht="15.75" customHeight="1">
      <c r="A470" s="3" t="s">
        <v>559</v>
      </c>
      <c r="B470" s="4" t="s">
        <v>489</v>
      </c>
      <c r="C470" s="4"/>
      <c r="D470" s="4"/>
      <c r="E470" s="3" t="s">
        <v>40</v>
      </c>
      <c r="F470" s="3"/>
      <c r="G470" s="3"/>
      <c r="H470" s="3"/>
      <c r="I470" s="3"/>
    </row>
    <row r="471" ht="15.75" customHeight="1">
      <c r="A471" s="1" t="s">
        <v>560</v>
      </c>
      <c r="B471" s="4" t="s">
        <v>489</v>
      </c>
      <c r="C471" s="4"/>
      <c r="D471" s="4"/>
      <c r="E471" s="3" t="s">
        <v>62</v>
      </c>
      <c r="F471" s="3"/>
      <c r="G471" s="3"/>
      <c r="H471" s="3"/>
      <c r="I471" s="3"/>
    </row>
    <row r="472" ht="15.75" customHeight="1">
      <c r="A472" s="1" t="s">
        <v>561</v>
      </c>
      <c r="B472" s="4" t="s">
        <v>489</v>
      </c>
      <c r="C472" s="4"/>
      <c r="D472" s="4"/>
      <c r="E472" s="3" t="s">
        <v>62</v>
      </c>
      <c r="F472" s="3"/>
      <c r="G472" s="3"/>
      <c r="H472" s="3"/>
      <c r="I472" s="3"/>
    </row>
    <row r="473" ht="15.75" customHeight="1">
      <c r="A473" s="3" t="s">
        <v>562</v>
      </c>
      <c r="B473" s="4" t="s">
        <v>489</v>
      </c>
      <c r="C473" s="4"/>
      <c r="D473" s="4"/>
      <c r="E473" s="3" t="s">
        <v>182</v>
      </c>
      <c r="F473" s="3"/>
      <c r="G473" s="3"/>
      <c r="H473" s="3"/>
      <c r="I473" s="3"/>
    </row>
    <row r="474" ht="15.75" customHeight="1">
      <c r="A474" s="3" t="s">
        <v>563</v>
      </c>
      <c r="B474" s="4" t="s">
        <v>489</v>
      </c>
      <c r="C474" s="4"/>
      <c r="D474" s="4"/>
      <c r="E474" s="3" t="s">
        <v>182</v>
      </c>
      <c r="F474" s="3"/>
      <c r="G474" s="3"/>
      <c r="H474" s="3"/>
      <c r="I474" s="3"/>
    </row>
    <row r="475" ht="15.75" customHeight="1">
      <c r="A475" s="3" t="s">
        <v>564</v>
      </c>
      <c r="B475" s="4" t="s">
        <v>489</v>
      </c>
      <c r="C475" s="4"/>
      <c r="D475" s="4"/>
      <c r="E475" s="3" t="s">
        <v>182</v>
      </c>
      <c r="F475" s="3"/>
      <c r="G475" s="3"/>
      <c r="H475" s="3"/>
      <c r="I475" s="3"/>
    </row>
    <row r="476" ht="15.75" customHeight="1">
      <c r="A476" s="3" t="s">
        <v>565</v>
      </c>
      <c r="B476" s="4" t="s">
        <v>489</v>
      </c>
      <c r="C476" s="4"/>
      <c r="D476" s="4"/>
      <c r="E476" s="3" t="s">
        <v>182</v>
      </c>
      <c r="F476" s="3"/>
      <c r="G476" s="3"/>
      <c r="H476" s="3"/>
      <c r="I476" s="3"/>
    </row>
    <row r="477" ht="15.75" customHeight="1">
      <c r="A477" s="1" t="s">
        <v>566</v>
      </c>
      <c r="B477" s="4" t="s">
        <v>489</v>
      </c>
      <c r="C477" s="4"/>
      <c r="D477" s="4"/>
      <c r="E477" s="3" t="s">
        <v>105</v>
      </c>
      <c r="F477" s="3"/>
      <c r="G477" s="3"/>
      <c r="H477" s="3"/>
      <c r="I477" s="3"/>
    </row>
    <row r="478" ht="15.75" customHeight="1">
      <c r="A478" s="3" t="s">
        <v>567</v>
      </c>
      <c r="B478" s="4" t="s">
        <v>489</v>
      </c>
      <c r="C478" s="4"/>
      <c r="D478" s="4"/>
      <c r="E478" s="3" t="s">
        <v>40</v>
      </c>
      <c r="F478" s="3"/>
      <c r="G478" s="3"/>
      <c r="H478" s="3"/>
      <c r="I478" s="3"/>
    </row>
    <row r="479" ht="15.75" customHeight="1">
      <c r="A479" s="3" t="s">
        <v>568</v>
      </c>
      <c r="B479" s="4" t="s">
        <v>489</v>
      </c>
      <c r="C479" s="4"/>
      <c r="D479" s="4"/>
      <c r="E479" s="1" t="s">
        <v>13</v>
      </c>
      <c r="F479" s="3"/>
      <c r="G479" s="3"/>
      <c r="H479" s="3"/>
      <c r="I479" s="3"/>
    </row>
    <row r="480" ht="15.75" customHeight="1">
      <c r="A480" s="3" t="s">
        <v>569</v>
      </c>
      <c r="B480" s="4" t="s">
        <v>489</v>
      </c>
      <c r="C480" s="4"/>
      <c r="D480" s="4"/>
      <c r="E480" s="3" t="s">
        <v>13</v>
      </c>
      <c r="F480" s="3"/>
      <c r="G480" s="3"/>
      <c r="H480" s="3"/>
      <c r="I480" s="3"/>
    </row>
    <row r="481" ht="15.75" customHeight="1">
      <c r="A481" s="3" t="s">
        <v>570</v>
      </c>
      <c r="B481" s="4" t="s">
        <v>489</v>
      </c>
      <c r="C481" s="4"/>
      <c r="D481" s="4"/>
      <c r="E481" s="3" t="s">
        <v>13</v>
      </c>
      <c r="F481" s="3"/>
      <c r="G481" s="3"/>
      <c r="H481" s="3"/>
      <c r="I481" s="3"/>
    </row>
    <row r="482" ht="15.75" customHeight="1">
      <c r="A482" s="3" t="s">
        <v>571</v>
      </c>
      <c r="B482" s="4" t="s">
        <v>489</v>
      </c>
      <c r="C482" s="4"/>
      <c r="D482" s="4"/>
      <c r="E482" s="3" t="s">
        <v>128</v>
      </c>
      <c r="F482" s="3"/>
      <c r="G482" s="3"/>
      <c r="H482" s="3"/>
      <c r="I482" s="3"/>
    </row>
    <row r="483" ht="15.75" customHeight="1">
      <c r="A483" s="3" t="s">
        <v>572</v>
      </c>
      <c r="B483" s="4" t="s">
        <v>489</v>
      </c>
      <c r="C483" s="4"/>
      <c r="D483" s="4"/>
      <c r="E483" s="3" t="s">
        <v>202</v>
      </c>
      <c r="F483" s="3"/>
      <c r="G483" s="3"/>
      <c r="H483" s="3"/>
      <c r="I483" s="3"/>
    </row>
    <row r="484" ht="15.75" customHeight="1">
      <c r="A484" s="3" t="s">
        <v>573</v>
      </c>
      <c r="B484" s="4" t="s">
        <v>489</v>
      </c>
      <c r="C484" s="4"/>
      <c r="D484" s="4"/>
      <c r="E484" s="3" t="s">
        <v>192</v>
      </c>
      <c r="F484" s="3"/>
      <c r="G484" s="3"/>
      <c r="H484" s="3"/>
      <c r="I484" s="3"/>
    </row>
    <row r="485" ht="15.75" customHeight="1">
      <c r="A485" s="3" t="s">
        <v>574</v>
      </c>
      <c r="B485" s="4" t="s">
        <v>489</v>
      </c>
      <c r="C485" s="4"/>
      <c r="D485" s="4"/>
      <c r="E485" s="3" t="s">
        <v>13</v>
      </c>
      <c r="F485" s="3"/>
      <c r="G485" s="3"/>
      <c r="H485" s="3"/>
      <c r="I485" s="3"/>
    </row>
    <row r="486" ht="15.75" customHeight="1">
      <c r="A486" s="1" t="s">
        <v>575</v>
      </c>
      <c r="B486" s="4" t="s">
        <v>489</v>
      </c>
      <c r="C486" s="4"/>
      <c r="D486" s="4"/>
      <c r="E486" s="3" t="s">
        <v>13</v>
      </c>
      <c r="F486" s="3"/>
      <c r="G486" s="3"/>
      <c r="H486" s="3"/>
      <c r="I486" s="3"/>
    </row>
    <row r="487" ht="15.75" customHeight="1">
      <c r="A487" s="3" t="s">
        <v>576</v>
      </c>
      <c r="B487" s="4" t="s">
        <v>489</v>
      </c>
      <c r="C487" s="4"/>
      <c r="D487" s="4"/>
      <c r="E487" s="3" t="s">
        <v>13</v>
      </c>
      <c r="F487" s="3"/>
      <c r="G487" s="3"/>
      <c r="H487" s="3"/>
      <c r="I487" s="3"/>
    </row>
    <row r="488" ht="15.75" customHeight="1">
      <c r="A488" s="3" t="s">
        <v>577</v>
      </c>
      <c r="B488" s="4" t="s">
        <v>489</v>
      </c>
      <c r="C488" s="4"/>
      <c r="D488" s="4"/>
      <c r="E488" s="3" t="s">
        <v>13</v>
      </c>
      <c r="F488" s="3"/>
      <c r="G488" s="3"/>
      <c r="H488" s="3"/>
      <c r="I488" s="3"/>
    </row>
    <row r="489" ht="15.75" customHeight="1">
      <c r="A489" s="3" t="s">
        <v>578</v>
      </c>
      <c r="B489" s="4" t="s">
        <v>489</v>
      </c>
      <c r="C489" s="4"/>
      <c r="D489" s="4"/>
      <c r="E489" s="3" t="s">
        <v>27</v>
      </c>
      <c r="F489" s="3"/>
      <c r="G489" s="3"/>
      <c r="H489" s="3"/>
      <c r="I489" s="3"/>
    </row>
    <row r="490" ht="15.75" customHeight="1">
      <c r="A490" s="3" t="s">
        <v>579</v>
      </c>
      <c r="B490" s="4" t="s">
        <v>489</v>
      </c>
      <c r="C490" s="4"/>
      <c r="D490" s="4"/>
      <c r="E490" s="3" t="s">
        <v>13</v>
      </c>
      <c r="F490" s="3"/>
      <c r="G490" s="3"/>
      <c r="H490" s="3"/>
      <c r="I490" s="3"/>
    </row>
    <row r="491" ht="15.75" customHeight="1">
      <c r="A491" s="3" t="s">
        <v>580</v>
      </c>
      <c r="B491" s="4" t="s">
        <v>489</v>
      </c>
      <c r="C491" s="4"/>
      <c r="D491" s="4"/>
      <c r="E491" s="3" t="s">
        <v>13</v>
      </c>
      <c r="F491" s="3"/>
      <c r="G491" s="3"/>
      <c r="H491" s="3"/>
      <c r="I491" s="3"/>
    </row>
    <row r="492" ht="15.75" customHeight="1">
      <c r="A492" s="3" t="s">
        <v>581</v>
      </c>
      <c r="B492" s="4" t="s">
        <v>489</v>
      </c>
      <c r="C492" s="4"/>
      <c r="D492" s="4"/>
      <c r="E492" s="3" t="s">
        <v>13</v>
      </c>
      <c r="F492" s="3"/>
      <c r="G492" s="3"/>
      <c r="H492" s="3"/>
      <c r="I492" s="3"/>
    </row>
    <row r="493" ht="15.75" customHeight="1">
      <c r="A493" s="3" t="s">
        <v>582</v>
      </c>
      <c r="B493" s="4" t="s">
        <v>489</v>
      </c>
      <c r="C493" s="4"/>
      <c r="D493" s="4"/>
      <c r="E493" s="3" t="s">
        <v>522</v>
      </c>
      <c r="F493" s="3"/>
      <c r="G493" s="3"/>
      <c r="H493" s="3"/>
      <c r="I493" s="3"/>
    </row>
    <row r="494" ht="15.75" customHeight="1">
      <c r="A494" s="3" t="s">
        <v>583</v>
      </c>
      <c r="B494" s="4" t="s">
        <v>489</v>
      </c>
      <c r="C494" s="4"/>
      <c r="D494" s="4"/>
      <c r="E494" s="3" t="s">
        <v>93</v>
      </c>
      <c r="F494" s="3"/>
      <c r="G494" s="3"/>
      <c r="H494" s="3"/>
      <c r="I494" s="3"/>
    </row>
    <row r="495" ht="15.75" customHeight="1">
      <c r="A495" s="3" t="s">
        <v>584</v>
      </c>
      <c r="B495" s="4" t="s">
        <v>489</v>
      </c>
      <c r="C495" s="4"/>
      <c r="D495" s="4"/>
      <c r="E495" s="3" t="s">
        <v>192</v>
      </c>
      <c r="F495" s="3"/>
      <c r="G495" s="3"/>
      <c r="H495" s="3"/>
      <c r="I495" s="3"/>
    </row>
    <row r="496" ht="15.75" customHeight="1">
      <c r="A496" s="3" t="s">
        <v>585</v>
      </c>
      <c r="B496" s="4" t="s">
        <v>489</v>
      </c>
      <c r="C496" s="4"/>
      <c r="D496" s="4"/>
      <c r="E496" s="3" t="s">
        <v>192</v>
      </c>
      <c r="F496" s="3"/>
      <c r="G496" s="3"/>
      <c r="H496" s="3"/>
      <c r="I496" s="3"/>
    </row>
    <row r="497" ht="15.75" customHeight="1">
      <c r="A497" s="3" t="s">
        <v>586</v>
      </c>
      <c r="B497" s="4" t="s">
        <v>489</v>
      </c>
      <c r="C497" s="4"/>
      <c r="D497" s="4"/>
      <c r="E497" s="3" t="s">
        <v>13</v>
      </c>
      <c r="F497" s="3"/>
      <c r="G497" s="3"/>
      <c r="H497" s="3"/>
      <c r="I497" s="3"/>
    </row>
    <row r="498" ht="15.75" customHeight="1">
      <c r="A498" s="1" t="s">
        <v>587</v>
      </c>
      <c r="B498" s="4" t="s">
        <v>489</v>
      </c>
      <c r="C498" s="4"/>
      <c r="D498" s="4"/>
      <c r="E498" s="3" t="s">
        <v>40</v>
      </c>
      <c r="F498" s="3"/>
      <c r="G498" s="3"/>
      <c r="H498" s="3"/>
      <c r="I498" s="3"/>
    </row>
    <row r="499" ht="15.75" customHeight="1">
      <c r="A499" s="1" t="s">
        <v>588</v>
      </c>
      <c r="B499" s="4" t="s">
        <v>489</v>
      </c>
      <c r="C499" s="4"/>
      <c r="D499" s="4"/>
      <c r="E499" s="3" t="s">
        <v>37</v>
      </c>
      <c r="F499" s="3"/>
      <c r="G499" s="3"/>
      <c r="H499" s="3"/>
      <c r="I499" s="3"/>
    </row>
    <row r="500" ht="15.75" customHeight="1">
      <c r="A500" s="3" t="s">
        <v>589</v>
      </c>
      <c r="B500" s="4" t="s">
        <v>489</v>
      </c>
      <c r="C500" s="4"/>
      <c r="D500" s="4"/>
      <c r="E500" s="3" t="s">
        <v>13</v>
      </c>
      <c r="F500" s="3"/>
      <c r="G500" s="3"/>
      <c r="H500" s="3"/>
      <c r="I500" s="3"/>
    </row>
    <row r="501" ht="15.75" customHeight="1">
      <c r="A501" s="3" t="s">
        <v>590</v>
      </c>
      <c r="B501" s="4" t="s">
        <v>489</v>
      </c>
      <c r="C501" s="4"/>
      <c r="D501" s="4"/>
      <c r="E501" s="3" t="s">
        <v>13</v>
      </c>
      <c r="F501" s="3"/>
      <c r="G501" s="3"/>
      <c r="H501" s="3"/>
      <c r="I501" s="3"/>
    </row>
    <row r="502" ht="15.75" customHeight="1">
      <c r="A502" s="3" t="s">
        <v>591</v>
      </c>
      <c r="B502" s="4" t="s">
        <v>489</v>
      </c>
      <c r="C502" s="4"/>
      <c r="D502" s="4"/>
      <c r="E502" s="3" t="s">
        <v>13</v>
      </c>
      <c r="F502" s="3"/>
      <c r="G502" s="3"/>
      <c r="H502" s="3"/>
      <c r="I502" s="3"/>
    </row>
    <row r="503" ht="15.75" customHeight="1">
      <c r="A503" s="3" t="s">
        <v>592</v>
      </c>
      <c r="B503" s="4" t="s">
        <v>489</v>
      </c>
      <c r="C503" s="4"/>
      <c r="D503" s="4"/>
      <c r="E503" s="3" t="s">
        <v>13</v>
      </c>
      <c r="F503" s="3"/>
      <c r="G503" s="3"/>
      <c r="H503" s="3"/>
      <c r="I503" s="3"/>
    </row>
    <row r="504" ht="15.75" customHeight="1">
      <c r="A504" s="3" t="s">
        <v>593</v>
      </c>
      <c r="B504" s="4" t="s">
        <v>489</v>
      </c>
      <c r="C504" s="4"/>
      <c r="D504" s="4"/>
      <c r="E504" s="3" t="s">
        <v>13</v>
      </c>
      <c r="F504" s="3"/>
      <c r="G504" s="3"/>
      <c r="H504" s="3"/>
      <c r="I504" s="3"/>
    </row>
    <row r="505" ht="15.75" customHeight="1">
      <c r="A505" s="1" t="s">
        <v>594</v>
      </c>
      <c r="B505" s="4" t="s">
        <v>489</v>
      </c>
      <c r="C505" s="4"/>
      <c r="D505" s="4"/>
      <c r="E505" s="3" t="s">
        <v>111</v>
      </c>
      <c r="F505" s="3"/>
      <c r="G505" s="3"/>
      <c r="H505" s="3"/>
      <c r="I505" s="3"/>
    </row>
    <row r="506" ht="15.75" customHeight="1">
      <c r="A506" s="1" t="s">
        <v>595</v>
      </c>
      <c r="B506" s="4" t="s">
        <v>489</v>
      </c>
      <c r="C506" s="4"/>
      <c r="D506" s="4"/>
      <c r="E506" s="3" t="s">
        <v>13</v>
      </c>
      <c r="F506" s="3"/>
      <c r="G506" s="3"/>
      <c r="H506" s="3"/>
      <c r="I506" s="3"/>
    </row>
    <row r="507" ht="15.75" customHeight="1">
      <c r="A507" s="1" t="s">
        <v>596</v>
      </c>
      <c r="B507" s="4" t="s">
        <v>489</v>
      </c>
      <c r="C507" s="4"/>
      <c r="D507" s="4"/>
      <c r="E507" s="3" t="s">
        <v>13</v>
      </c>
      <c r="F507" s="3"/>
      <c r="G507" s="3"/>
      <c r="H507" s="3"/>
      <c r="I507" s="3"/>
    </row>
    <row r="508" ht="15.75" customHeight="1">
      <c r="A508" s="1" t="s">
        <v>597</v>
      </c>
      <c r="B508" s="4" t="s">
        <v>489</v>
      </c>
      <c r="C508" s="4"/>
      <c r="D508" s="4"/>
      <c r="E508" s="1" t="s">
        <v>13</v>
      </c>
      <c r="F508" s="3"/>
      <c r="G508" s="3"/>
      <c r="H508" s="3"/>
      <c r="I508" s="3"/>
    </row>
    <row r="509" ht="15.75" customHeight="1">
      <c r="A509" s="1" t="s">
        <v>598</v>
      </c>
      <c r="B509" s="4" t="s">
        <v>489</v>
      </c>
      <c r="C509" s="4"/>
      <c r="D509" s="4"/>
      <c r="E509" s="3" t="s">
        <v>13</v>
      </c>
      <c r="F509" s="3"/>
      <c r="G509" s="3"/>
      <c r="H509" s="3"/>
      <c r="I509" s="3"/>
    </row>
    <row r="510" ht="15.75" customHeight="1">
      <c r="A510" s="1" t="s">
        <v>599</v>
      </c>
      <c r="B510" s="4" t="s">
        <v>489</v>
      </c>
      <c r="C510" s="4"/>
      <c r="D510" s="4"/>
      <c r="E510" s="3" t="s">
        <v>13</v>
      </c>
      <c r="F510" s="3"/>
      <c r="G510" s="3"/>
      <c r="H510" s="3"/>
      <c r="I510" s="3"/>
    </row>
    <row r="511" ht="15.75" customHeight="1">
      <c r="A511" s="1" t="s">
        <v>600</v>
      </c>
      <c r="B511" s="4" t="s">
        <v>489</v>
      </c>
      <c r="C511" s="4"/>
      <c r="D511" s="4"/>
      <c r="E511" s="3" t="s">
        <v>13</v>
      </c>
      <c r="F511" s="3"/>
      <c r="G511" s="3"/>
      <c r="H511" s="3"/>
      <c r="I511" s="3"/>
    </row>
    <row r="512" ht="15.75" customHeight="1">
      <c r="A512" s="3" t="s">
        <v>601</v>
      </c>
      <c r="B512" s="4" t="s">
        <v>489</v>
      </c>
      <c r="C512" s="4"/>
      <c r="D512" s="4"/>
      <c r="E512" s="3" t="s">
        <v>123</v>
      </c>
      <c r="F512" s="3"/>
      <c r="G512" s="3"/>
      <c r="H512" s="3"/>
      <c r="I512" s="3"/>
    </row>
    <row r="513" ht="15.75" customHeight="1">
      <c r="A513" s="3" t="s">
        <v>602</v>
      </c>
      <c r="B513" s="4" t="s">
        <v>489</v>
      </c>
      <c r="C513" s="4"/>
      <c r="D513" s="4"/>
      <c r="E513" s="3" t="s">
        <v>76</v>
      </c>
      <c r="F513" s="3"/>
      <c r="G513" s="3"/>
      <c r="H513" s="3"/>
      <c r="I513" s="3"/>
    </row>
    <row r="514" ht="15.75" customHeight="1">
      <c r="A514" s="3" t="s">
        <v>603</v>
      </c>
      <c r="B514" s="4" t="s">
        <v>489</v>
      </c>
      <c r="C514" s="4"/>
      <c r="D514" s="4"/>
      <c r="E514" s="3" t="s">
        <v>105</v>
      </c>
      <c r="F514" s="3"/>
      <c r="G514" s="3"/>
      <c r="H514" s="3"/>
      <c r="I514" s="3"/>
    </row>
    <row r="515" ht="15.75" customHeight="1">
      <c r="A515" s="3" t="s">
        <v>604</v>
      </c>
      <c r="B515" s="4" t="s">
        <v>489</v>
      </c>
      <c r="C515" s="4"/>
      <c r="D515" s="4"/>
      <c r="E515" s="3" t="s">
        <v>123</v>
      </c>
      <c r="F515" s="3"/>
      <c r="G515" s="3"/>
      <c r="H515" s="3"/>
      <c r="I515" s="3"/>
    </row>
    <row r="516" ht="15.75" customHeight="1">
      <c r="A516" s="3" t="s">
        <v>605</v>
      </c>
      <c r="B516" s="4" t="s">
        <v>489</v>
      </c>
      <c r="C516" s="4"/>
      <c r="D516" s="4"/>
      <c r="E516" s="3" t="s">
        <v>251</v>
      </c>
      <c r="F516" s="3"/>
      <c r="G516" s="3"/>
      <c r="H516" s="3"/>
      <c r="I516" s="3"/>
    </row>
    <row r="517" ht="15.75" customHeight="1">
      <c r="A517" s="1" t="s">
        <v>606</v>
      </c>
      <c r="B517" s="4" t="s">
        <v>489</v>
      </c>
      <c r="C517" s="4"/>
      <c r="D517" s="4"/>
      <c r="E517" s="3" t="s">
        <v>13</v>
      </c>
      <c r="F517" s="3"/>
      <c r="G517" s="3"/>
      <c r="H517" s="3"/>
      <c r="I517" s="3"/>
    </row>
    <row r="518" ht="15.75" customHeight="1">
      <c r="A518" s="1" t="s">
        <v>607</v>
      </c>
      <c r="B518" s="4" t="s">
        <v>489</v>
      </c>
      <c r="C518" s="4"/>
      <c r="D518" s="4"/>
      <c r="E518" s="3" t="s">
        <v>13</v>
      </c>
      <c r="F518" s="3"/>
      <c r="G518" s="3"/>
      <c r="H518" s="3"/>
      <c r="I518" s="3"/>
    </row>
    <row r="519" ht="15.75" customHeight="1">
      <c r="A519" s="1" t="s">
        <v>608</v>
      </c>
      <c r="B519" s="4" t="s">
        <v>489</v>
      </c>
      <c r="C519" s="4"/>
      <c r="D519" s="4"/>
      <c r="E519" s="3" t="s">
        <v>182</v>
      </c>
      <c r="F519" s="3"/>
      <c r="G519" s="3"/>
      <c r="H519" s="3"/>
      <c r="I519" s="3"/>
    </row>
    <row r="520" ht="15.75" customHeight="1">
      <c r="A520" s="1" t="s">
        <v>609</v>
      </c>
      <c r="B520" s="4" t="s">
        <v>489</v>
      </c>
      <c r="C520" s="4"/>
      <c r="D520" s="4"/>
      <c r="E520" s="3" t="s">
        <v>13</v>
      </c>
      <c r="F520" s="3"/>
      <c r="G520" s="3"/>
      <c r="H520" s="3"/>
      <c r="I520" s="3"/>
    </row>
    <row r="521" ht="15.75" customHeight="1">
      <c r="A521" s="1" t="s">
        <v>610</v>
      </c>
      <c r="B521" s="4" t="s">
        <v>489</v>
      </c>
      <c r="C521" s="4"/>
      <c r="D521" s="4"/>
      <c r="E521" s="3" t="s">
        <v>13</v>
      </c>
      <c r="F521" s="3"/>
      <c r="G521" s="3"/>
      <c r="H521" s="3"/>
      <c r="I521" s="3"/>
    </row>
    <row r="522" ht="15.75" customHeight="1">
      <c r="A522" s="3" t="s">
        <v>611</v>
      </c>
      <c r="B522" s="4" t="s">
        <v>489</v>
      </c>
      <c r="C522" s="4"/>
      <c r="D522" s="4"/>
      <c r="E522" s="1" t="s">
        <v>612</v>
      </c>
      <c r="F522" s="3"/>
      <c r="G522" s="3"/>
      <c r="H522" s="3"/>
      <c r="I522" s="3"/>
    </row>
    <row r="523" ht="15.75" customHeight="1">
      <c r="A523" s="3" t="s">
        <v>613</v>
      </c>
      <c r="B523" s="4" t="s">
        <v>489</v>
      </c>
      <c r="C523" s="4"/>
      <c r="D523" s="4"/>
      <c r="E523" s="3" t="s">
        <v>128</v>
      </c>
      <c r="F523" s="3"/>
      <c r="G523" s="3"/>
      <c r="H523" s="3"/>
      <c r="I523" s="3"/>
    </row>
    <row r="524" ht="15.75" customHeight="1">
      <c r="A524" s="3" t="s">
        <v>614</v>
      </c>
      <c r="B524" s="4" t="s">
        <v>489</v>
      </c>
      <c r="C524" s="4"/>
      <c r="D524" s="4"/>
      <c r="E524" s="3" t="s">
        <v>13</v>
      </c>
      <c r="F524" s="3"/>
      <c r="G524" s="3"/>
      <c r="H524" s="3"/>
      <c r="I524" s="3"/>
    </row>
    <row r="525" ht="15.75" customHeight="1">
      <c r="A525" s="1" t="s">
        <v>615</v>
      </c>
      <c r="B525" s="4" t="s">
        <v>489</v>
      </c>
      <c r="C525" s="4"/>
      <c r="D525" s="4"/>
      <c r="E525" s="3" t="s">
        <v>182</v>
      </c>
      <c r="F525" s="3"/>
      <c r="G525" s="3"/>
      <c r="H525" s="3"/>
      <c r="I525" s="3"/>
    </row>
    <row r="526" ht="15.75" customHeight="1">
      <c r="A526" s="3" t="s">
        <v>616</v>
      </c>
      <c r="B526" s="4" t="s">
        <v>489</v>
      </c>
      <c r="C526" s="4"/>
      <c r="D526" s="4"/>
      <c r="E526" s="3" t="s">
        <v>125</v>
      </c>
      <c r="F526" s="3"/>
      <c r="G526" s="3"/>
      <c r="H526" s="3"/>
      <c r="I526" s="3"/>
    </row>
    <row r="527" ht="15.75" customHeight="1">
      <c r="A527" s="3" t="s">
        <v>617</v>
      </c>
      <c r="B527" s="4" t="s">
        <v>489</v>
      </c>
      <c r="C527" s="4"/>
      <c r="D527" s="4"/>
      <c r="E527" s="3" t="s">
        <v>241</v>
      </c>
      <c r="F527" s="3"/>
      <c r="G527" s="3"/>
      <c r="H527" s="3"/>
      <c r="I527" s="3"/>
    </row>
    <row r="528" ht="15.75" customHeight="1">
      <c r="A528" s="3" t="s">
        <v>618</v>
      </c>
      <c r="B528" s="4" t="s">
        <v>489</v>
      </c>
      <c r="C528" s="4"/>
      <c r="D528" s="4"/>
      <c r="E528" s="3" t="s">
        <v>13</v>
      </c>
      <c r="F528" s="3"/>
      <c r="G528" s="3"/>
      <c r="H528" s="3"/>
      <c r="I528" s="3"/>
    </row>
    <row r="529" ht="15.75" customHeight="1">
      <c r="A529" s="3" t="s">
        <v>619</v>
      </c>
      <c r="B529" s="4" t="s">
        <v>489</v>
      </c>
      <c r="C529" s="4"/>
      <c r="D529" s="4"/>
      <c r="E529" s="3" t="s">
        <v>62</v>
      </c>
      <c r="F529" s="3"/>
      <c r="G529" s="3"/>
      <c r="H529" s="3"/>
      <c r="I529" s="3"/>
    </row>
    <row r="530" ht="15.75" customHeight="1">
      <c r="A530" s="3" t="s">
        <v>620</v>
      </c>
      <c r="B530" s="4" t="s">
        <v>489</v>
      </c>
      <c r="C530" s="4"/>
      <c r="D530" s="4"/>
      <c r="E530" s="3" t="s">
        <v>125</v>
      </c>
      <c r="F530" s="3"/>
      <c r="G530" s="3"/>
      <c r="H530" s="3"/>
      <c r="I530" s="3"/>
    </row>
    <row r="531" ht="15.75" customHeight="1">
      <c r="A531" s="3" t="s">
        <v>621</v>
      </c>
      <c r="B531" s="4" t="s">
        <v>489</v>
      </c>
      <c r="C531" s="4"/>
      <c r="D531" s="4"/>
      <c r="E531" s="3" t="s">
        <v>13</v>
      </c>
      <c r="F531" s="3"/>
      <c r="G531" s="3"/>
      <c r="H531" s="3"/>
      <c r="I531" s="3"/>
    </row>
    <row r="532" ht="15.75" customHeight="1">
      <c r="A532" s="3" t="s">
        <v>622</v>
      </c>
      <c r="B532" s="4" t="s">
        <v>489</v>
      </c>
      <c r="C532" s="4"/>
      <c r="D532" s="4"/>
      <c r="E532" s="3" t="s">
        <v>13</v>
      </c>
      <c r="F532" s="3"/>
      <c r="G532" s="3"/>
      <c r="H532" s="3"/>
      <c r="I532" s="3"/>
    </row>
    <row r="533" ht="15.75" customHeight="1">
      <c r="A533" s="3" t="s">
        <v>623</v>
      </c>
      <c r="B533" s="4" t="s">
        <v>624</v>
      </c>
      <c r="C533" s="4"/>
      <c r="D533" s="4"/>
      <c r="E533" s="1" t="s">
        <v>34</v>
      </c>
      <c r="F533" s="3"/>
      <c r="G533" s="3"/>
      <c r="H533" s="3"/>
      <c r="I533" s="3"/>
    </row>
    <row r="534" ht="15.75" customHeight="1">
      <c r="A534" s="1" t="s">
        <v>625</v>
      </c>
      <c r="B534" s="4" t="s">
        <v>626</v>
      </c>
      <c r="C534" s="4"/>
      <c r="D534" s="4"/>
      <c r="E534" s="1" t="s">
        <v>13</v>
      </c>
      <c r="F534" s="3"/>
      <c r="G534" s="3"/>
      <c r="H534" s="3"/>
      <c r="I534" s="3"/>
    </row>
    <row r="535" ht="15.75" customHeight="1">
      <c r="A535" s="3" t="s">
        <v>627</v>
      </c>
      <c r="B535" s="4" t="s">
        <v>628</v>
      </c>
      <c r="C535" s="4"/>
      <c r="D535" s="4"/>
      <c r="E535" s="3" t="s">
        <v>320</v>
      </c>
      <c r="F535" s="3"/>
      <c r="G535" s="3"/>
      <c r="H535" s="3"/>
      <c r="I535" s="3"/>
    </row>
    <row r="536" ht="15.75" customHeight="1">
      <c r="A536" s="3" t="s">
        <v>629</v>
      </c>
      <c r="B536" s="4" t="s">
        <v>626</v>
      </c>
      <c r="C536" s="4"/>
      <c r="D536" s="4"/>
      <c r="E536" s="1" t="s">
        <v>13</v>
      </c>
      <c r="F536" s="3"/>
      <c r="G536" s="3"/>
      <c r="H536" s="3"/>
      <c r="I536" s="3"/>
    </row>
    <row r="537" ht="15.75" customHeight="1">
      <c r="A537" s="3" t="s">
        <v>630</v>
      </c>
      <c r="B537" s="4" t="s">
        <v>626</v>
      </c>
      <c r="C537" s="4"/>
      <c r="D537" s="4"/>
      <c r="E537" s="3" t="s">
        <v>93</v>
      </c>
      <c r="F537" s="3"/>
      <c r="G537" s="3"/>
      <c r="H537" s="3"/>
      <c r="I537" s="3"/>
    </row>
    <row r="538" ht="15.75" customHeight="1">
      <c r="A538" s="1" t="s">
        <v>631</v>
      </c>
      <c r="B538" s="4" t="s">
        <v>632</v>
      </c>
      <c r="C538" s="4"/>
      <c r="D538" s="4"/>
      <c r="E538" s="1" t="s">
        <v>192</v>
      </c>
      <c r="F538" s="3"/>
      <c r="G538" s="3"/>
      <c r="H538" s="3"/>
      <c r="I538" s="3"/>
    </row>
    <row r="539" ht="15.75" customHeight="1">
      <c r="A539" s="3" t="s">
        <v>633</v>
      </c>
      <c r="B539" s="4" t="s">
        <v>632</v>
      </c>
      <c r="C539" s="4"/>
      <c r="D539" s="4"/>
      <c r="E539" s="1" t="s">
        <v>634</v>
      </c>
      <c r="F539" s="3"/>
      <c r="G539" s="3"/>
      <c r="H539" s="3"/>
      <c r="I539" s="3"/>
    </row>
    <row r="540" ht="15.75" customHeight="1">
      <c r="A540" s="3" t="s">
        <v>635</v>
      </c>
      <c r="B540" s="4" t="s">
        <v>632</v>
      </c>
      <c r="C540" s="4"/>
      <c r="D540" s="4"/>
      <c r="E540" s="1" t="s">
        <v>111</v>
      </c>
      <c r="F540" s="3"/>
      <c r="G540" s="3"/>
      <c r="H540" s="3"/>
      <c r="I540" s="3"/>
    </row>
    <row r="541" ht="15.75" customHeight="1">
      <c r="A541" s="3" t="s">
        <v>636</v>
      </c>
      <c r="B541" s="4" t="s">
        <v>637</v>
      </c>
      <c r="C541" s="4"/>
      <c r="D541" s="4"/>
      <c r="E541" s="3" t="s">
        <v>13</v>
      </c>
      <c r="F541" s="3"/>
      <c r="G541" s="3"/>
      <c r="H541" s="3"/>
      <c r="I541" s="3"/>
    </row>
    <row r="542" ht="15.75" customHeight="1">
      <c r="A542" s="3" t="s">
        <v>638</v>
      </c>
      <c r="B542" s="4" t="s">
        <v>637</v>
      </c>
      <c r="C542" s="4"/>
      <c r="D542" s="4"/>
      <c r="E542" s="1" t="s">
        <v>34</v>
      </c>
      <c r="F542" s="3"/>
      <c r="G542" s="3"/>
      <c r="H542" s="3"/>
      <c r="I542" s="3"/>
    </row>
    <row r="543" ht="15.75" customHeight="1">
      <c r="A543" s="1" t="s">
        <v>639</v>
      </c>
      <c r="B543" s="4" t="s">
        <v>637</v>
      </c>
      <c r="C543" s="4"/>
      <c r="D543" s="4"/>
      <c r="E543" s="1" t="s">
        <v>13</v>
      </c>
      <c r="F543" s="3"/>
      <c r="G543" s="3"/>
      <c r="H543" s="3"/>
      <c r="I543" s="3"/>
    </row>
    <row r="544" ht="15.75" customHeight="1">
      <c r="A544" s="3" t="s">
        <v>640</v>
      </c>
      <c r="B544" s="4" t="s">
        <v>637</v>
      </c>
      <c r="C544" s="4"/>
      <c r="D544" s="4"/>
      <c r="E544" s="1" t="s">
        <v>13</v>
      </c>
      <c r="F544" s="3"/>
      <c r="G544" s="3"/>
      <c r="H544" s="3"/>
      <c r="I544" s="3"/>
    </row>
    <row r="545" ht="15.75" customHeight="1">
      <c r="A545" s="3" t="s">
        <v>641</v>
      </c>
      <c r="B545" s="4" t="s">
        <v>637</v>
      </c>
      <c r="C545" s="4"/>
      <c r="D545" s="4"/>
      <c r="E545" s="1" t="s">
        <v>34</v>
      </c>
      <c r="F545" s="3"/>
      <c r="G545" s="3"/>
      <c r="H545" s="3"/>
      <c r="I545" s="3"/>
    </row>
    <row r="546" ht="15.75" customHeight="1">
      <c r="A546" s="3" t="s">
        <v>642</v>
      </c>
      <c r="B546" s="4" t="s">
        <v>637</v>
      </c>
      <c r="C546" s="4"/>
      <c r="D546" s="4"/>
      <c r="E546" s="1" t="s">
        <v>13</v>
      </c>
      <c r="F546" s="3"/>
      <c r="G546" s="3"/>
      <c r="H546" s="3"/>
      <c r="I546" s="3"/>
    </row>
    <row r="547" ht="15.75" customHeight="1">
      <c r="A547" s="1" t="s">
        <v>643</v>
      </c>
      <c r="B547" s="4" t="s">
        <v>637</v>
      </c>
      <c r="C547" s="4"/>
      <c r="D547" s="4"/>
      <c r="E547" s="3" t="s">
        <v>13</v>
      </c>
      <c r="F547" s="3"/>
      <c r="G547" s="3"/>
      <c r="H547" s="3"/>
      <c r="I547" s="3"/>
    </row>
    <row r="548" ht="15.75" customHeight="1">
      <c r="A548" s="1" t="s">
        <v>644</v>
      </c>
      <c r="B548" s="4" t="s">
        <v>637</v>
      </c>
      <c r="C548" s="4"/>
      <c r="D548" s="4"/>
      <c r="E548" s="3" t="s">
        <v>34</v>
      </c>
      <c r="F548" s="3"/>
      <c r="G548" s="3"/>
      <c r="H548" s="3"/>
      <c r="I548" s="3"/>
    </row>
    <row r="549" ht="15.75" customHeight="1">
      <c r="A549" s="3" t="s">
        <v>645</v>
      </c>
      <c r="B549" s="4" t="s">
        <v>637</v>
      </c>
      <c r="C549" s="4"/>
      <c r="D549" s="4"/>
      <c r="E549" s="3" t="s">
        <v>62</v>
      </c>
      <c r="F549" s="3"/>
      <c r="G549" s="3"/>
      <c r="H549" s="3"/>
      <c r="I549" s="3"/>
    </row>
    <row r="550" ht="15.75" customHeight="1">
      <c r="A550" s="3" t="s">
        <v>646</v>
      </c>
      <c r="B550" s="4" t="s">
        <v>637</v>
      </c>
      <c r="C550" s="4"/>
      <c r="D550" s="4"/>
      <c r="E550" s="3" t="s">
        <v>48</v>
      </c>
      <c r="F550" s="3"/>
      <c r="G550" s="3"/>
      <c r="H550" s="3"/>
      <c r="I550" s="3"/>
    </row>
    <row r="551" ht="15.75" customHeight="1">
      <c r="A551" s="3" t="s">
        <v>647</v>
      </c>
      <c r="B551" s="4" t="s">
        <v>648</v>
      </c>
      <c r="C551" s="4"/>
      <c r="D551" s="4"/>
      <c r="E551" s="1" t="s">
        <v>34</v>
      </c>
      <c r="F551" s="3"/>
      <c r="G551" s="3"/>
      <c r="H551" s="3"/>
      <c r="I551" s="3"/>
    </row>
    <row r="552" ht="15.75" customHeight="1">
      <c r="A552" s="3" t="s">
        <v>649</v>
      </c>
      <c r="B552" s="4" t="s">
        <v>648</v>
      </c>
      <c r="C552" s="4"/>
      <c r="D552" s="4"/>
      <c r="E552" s="1" t="s">
        <v>13</v>
      </c>
      <c r="F552" s="3"/>
      <c r="G552" s="3"/>
      <c r="H552" s="3"/>
      <c r="I552" s="3"/>
    </row>
    <row r="553" ht="15.75" customHeight="1">
      <c r="A553" s="3" t="s">
        <v>650</v>
      </c>
      <c r="B553" s="4" t="s">
        <v>648</v>
      </c>
      <c r="C553" s="4"/>
      <c r="D553" s="4"/>
      <c r="E553" s="1" t="s">
        <v>13</v>
      </c>
      <c r="F553" s="3"/>
      <c r="G553" s="3"/>
      <c r="H553" s="3"/>
      <c r="I553" s="3"/>
    </row>
    <row r="554" ht="15.75" customHeight="1">
      <c r="A554" s="3" t="s">
        <v>651</v>
      </c>
      <c r="B554" s="4" t="s">
        <v>648</v>
      </c>
      <c r="C554" s="4"/>
      <c r="D554" s="4"/>
      <c r="E554" s="1" t="s">
        <v>13</v>
      </c>
      <c r="F554" s="3"/>
      <c r="G554" s="3"/>
      <c r="H554" s="3"/>
      <c r="I554" s="3"/>
    </row>
    <row r="555" ht="15.75" customHeight="1">
      <c r="A555" s="1" t="s">
        <v>652</v>
      </c>
      <c r="B555" s="4" t="s">
        <v>653</v>
      </c>
      <c r="C555" s="4"/>
      <c r="D555" s="4"/>
      <c r="E555" s="3" t="s">
        <v>654</v>
      </c>
      <c r="F555" s="3"/>
      <c r="G555" s="3"/>
      <c r="H555" s="3"/>
      <c r="I555" s="3"/>
    </row>
    <row r="556" ht="15.75" customHeight="1">
      <c r="A556" s="3" t="s">
        <v>655</v>
      </c>
      <c r="B556" s="4" t="s">
        <v>656</v>
      </c>
      <c r="C556" s="4"/>
      <c r="D556" s="4"/>
      <c r="E556" s="3" t="s">
        <v>300</v>
      </c>
      <c r="F556" s="3"/>
      <c r="G556" s="3"/>
      <c r="H556" s="3"/>
      <c r="I556" s="3"/>
    </row>
    <row r="557" ht="15.75" customHeight="1">
      <c r="A557" s="3" t="s">
        <v>657</v>
      </c>
      <c r="B557" s="4" t="s">
        <v>658</v>
      </c>
      <c r="C557" s="4"/>
      <c r="D557" s="4"/>
      <c r="E557" s="1" t="s">
        <v>552</v>
      </c>
      <c r="F557" s="3"/>
      <c r="G557" s="3"/>
      <c r="H557" s="3"/>
      <c r="I557" s="3"/>
    </row>
    <row r="558" ht="15.75" customHeight="1">
      <c r="A558" s="3" t="s">
        <v>659</v>
      </c>
      <c r="B558" s="4" t="s">
        <v>658</v>
      </c>
      <c r="C558" s="4"/>
      <c r="D558" s="4"/>
      <c r="E558" s="1" t="s">
        <v>552</v>
      </c>
      <c r="F558" s="3"/>
      <c r="G558" s="3"/>
      <c r="H558" s="3"/>
      <c r="I558" s="3"/>
    </row>
    <row r="559" ht="15.75" customHeight="1">
      <c r="A559" s="3" t="s">
        <v>660</v>
      </c>
      <c r="B559" s="4" t="s">
        <v>658</v>
      </c>
      <c r="C559" s="4"/>
      <c r="D559" s="4"/>
      <c r="E559" s="1" t="s">
        <v>13</v>
      </c>
      <c r="F559" s="3"/>
      <c r="G559" s="3"/>
      <c r="H559" s="3"/>
      <c r="I559" s="3"/>
    </row>
    <row r="560" ht="15.75" customHeight="1">
      <c r="A560" s="1" t="s">
        <v>661</v>
      </c>
      <c r="B560" s="4" t="s">
        <v>658</v>
      </c>
      <c r="C560" s="4"/>
      <c r="D560" s="4"/>
      <c r="E560" s="1" t="s">
        <v>13</v>
      </c>
      <c r="F560" s="3"/>
      <c r="G560" s="3"/>
      <c r="H560" s="3"/>
      <c r="I560" s="3"/>
    </row>
    <row r="561" ht="15.75" customHeight="1">
      <c r="A561" s="3" t="s">
        <v>662</v>
      </c>
      <c r="B561" s="4" t="s">
        <v>658</v>
      </c>
      <c r="C561" s="4"/>
      <c r="D561" s="4"/>
      <c r="E561" s="1" t="s">
        <v>300</v>
      </c>
      <c r="F561" s="3"/>
      <c r="G561" s="3"/>
      <c r="H561" s="3"/>
      <c r="I561" s="3"/>
    </row>
    <row r="562" ht="15.75" customHeight="1">
      <c r="A562" s="1" t="s">
        <v>663</v>
      </c>
      <c r="B562" s="4" t="s">
        <v>658</v>
      </c>
      <c r="C562" s="4"/>
      <c r="D562" s="4"/>
      <c r="E562" s="1" t="s">
        <v>80</v>
      </c>
      <c r="F562" s="3"/>
      <c r="G562" s="3"/>
      <c r="H562" s="3"/>
      <c r="I562" s="3"/>
    </row>
    <row r="563" ht="15.75" customHeight="1">
      <c r="A563" s="3" t="s">
        <v>664</v>
      </c>
      <c r="B563" s="4" t="s">
        <v>658</v>
      </c>
      <c r="C563" s="4"/>
      <c r="D563" s="4"/>
      <c r="E563" s="1" t="s">
        <v>634</v>
      </c>
      <c r="F563" s="3"/>
      <c r="G563" s="3"/>
      <c r="H563" s="3"/>
      <c r="I563" s="3"/>
    </row>
    <row r="564" ht="15.75" customHeight="1">
      <c r="A564" s="3" t="s">
        <v>665</v>
      </c>
      <c r="B564" s="4" t="s">
        <v>658</v>
      </c>
      <c r="C564" s="4"/>
      <c r="D564" s="4"/>
      <c r="E564" s="1" t="s">
        <v>634</v>
      </c>
      <c r="F564" s="3"/>
      <c r="G564" s="3"/>
      <c r="H564" s="3"/>
      <c r="I564" s="3"/>
    </row>
    <row r="565" ht="15.75" customHeight="1">
      <c r="A565" s="3" t="s">
        <v>666</v>
      </c>
      <c r="B565" s="4" t="s">
        <v>658</v>
      </c>
      <c r="C565" s="4"/>
      <c r="D565" s="4"/>
      <c r="E565" s="1" t="s">
        <v>34</v>
      </c>
      <c r="F565" s="3"/>
      <c r="G565" s="3"/>
      <c r="H565" s="3"/>
      <c r="I565" s="3"/>
    </row>
    <row r="566" ht="15.75" customHeight="1">
      <c r="A566" s="3" t="s">
        <v>667</v>
      </c>
      <c r="B566" s="4" t="s">
        <v>658</v>
      </c>
      <c r="C566" s="4"/>
      <c r="D566" s="4"/>
      <c r="E566" s="1" t="s">
        <v>34</v>
      </c>
      <c r="F566" s="3"/>
      <c r="G566" s="3"/>
      <c r="H566" s="3"/>
      <c r="I566" s="3"/>
    </row>
    <row r="567" ht="15.75" customHeight="1">
      <c r="A567" s="3" t="s">
        <v>668</v>
      </c>
      <c r="B567" s="4" t="s">
        <v>658</v>
      </c>
      <c r="C567" s="4"/>
      <c r="D567" s="4"/>
      <c r="E567" s="1" t="s">
        <v>13</v>
      </c>
      <c r="F567" s="3"/>
      <c r="G567" s="3"/>
      <c r="H567" s="3"/>
      <c r="I567" s="3"/>
    </row>
    <row r="568" ht="15.75" customHeight="1">
      <c r="A568" s="3" t="s">
        <v>669</v>
      </c>
      <c r="B568" s="4" t="s">
        <v>658</v>
      </c>
      <c r="C568" s="4"/>
      <c r="D568" s="4"/>
      <c r="E568" s="1" t="s">
        <v>13</v>
      </c>
      <c r="F568" s="3"/>
      <c r="G568" s="3"/>
      <c r="H568" s="3"/>
      <c r="I568" s="3"/>
    </row>
    <row r="569" ht="15.75" customHeight="1">
      <c r="A569" s="3" t="s">
        <v>670</v>
      </c>
      <c r="B569" s="4" t="s">
        <v>658</v>
      </c>
      <c r="C569" s="4"/>
      <c r="D569" s="4"/>
      <c r="E569" s="1" t="s">
        <v>13</v>
      </c>
      <c r="F569" s="3"/>
      <c r="G569" s="3"/>
      <c r="H569" s="3"/>
      <c r="I569" s="3"/>
    </row>
    <row r="570" ht="15.75" customHeight="1">
      <c r="A570" s="3" t="s">
        <v>671</v>
      </c>
      <c r="B570" s="4" t="s">
        <v>658</v>
      </c>
      <c r="C570" s="4"/>
      <c r="D570" s="4"/>
      <c r="E570" s="1" t="s">
        <v>13</v>
      </c>
      <c r="F570" s="3"/>
      <c r="G570" s="3"/>
      <c r="H570" s="3"/>
      <c r="I570" s="3"/>
    </row>
    <row r="571" ht="15.75" customHeight="1">
      <c r="A571" s="3" t="s">
        <v>672</v>
      </c>
      <c r="B571" s="4" t="s">
        <v>658</v>
      </c>
      <c r="C571" s="4"/>
      <c r="D571" s="4"/>
      <c r="E571" s="1" t="s">
        <v>13</v>
      </c>
      <c r="F571" s="3"/>
      <c r="G571" s="3"/>
      <c r="H571" s="3"/>
      <c r="I571" s="3"/>
    </row>
    <row r="572" ht="15.75" customHeight="1">
      <c r="A572" s="3" t="s">
        <v>673</v>
      </c>
      <c r="B572" s="4" t="s">
        <v>658</v>
      </c>
      <c r="C572" s="4"/>
      <c r="D572" s="4"/>
      <c r="E572" s="1" t="s">
        <v>674</v>
      </c>
      <c r="F572" s="3"/>
      <c r="G572" s="3"/>
      <c r="H572" s="3"/>
      <c r="I572" s="3"/>
    </row>
    <row r="573" ht="15.75" customHeight="1">
      <c r="A573" s="3" t="s">
        <v>675</v>
      </c>
      <c r="B573" s="4" t="s">
        <v>658</v>
      </c>
      <c r="C573" s="4"/>
      <c r="D573" s="4"/>
      <c r="E573" s="1" t="s">
        <v>13</v>
      </c>
      <c r="F573" s="3"/>
      <c r="G573" s="3"/>
      <c r="H573" s="3"/>
      <c r="I573" s="3"/>
    </row>
    <row r="574" ht="15.75" customHeight="1">
      <c r="A574" s="3" t="s">
        <v>676</v>
      </c>
      <c r="B574" s="4" t="s">
        <v>658</v>
      </c>
      <c r="C574" s="4"/>
      <c r="D574" s="4"/>
      <c r="E574" s="1" t="s">
        <v>34</v>
      </c>
      <c r="F574" s="3"/>
      <c r="G574" s="3"/>
      <c r="H574" s="3"/>
      <c r="I574" s="3"/>
    </row>
    <row r="575" ht="15.75" customHeight="1">
      <c r="A575" s="3" t="s">
        <v>677</v>
      </c>
      <c r="B575" s="4" t="s">
        <v>658</v>
      </c>
      <c r="C575" s="4"/>
      <c r="D575" s="4"/>
      <c r="E575" s="1" t="s">
        <v>192</v>
      </c>
      <c r="F575" s="3"/>
      <c r="G575" s="3"/>
      <c r="H575" s="3"/>
      <c r="I575" s="3"/>
    </row>
    <row r="576" ht="15.75" customHeight="1">
      <c r="A576" s="3" t="s">
        <v>678</v>
      </c>
      <c r="B576" s="4" t="s">
        <v>658</v>
      </c>
      <c r="C576" s="4"/>
      <c r="D576" s="4"/>
      <c r="E576" s="1" t="s">
        <v>13</v>
      </c>
      <c r="F576" s="3"/>
      <c r="G576" s="3"/>
      <c r="H576" s="3"/>
      <c r="I576" s="3"/>
    </row>
    <row r="577" ht="15.75" customHeight="1">
      <c r="A577" s="3" t="s">
        <v>679</v>
      </c>
      <c r="B577" s="4" t="s">
        <v>658</v>
      </c>
      <c r="C577" s="4"/>
      <c r="D577" s="4"/>
      <c r="E577" s="1" t="s">
        <v>13</v>
      </c>
      <c r="F577" s="3"/>
      <c r="G577" s="3"/>
      <c r="H577" s="3"/>
      <c r="I577" s="3"/>
    </row>
    <row r="578" ht="15.75" customHeight="1">
      <c r="A578" s="3" t="s">
        <v>680</v>
      </c>
      <c r="B578" s="4" t="s">
        <v>658</v>
      </c>
      <c r="C578" s="4"/>
      <c r="D578" s="4"/>
      <c r="E578" s="1" t="s">
        <v>13</v>
      </c>
      <c r="F578" s="3"/>
      <c r="G578" s="3"/>
      <c r="H578" s="3"/>
      <c r="I578" s="3"/>
    </row>
    <row r="579" ht="15.75" customHeight="1">
      <c r="A579" s="3" t="s">
        <v>681</v>
      </c>
      <c r="B579" s="4" t="s">
        <v>658</v>
      </c>
      <c r="C579" s="4"/>
      <c r="D579" s="4"/>
      <c r="E579" s="3" t="s">
        <v>13</v>
      </c>
      <c r="F579" s="3"/>
      <c r="G579" s="3"/>
      <c r="H579" s="3"/>
      <c r="I579" s="3"/>
    </row>
    <row r="580" ht="15.75" customHeight="1">
      <c r="A580" s="3" t="s">
        <v>682</v>
      </c>
      <c r="B580" s="4" t="s">
        <v>658</v>
      </c>
      <c r="C580" s="4"/>
      <c r="D580" s="4"/>
      <c r="E580" s="1" t="s">
        <v>13</v>
      </c>
      <c r="F580" s="3"/>
      <c r="G580" s="3"/>
      <c r="H580" s="3"/>
      <c r="I580" s="3"/>
    </row>
    <row r="581" ht="15.75" customHeight="1">
      <c r="A581" s="3" t="s">
        <v>683</v>
      </c>
      <c r="B581" s="4" t="s">
        <v>658</v>
      </c>
      <c r="C581" s="4"/>
      <c r="D581" s="4"/>
      <c r="E581" s="1" t="s">
        <v>13</v>
      </c>
      <c r="F581" s="3"/>
      <c r="G581" s="3"/>
      <c r="H581" s="3"/>
      <c r="I581" s="3"/>
    </row>
    <row r="582" ht="15.75" customHeight="1">
      <c r="A582" s="3" t="s">
        <v>684</v>
      </c>
      <c r="B582" s="4" t="s">
        <v>658</v>
      </c>
      <c r="C582" s="4"/>
      <c r="D582" s="4"/>
      <c r="E582" s="1" t="s">
        <v>13</v>
      </c>
      <c r="F582" s="3"/>
      <c r="G582" s="3"/>
      <c r="H582" s="3"/>
      <c r="I582" s="3"/>
    </row>
    <row r="583" ht="15.75" customHeight="1">
      <c r="A583" s="3" t="s">
        <v>685</v>
      </c>
      <c r="B583" s="4" t="s">
        <v>658</v>
      </c>
      <c r="C583" s="4"/>
      <c r="D583" s="4"/>
      <c r="E583" s="1" t="s">
        <v>13</v>
      </c>
      <c r="F583" s="3"/>
      <c r="G583" s="3"/>
      <c r="H583" s="3"/>
      <c r="I583" s="3"/>
    </row>
    <row r="584" ht="15.75" customHeight="1">
      <c r="A584" s="3" t="s">
        <v>686</v>
      </c>
      <c r="B584" s="4" t="s">
        <v>658</v>
      </c>
      <c r="C584" s="4"/>
      <c r="D584" s="4"/>
      <c r="E584" s="1" t="s">
        <v>13</v>
      </c>
      <c r="F584" s="3"/>
      <c r="G584" s="3"/>
      <c r="H584" s="3"/>
      <c r="I584" s="3"/>
    </row>
    <row r="585" ht="15.75" customHeight="1">
      <c r="A585" s="3" t="s">
        <v>687</v>
      </c>
      <c r="B585" s="4" t="s">
        <v>658</v>
      </c>
      <c r="C585" s="4"/>
      <c r="D585" s="4"/>
      <c r="E585" s="1" t="s">
        <v>13</v>
      </c>
      <c r="F585" s="3"/>
      <c r="G585" s="3"/>
      <c r="H585" s="3"/>
      <c r="I585" s="3"/>
    </row>
    <row r="586" ht="15.75" customHeight="1">
      <c r="A586" s="3" t="s">
        <v>688</v>
      </c>
      <c r="B586" s="4" t="s">
        <v>658</v>
      </c>
      <c r="C586" s="4"/>
      <c r="D586" s="4"/>
      <c r="E586" s="1" t="s">
        <v>13</v>
      </c>
      <c r="F586" s="3"/>
      <c r="G586" s="3"/>
      <c r="H586" s="3"/>
      <c r="I586" s="3"/>
    </row>
    <row r="587" ht="15.75" customHeight="1">
      <c r="A587" s="3" t="s">
        <v>689</v>
      </c>
      <c r="B587" s="4" t="s">
        <v>658</v>
      </c>
      <c r="C587" s="4"/>
      <c r="D587" s="4"/>
      <c r="E587" s="1" t="s">
        <v>13</v>
      </c>
      <c r="F587" s="3"/>
      <c r="G587" s="3"/>
      <c r="H587" s="3"/>
      <c r="I587" s="3"/>
    </row>
    <row r="588" ht="15.75" customHeight="1">
      <c r="A588" s="3" t="s">
        <v>690</v>
      </c>
      <c r="B588" s="4" t="s">
        <v>658</v>
      </c>
      <c r="C588" s="4"/>
      <c r="D588" s="4"/>
      <c r="E588" s="1" t="s">
        <v>13</v>
      </c>
      <c r="F588" s="3"/>
      <c r="G588" s="3"/>
      <c r="H588" s="3"/>
      <c r="I588" s="3"/>
    </row>
    <row r="589" ht="15.75" customHeight="1">
      <c r="A589" s="3" t="s">
        <v>691</v>
      </c>
      <c r="B589" s="4" t="s">
        <v>658</v>
      </c>
      <c r="C589" s="4"/>
      <c r="D589" s="4"/>
      <c r="E589" s="1" t="s">
        <v>13</v>
      </c>
      <c r="F589" s="3"/>
      <c r="G589" s="3"/>
      <c r="H589" s="3"/>
      <c r="I589" s="3"/>
    </row>
    <row r="590" ht="15.75" customHeight="1">
      <c r="A590" s="3" t="s">
        <v>692</v>
      </c>
      <c r="B590" s="4" t="s">
        <v>658</v>
      </c>
      <c r="C590" s="4"/>
      <c r="D590" s="4"/>
      <c r="E590" s="1" t="s">
        <v>13</v>
      </c>
      <c r="F590" s="3"/>
      <c r="G590" s="3"/>
      <c r="H590" s="3"/>
      <c r="I590" s="3"/>
    </row>
    <row r="591" ht="15.75" customHeight="1">
      <c r="A591" s="3" t="s">
        <v>693</v>
      </c>
      <c r="B591" s="4" t="s">
        <v>658</v>
      </c>
      <c r="C591" s="4"/>
      <c r="D591" s="4"/>
      <c r="E591" s="1" t="s">
        <v>13</v>
      </c>
      <c r="F591" s="3"/>
      <c r="G591" s="3"/>
      <c r="H591" s="3"/>
      <c r="I591" s="3"/>
    </row>
    <row r="592" ht="15.75" customHeight="1">
      <c r="A592" s="3" t="s">
        <v>694</v>
      </c>
      <c r="B592" s="4" t="s">
        <v>658</v>
      </c>
      <c r="C592" s="4"/>
      <c r="D592" s="4"/>
      <c r="E592" s="1" t="s">
        <v>13</v>
      </c>
      <c r="F592" s="3"/>
      <c r="G592" s="3"/>
      <c r="H592" s="3"/>
      <c r="I592" s="3"/>
    </row>
    <row r="593" ht="15.75" customHeight="1">
      <c r="A593" s="3" t="s">
        <v>695</v>
      </c>
      <c r="B593" s="4" t="s">
        <v>658</v>
      </c>
      <c r="C593" s="4"/>
      <c r="D593" s="4"/>
      <c r="E593" s="1" t="s">
        <v>13</v>
      </c>
      <c r="F593" s="3"/>
      <c r="G593" s="3"/>
      <c r="H593" s="3"/>
      <c r="I593" s="3"/>
    </row>
    <row r="594" ht="15.75" customHeight="1">
      <c r="A594" s="1" t="s">
        <v>696</v>
      </c>
      <c r="B594" s="4" t="s">
        <v>658</v>
      </c>
      <c r="C594" s="4"/>
      <c r="D594" s="4"/>
      <c r="E594" s="1" t="s">
        <v>634</v>
      </c>
      <c r="F594" s="3"/>
      <c r="G594" s="3"/>
      <c r="H594" s="3"/>
      <c r="I594" s="3"/>
    </row>
    <row r="595" ht="15.75" customHeight="1">
      <c r="A595" s="1" t="s">
        <v>697</v>
      </c>
      <c r="B595" s="4" t="s">
        <v>658</v>
      </c>
      <c r="C595" s="4"/>
      <c r="D595" s="4"/>
      <c r="E595" s="1" t="s">
        <v>13</v>
      </c>
      <c r="F595" s="3"/>
      <c r="G595" s="3"/>
      <c r="H595" s="3"/>
      <c r="I595" s="3"/>
    </row>
    <row r="596" ht="15.75" customHeight="1">
      <c r="A596" s="1" t="s">
        <v>698</v>
      </c>
      <c r="B596" s="4" t="s">
        <v>658</v>
      </c>
      <c r="C596" s="4"/>
      <c r="D596" s="4"/>
      <c r="E596" s="1" t="s">
        <v>13</v>
      </c>
      <c r="F596" s="3"/>
      <c r="G596" s="3"/>
      <c r="H596" s="3"/>
      <c r="I596" s="3"/>
    </row>
    <row r="597" ht="15.75" customHeight="1">
      <c r="A597" s="1" t="s">
        <v>699</v>
      </c>
      <c r="B597" s="4" t="s">
        <v>658</v>
      </c>
      <c r="C597" s="4"/>
      <c r="D597" s="4"/>
      <c r="E597" s="1" t="s">
        <v>13</v>
      </c>
      <c r="F597" s="3"/>
      <c r="G597" s="3"/>
      <c r="H597" s="3"/>
      <c r="I597" s="3"/>
    </row>
    <row r="598" ht="15.75" customHeight="1">
      <c r="A598" s="3" t="s">
        <v>700</v>
      </c>
      <c r="B598" s="4" t="s">
        <v>658</v>
      </c>
      <c r="C598" s="4"/>
      <c r="D598" s="4"/>
      <c r="E598" s="1" t="s">
        <v>13</v>
      </c>
      <c r="F598" s="3"/>
      <c r="G598" s="3"/>
      <c r="H598" s="3"/>
      <c r="I598" s="3"/>
    </row>
    <row r="599" ht="15.75" customHeight="1">
      <c r="A599" s="3" t="s">
        <v>701</v>
      </c>
      <c r="B599" s="4" t="s">
        <v>658</v>
      </c>
      <c r="C599" s="4"/>
      <c r="D599" s="4"/>
      <c r="E599" s="1" t="s">
        <v>13</v>
      </c>
      <c r="F599" s="3"/>
      <c r="G599" s="3"/>
      <c r="H599" s="3"/>
      <c r="I599" s="3"/>
    </row>
    <row r="600" ht="15.75" customHeight="1">
      <c r="A600" s="3" t="s">
        <v>702</v>
      </c>
      <c r="B600" s="4" t="s">
        <v>658</v>
      </c>
      <c r="C600" s="4"/>
      <c r="D600" s="4"/>
      <c r="E600" s="1" t="s">
        <v>13</v>
      </c>
      <c r="F600" s="3"/>
      <c r="G600" s="3"/>
      <c r="H600" s="3"/>
      <c r="I600" s="3"/>
    </row>
    <row r="601" ht="15.75" customHeight="1">
      <c r="A601" s="3" t="s">
        <v>703</v>
      </c>
      <c r="B601" s="4" t="s">
        <v>658</v>
      </c>
      <c r="C601" s="4"/>
      <c r="D601" s="4"/>
      <c r="E601" s="1" t="s">
        <v>13</v>
      </c>
      <c r="F601" s="3"/>
      <c r="G601" s="3"/>
      <c r="H601" s="3"/>
      <c r="I601" s="3"/>
    </row>
    <row r="602" ht="15.75" customHeight="1">
      <c r="A602" s="3" t="s">
        <v>704</v>
      </c>
      <c r="B602" s="4" t="s">
        <v>658</v>
      </c>
      <c r="C602" s="4"/>
      <c r="D602" s="4"/>
      <c r="E602" s="1" t="s">
        <v>13</v>
      </c>
      <c r="F602" s="3"/>
      <c r="G602" s="3"/>
      <c r="H602" s="3"/>
      <c r="I602" s="3"/>
    </row>
    <row r="603" ht="15.75" customHeight="1">
      <c r="A603" s="3" t="s">
        <v>705</v>
      </c>
      <c r="B603" s="4" t="s">
        <v>658</v>
      </c>
      <c r="C603" s="4"/>
      <c r="D603" s="4"/>
      <c r="E603" s="1" t="s">
        <v>13</v>
      </c>
      <c r="F603" s="3"/>
      <c r="G603" s="3"/>
      <c r="H603" s="3"/>
      <c r="I603" s="3"/>
    </row>
    <row r="604" ht="15.75" customHeight="1">
      <c r="A604" s="3" t="s">
        <v>706</v>
      </c>
      <c r="B604" s="4" t="s">
        <v>658</v>
      </c>
      <c r="C604" s="4"/>
      <c r="D604" s="4"/>
      <c r="E604" s="1" t="s">
        <v>13</v>
      </c>
      <c r="F604" s="3"/>
      <c r="G604" s="3"/>
      <c r="H604" s="3"/>
      <c r="I604" s="3"/>
    </row>
    <row r="605" ht="15.75" customHeight="1">
      <c r="A605" s="3" t="s">
        <v>707</v>
      </c>
      <c r="B605" s="4" t="s">
        <v>658</v>
      </c>
      <c r="C605" s="4"/>
      <c r="D605" s="4"/>
      <c r="E605" s="1" t="s">
        <v>13</v>
      </c>
      <c r="F605" s="3"/>
      <c r="G605" s="3"/>
      <c r="H605" s="3"/>
      <c r="I605" s="3"/>
    </row>
    <row r="606" ht="15.75" customHeight="1">
      <c r="A606" s="3" t="s">
        <v>708</v>
      </c>
      <c r="B606" s="4" t="s">
        <v>658</v>
      </c>
      <c r="C606" s="4"/>
      <c r="D606" s="4"/>
      <c r="E606" s="1" t="s">
        <v>13</v>
      </c>
      <c r="F606" s="3"/>
      <c r="G606" s="3"/>
      <c r="H606" s="3"/>
      <c r="I606" s="3"/>
    </row>
    <row r="607" ht="15.75" customHeight="1">
      <c r="A607" s="3" t="s">
        <v>709</v>
      </c>
      <c r="B607" s="4" t="s">
        <v>658</v>
      </c>
      <c r="C607" s="4"/>
      <c r="D607" s="4"/>
      <c r="E607" s="1" t="s">
        <v>13</v>
      </c>
      <c r="F607" s="3"/>
      <c r="G607" s="3"/>
      <c r="H607" s="3"/>
      <c r="I607" s="3"/>
    </row>
    <row r="608" ht="15.75" customHeight="1">
      <c r="A608" s="3" t="s">
        <v>710</v>
      </c>
      <c r="B608" s="4" t="s">
        <v>658</v>
      </c>
      <c r="C608" s="4"/>
      <c r="D608" s="4"/>
      <c r="E608" s="1" t="s">
        <v>13</v>
      </c>
      <c r="F608" s="3"/>
      <c r="G608" s="3"/>
      <c r="H608" s="3"/>
      <c r="I608" s="3"/>
    </row>
    <row r="609" ht="15.75" customHeight="1">
      <c r="A609" s="3" t="s">
        <v>711</v>
      </c>
      <c r="B609" s="4" t="s">
        <v>658</v>
      </c>
      <c r="C609" s="4"/>
      <c r="D609" s="4"/>
      <c r="E609" s="1" t="s">
        <v>13</v>
      </c>
      <c r="F609" s="3"/>
      <c r="G609" s="3"/>
      <c r="H609" s="3"/>
      <c r="I609" s="3"/>
    </row>
    <row r="610" ht="15.75" customHeight="1">
      <c r="A610" s="1" t="s">
        <v>712</v>
      </c>
      <c r="B610" s="4" t="s">
        <v>713</v>
      </c>
      <c r="C610" s="4"/>
      <c r="D610" s="4"/>
      <c r="E610" s="1" t="s">
        <v>13</v>
      </c>
      <c r="F610" s="3"/>
      <c r="G610" s="3"/>
      <c r="H610" s="3"/>
      <c r="I610" s="3"/>
    </row>
    <row r="611" ht="15.75" customHeight="1">
      <c r="A611" s="1" t="s">
        <v>714</v>
      </c>
      <c r="B611" s="4" t="s">
        <v>713</v>
      </c>
      <c r="C611" s="4"/>
      <c r="D611" s="4"/>
      <c r="E611" s="3" t="s">
        <v>300</v>
      </c>
      <c r="F611" s="3"/>
      <c r="G611" s="3"/>
      <c r="H611" s="3"/>
      <c r="I611" s="3"/>
    </row>
    <row r="612" ht="15.75" customHeight="1">
      <c r="A612" s="1" t="s">
        <v>715</v>
      </c>
      <c r="B612" s="4" t="s">
        <v>713</v>
      </c>
      <c r="C612" s="4"/>
      <c r="D612" s="4"/>
      <c r="E612" s="1" t="s">
        <v>13</v>
      </c>
      <c r="F612" s="3"/>
      <c r="G612" s="3"/>
      <c r="H612" s="3"/>
      <c r="I612" s="3"/>
    </row>
    <row r="613" ht="15.75" customHeight="1">
      <c r="A613" s="1" t="s">
        <v>716</v>
      </c>
      <c r="B613" s="4" t="s">
        <v>713</v>
      </c>
      <c r="C613" s="4"/>
      <c r="D613" s="4"/>
      <c r="E613" s="3" t="s">
        <v>654</v>
      </c>
      <c r="F613" s="3"/>
      <c r="G613" s="3"/>
      <c r="H613" s="3"/>
      <c r="I613" s="3"/>
    </row>
    <row r="614" ht="15.75" customHeight="1">
      <c r="A614" s="3" t="s">
        <v>717</v>
      </c>
      <c r="B614" s="4" t="s">
        <v>718</v>
      </c>
      <c r="C614" s="4"/>
      <c r="D614" s="4"/>
      <c r="E614" s="1" t="s">
        <v>34</v>
      </c>
      <c r="F614" s="3"/>
      <c r="G614" s="3"/>
      <c r="H614" s="3"/>
      <c r="I614" s="3"/>
    </row>
    <row r="615" ht="15.75" customHeight="1">
      <c r="A615" s="3" t="s">
        <v>719</v>
      </c>
      <c r="B615" s="4" t="s">
        <v>720</v>
      </c>
      <c r="C615" s="4"/>
      <c r="D615" s="4"/>
      <c r="E615" s="3" t="s">
        <v>78</v>
      </c>
      <c r="F615" s="3"/>
      <c r="G615" s="3"/>
      <c r="H615" s="3"/>
      <c r="I615" s="3"/>
    </row>
    <row r="616" ht="15.75" customHeight="1">
      <c r="A616" s="3" t="s">
        <v>721</v>
      </c>
      <c r="B616" s="4" t="s">
        <v>720</v>
      </c>
      <c r="C616" s="4"/>
      <c r="D616" s="4"/>
      <c r="E616" s="3" t="s">
        <v>78</v>
      </c>
      <c r="F616" s="3"/>
      <c r="G616" s="3"/>
      <c r="H616" s="3"/>
      <c r="I616" s="3"/>
    </row>
    <row r="617" ht="15.75" customHeight="1">
      <c r="A617" s="3" t="s">
        <v>722</v>
      </c>
      <c r="B617" s="4" t="s">
        <v>723</v>
      </c>
      <c r="C617" s="4"/>
      <c r="D617" s="4"/>
      <c r="E617" s="1" t="s">
        <v>13</v>
      </c>
      <c r="F617" s="3"/>
      <c r="G617" s="3"/>
      <c r="H617" s="3"/>
      <c r="I617" s="3"/>
    </row>
    <row r="618" ht="15.75" customHeight="1">
      <c r="A618" s="3" t="s">
        <v>724</v>
      </c>
      <c r="B618" s="4" t="s">
        <v>725</v>
      </c>
      <c r="C618" s="4"/>
      <c r="D618" s="4"/>
      <c r="E618" s="3" t="s">
        <v>78</v>
      </c>
      <c r="F618" s="3"/>
      <c r="G618" s="3"/>
      <c r="H618" s="3"/>
      <c r="I618" s="3"/>
    </row>
    <row r="619" ht="15.75" customHeight="1">
      <c r="A619" s="1" t="s">
        <v>726</v>
      </c>
      <c r="B619" s="4" t="s">
        <v>727</v>
      </c>
      <c r="C619" s="4"/>
      <c r="D619" s="4"/>
      <c r="E619" s="1" t="s">
        <v>13</v>
      </c>
      <c r="F619" s="3"/>
      <c r="G619" s="3"/>
      <c r="H619" s="3"/>
      <c r="I619" s="3"/>
    </row>
    <row r="620" ht="15.75" customHeight="1">
      <c r="A620" s="3" t="s">
        <v>728</v>
      </c>
      <c r="B620" s="4" t="s">
        <v>727</v>
      </c>
      <c r="C620" s="4"/>
      <c r="D620" s="4"/>
      <c r="E620" s="1" t="s">
        <v>13</v>
      </c>
      <c r="F620" s="3"/>
      <c r="G620" s="3"/>
      <c r="H620" s="3"/>
      <c r="I620" s="3"/>
    </row>
    <row r="621" ht="15.75" customHeight="1">
      <c r="A621" s="1" t="s">
        <v>729</v>
      </c>
      <c r="B621" s="4" t="s">
        <v>727</v>
      </c>
      <c r="C621" s="4"/>
      <c r="D621" s="4"/>
      <c r="E621" s="1" t="s">
        <v>13</v>
      </c>
      <c r="F621" s="3"/>
      <c r="G621" s="3"/>
      <c r="H621" s="3"/>
      <c r="I621" s="3"/>
    </row>
    <row r="622" ht="15.75" customHeight="1">
      <c r="A622" s="1" t="s">
        <v>730</v>
      </c>
      <c r="B622" s="4" t="s">
        <v>727</v>
      </c>
      <c r="C622" s="4"/>
      <c r="D622" s="4"/>
      <c r="E622" s="1" t="s">
        <v>13</v>
      </c>
      <c r="F622" s="3"/>
      <c r="G622" s="3"/>
      <c r="H622" s="3"/>
      <c r="I622" s="3"/>
    </row>
    <row r="623" ht="15.75" customHeight="1">
      <c r="A623" s="3" t="s">
        <v>731</v>
      </c>
      <c r="B623" s="4" t="s">
        <v>727</v>
      </c>
      <c r="C623" s="4"/>
      <c r="D623" s="4"/>
      <c r="E623" s="1" t="s">
        <v>13</v>
      </c>
      <c r="F623" s="3"/>
      <c r="G623" s="3"/>
      <c r="H623" s="3"/>
      <c r="I623" s="3"/>
    </row>
    <row r="624" ht="15.75" customHeight="1">
      <c r="A624" s="1" t="s">
        <v>732</v>
      </c>
      <c r="B624" s="4" t="s">
        <v>727</v>
      </c>
      <c r="C624" s="4"/>
      <c r="D624" s="4"/>
      <c r="E624" s="1" t="s">
        <v>13</v>
      </c>
      <c r="F624" s="3"/>
      <c r="G624" s="3"/>
      <c r="H624" s="3"/>
      <c r="I624" s="3"/>
    </row>
    <row r="625" ht="15.75" customHeight="1">
      <c r="A625" s="1" t="s">
        <v>733</v>
      </c>
      <c r="B625" s="4" t="s">
        <v>727</v>
      </c>
      <c r="C625" s="4"/>
      <c r="D625" s="4"/>
      <c r="E625" s="1" t="s">
        <v>13</v>
      </c>
      <c r="F625" s="3"/>
      <c r="G625" s="3"/>
      <c r="H625" s="3"/>
      <c r="I625" s="3"/>
    </row>
    <row r="626" ht="15.75" customHeight="1">
      <c r="A626" s="1" t="s">
        <v>734</v>
      </c>
      <c r="B626" s="4" t="s">
        <v>727</v>
      </c>
      <c r="C626" s="4"/>
      <c r="D626" s="4"/>
      <c r="E626" s="1" t="s">
        <v>13</v>
      </c>
      <c r="F626" s="3"/>
      <c r="G626" s="3"/>
      <c r="H626" s="3"/>
      <c r="I626" s="3"/>
    </row>
    <row r="627" ht="15.75" customHeight="1">
      <c r="A627" s="1" t="s">
        <v>735</v>
      </c>
      <c r="B627" s="4" t="s">
        <v>727</v>
      </c>
      <c r="C627" s="4"/>
      <c r="D627" s="4"/>
      <c r="E627" s="1" t="s">
        <v>13</v>
      </c>
      <c r="F627" s="3"/>
      <c r="G627" s="3"/>
      <c r="H627" s="3"/>
      <c r="I627" s="3"/>
    </row>
    <row r="628" ht="15.75" customHeight="1">
      <c r="A628" s="3" t="s">
        <v>736</v>
      </c>
      <c r="B628" s="4" t="s">
        <v>737</v>
      </c>
      <c r="C628" s="4"/>
      <c r="D628" s="4"/>
      <c r="E628" s="3" t="s">
        <v>13</v>
      </c>
      <c r="F628" s="3"/>
      <c r="G628" s="3"/>
      <c r="H628" s="3"/>
      <c r="I628" s="3"/>
    </row>
    <row r="629" ht="15.75" customHeight="1">
      <c r="A629" s="3" t="s">
        <v>738</v>
      </c>
      <c r="B629" s="4" t="s">
        <v>739</v>
      </c>
      <c r="C629" s="4"/>
      <c r="D629" s="4"/>
      <c r="E629" s="1" t="s">
        <v>111</v>
      </c>
      <c r="F629" s="3"/>
      <c r="G629" s="3"/>
      <c r="H629" s="3"/>
      <c r="I629" s="3"/>
    </row>
    <row r="630" ht="15.75" customHeight="1">
      <c r="A630" s="3" t="s">
        <v>740</v>
      </c>
      <c r="B630" s="4" t="s">
        <v>739</v>
      </c>
      <c r="C630" s="4"/>
      <c r="D630" s="4"/>
      <c r="E630" s="3" t="s">
        <v>634</v>
      </c>
      <c r="F630" s="3"/>
      <c r="G630" s="3"/>
      <c r="H630" s="3"/>
      <c r="I630" s="3"/>
    </row>
    <row r="631" ht="15.75" customHeight="1">
      <c r="A631" s="3" t="s">
        <v>741</v>
      </c>
      <c r="B631" s="4" t="s">
        <v>739</v>
      </c>
      <c r="C631" s="4"/>
      <c r="D631" s="4"/>
      <c r="E631" s="1" t="s">
        <v>13</v>
      </c>
      <c r="F631" s="3"/>
      <c r="G631" s="3"/>
      <c r="H631" s="3"/>
      <c r="I631" s="3"/>
    </row>
    <row r="632" ht="15.75" customHeight="1">
      <c r="A632" s="3" t="s">
        <v>742</v>
      </c>
      <c r="B632" s="4" t="s">
        <v>739</v>
      </c>
      <c r="C632" s="4"/>
      <c r="D632" s="4"/>
      <c r="E632" s="1" t="s">
        <v>34</v>
      </c>
      <c r="F632" s="3"/>
      <c r="G632" s="3"/>
      <c r="H632" s="3"/>
      <c r="I632" s="3"/>
    </row>
    <row r="633" ht="15.75" customHeight="1">
      <c r="A633" s="3" t="s">
        <v>743</v>
      </c>
      <c r="B633" s="4" t="s">
        <v>739</v>
      </c>
      <c r="C633" s="4"/>
      <c r="D633" s="4"/>
      <c r="E633" s="3" t="s">
        <v>13</v>
      </c>
      <c r="F633" s="3"/>
      <c r="G633" s="3"/>
      <c r="H633" s="3"/>
      <c r="I633" s="3"/>
    </row>
    <row r="634" ht="15.75" customHeight="1">
      <c r="A634" s="3" t="s">
        <v>744</v>
      </c>
      <c r="B634" s="4" t="s">
        <v>739</v>
      </c>
      <c r="C634" s="4"/>
      <c r="D634" s="4"/>
      <c r="E634" s="1" t="s">
        <v>13</v>
      </c>
      <c r="F634" s="3"/>
      <c r="G634" s="3"/>
      <c r="H634" s="3"/>
      <c r="I634" s="3"/>
    </row>
    <row r="635" ht="15.75" customHeight="1">
      <c r="A635" s="3" t="s">
        <v>745</v>
      </c>
      <c r="B635" s="4" t="s">
        <v>739</v>
      </c>
      <c r="C635" s="4"/>
      <c r="D635" s="4"/>
      <c r="E635" s="3" t="s">
        <v>62</v>
      </c>
      <c r="F635" s="3"/>
      <c r="G635" s="3"/>
      <c r="H635" s="3"/>
      <c r="I635" s="3"/>
    </row>
    <row r="636" ht="15.75" customHeight="1">
      <c r="A636" s="3" t="s">
        <v>746</v>
      </c>
      <c r="B636" s="4" t="s">
        <v>747</v>
      </c>
      <c r="C636" s="4"/>
      <c r="D636" s="4"/>
      <c r="E636" s="1" t="s">
        <v>13</v>
      </c>
      <c r="F636" s="3"/>
      <c r="G636" s="3"/>
      <c r="H636" s="3"/>
      <c r="I636" s="3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cols>
    <col customWidth="1" min="1" max="1" width="24.57"/>
    <col customWidth="1" min="2" max="2" width="27.0"/>
    <col customWidth="1" min="3" max="3" width="39.71"/>
  </cols>
  <sheetData>
    <row r="1">
      <c r="A1" s="5" t="s">
        <v>748</v>
      </c>
      <c r="B1" s="5" t="s">
        <v>1</v>
      </c>
      <c r="H1" s="6" t="str">
        <f>IFERROR(__xludf.DUMMYFUNCTION("IMPORTRANGE(""https://docs.google.com/spreadsheets/d/13fmL9rbANJuexGHEpy4hkZt2UNEZTVzm-819RIp1fCQ"",""Cities!a4:a"")"),"3 CUBE HEALTHCARE")</f>
        <v>3 CUBE HEALTHCARE</v>
      </c>
    </row>
    <row r="2">
      <c r="A2" s="5">
        <v>133.0</v>
      </c>
      <c r="B2" s="5" t="s">
        <v>749</v>
      </c>
      <c r="C2" s="7" t="s">
        <v>489</v>
      </c>
      <c r="H2" s="5" t="str">
        <f>IFERROR(__xludf.DUMMYFUNCTION("""COMPUTED_VALUE"""),"3M INDIA LTD")</f>
        <v>3M INDIA LTD</v>
      </c>
    </row>
    <row r="3">
      <c r="A3" s="5">
        <v>129.0</v>
      </c>
      <c r="B3" s="5" t="s">
        <v>750</v>
      </c>
      <c r="C3" s="7" t="s">
        <v>99</v>
      </c>
      <c r="H3" s="5" t="str">
        <f>IFERROR(__xludf.DUMMYFUNCTION("""COMPUTED_VALUE"""),"6IPAIN HEALTHCARE")</f>
        <v>6IPAIN HEALTHCARE</v>
      </c>
    </row>
    <row r="4">
      <c r="A4" s="5">
        <v>53.0</v>
      </c>
      <c r="B4" s="5" t="s">
        <v>751</v>
      </c>
      <c r="C4" s="7" t="s">
        <v>658</v>
      </c>
      <c r="H4" s="5" t="str">
        <f>IFERROR(__xludf.DUMMYFUNCTION("""COMPUTED_VALUE"""),"AAA PHARMATRADE PVT LTD")</f>
        <v>AAA PHARMATRADE PVT LTD</v>
      </c>
    </row>
    <row r="5">
      <c r="A5" s="5">
        <v>52.0</v>
      </c>
      <c r="B5" s="5" t="s">
        <v>752</v>
      </c>
      <c r="C5" s="7" t="s">
        <v>284</v>
      </c>
      <c r="H5" s="5" t="str">
        <f>IFERROR(__xludf.DUMMYFUNCTION("""COMPUTED_VALUE"""),"AACER HEALTHCARE")</f>
        <v>AACER HEALTHCARE</v>
      </c>
    </row>
    <row r="6">
      <c r="A6" s="5">
        <v>48.0</v>
      </c>
      <c r="B6" s="5" t="s">
        <v>753</v>
      </c>
      <c r="C6" s="7" t="s">
        <v>367</v>
      </c>
      <c r="H6" s="5" t="str">
        <f>IFERROR(__xludf.DUMMYFUNCTION("""COMPUTED_VALUE"""),"AAGATHA BIONLAB")</f>
        <v>AAGATHA BIONLAB</v>
      </c>
    </row>
    <row r="7">
      <c r="A7" s="5">
        <v>35.0</v>
      </c>
      <c r="B7" s="5" t="s">
        <v>754</v>
      </c>
      <c r="C7" s="7" t="s">
        <v>39</v>
      </c>
      <c r="H7" s="5" t="str">
        <f>IFERROR(__xludf.DUMMYFUNCTION("""COMPUTED_VALUE"""),"AALTRAMED HEALTH CARE LIMITED")</f>
        <v>AALTRAMED HEALTH CARE LIMITED</v>
      </c>
    </row>
    <row r="8">
      <c r="A8" s="5">
        <v>35.0</v>
      </c>
      <c r="B8" s="5" t="s">
        <v>755</v>
      </c>
      <c r="C8" s="7" t="s">
        <v>424</v>
      </c>
      <c r="H8" s="5" t="str">
        <f>IFERROR(__xludf.DUMMYFUNCTION("""COMPUTED_VALUE"""),"AARAV PHARMACEUTICALS")</f>
        <v>AARAV PHARMACEUTICALS</v>
      </c>
    </row>
    <row r="9">
      <c r="A9" s="5">
        <v>12.0</v>
      </c>
      <c r="B9" s="5" t="s">
        <v>756</v>
      </c>
      <c r="C9" s="7" t="s">
        <v>82</v>
      </c>
      <c r="H9" s="5" t="str">
        <f>IFERROR(__xludf.DUMMYFUNCTION("""COMPUTED_VALUE"""),"AARIN LIFE SCIENCE")</f>
        <v>AARIN LIFE SCIENCE</v>
      </c>
    </row>
    <row r="10">
      <c r="A10" s="5">
        <v>10.0</v>
      </c>
      <c r="B10" s="5" t="s">
        <v>757</v>
      </c>
      <c r="C10" s="7" t="s">
        <v>637</v>
      </c>
      <c r="H10" s="5" t="str">
        <f>IFERROR(__xludf.DUMMYFUNCTION("""COMPUTED_VALUE"""),"AARTI LIFESCIENCES")</f>
        <v>AARTI LIFESCIENCES</v>
      </c>
    </row>
    <row r="11">
      <c r="A11" s="5">
        <v>9.0</v>
      </c>
      <c r="B11" s="5" t="s">
        <v>758</v>
      </c>
      <c r="C11" s="7" t="s">
        <v>10</v>
      </c>
      <c r="H11" s="5" t="str">
        <f>IFERROR(__xludf.DUMMYFUNCTION("""COMPUTED_VALUE"""),"AASHI REMEDIES")</f>
        <v>AASHI REMEDIES</v>
      </c>
    </row>
    <row r="12">
      <c r="A12" s="5">
        <v>9.0</v>
      </c>
      <c r="B12" s="5" t="s">
        <v>759</v>
      </c>
      <c r="C12" s="7" t="s">
        <v>260</v>
      </c>
      <c r="H12" s="5" t="str">
        <f>IFERROR(__xludf.DUMMYFUNCTION("""COMPUTED_VALUE"""),"ABARIS HEALTHCARE")</f>
        <v>ABARIS HEALTHCARE</v>
      </c>
    </row>
    <row r="13" ht="15.75" customHeight="1">
      <c r="A13" s="5">
        <v>9.0</v>
      </c>
      <c r="B13" s="5" t="s">
        <v>760</v>
      </c>
      <c r="C13" s="7" t="s">
        <v>727</v>
      </c>
      <c r="H13" s="5" t="str">
        <f>IFERROR(__xludf.DUMMYFUNCTION("""COMPUTED_VALUE"""),"ABARIS HEALTHCARE
")</f>
        <v>ABARIS HEALTHCARE
</v>
      </c>
    </row>
    <row r="14">
      <c r="A14" s="5">
        <v>8.0</v>
      </c>
      <c r="B14" s="5" t="s">
        <v>761</v>
      </c>
      <c r="C14" s="7" t="s">
        <v>355</v>
      </c>
      <c r="H14" s="5" t="str">
        <f>IFERROR(__xludf.DUMMYFUNCTION("""COMPUTED_VALUE"""),"ABBEY DRUGS P LTD")</f>
        <v>ABBEY DRUGS P LTD</v>
      </c>
    </row>
    <row r="15">
      <c r="A15" s="5">
        <v>8.0</v>
      </c>
      <c r="B15" s="5" t="s">
        <v>762</v>
      </c>
      <c r="C15" s="7" t="s">
        <v>424</v>
      </c>
      <c r="H15" s="5" t="str">
        <f>IFERROR(__xludf.DUMMYFUNCTION("""COMPUTED_VALUE"""),"ABBOTT (COVID)")</f>
        <v>ABBOTT (COVID)</v>
      </c>
    </row>
    <row r="16">
      <c r="A16" s="5">
        <v>8.0</v>
      </c>
      <c r="B16" s="5" t="s">
        <v>763</v>
      </c>
      <c r="C16" s="7" t="s">
        <v>469</v>
      </c>
      <c r="H16" s="5" t="str">
        <f>IFERROR(__xludf.DUMMYFUNCTION("""COMPUTED_VALUE"""),"ABBOTT (FREE STYLE)")</f>
        <v>ABBOTT (FREE STYLE)</v>
      </c>
    </row>
    <row r="17">
      <c r="A17" s="5">
        <v>7.0</v>
      </c>
      <c r="B17" s="5" t="s">
        <v>764</v>
      </c>
      <c r="C17" s="7" t="s">
        <v>739</v>
      </c>
      <c r="H17" s="5" t="str">
        <f>IFERROR(__xludf.DUMMYFUNCTION("""COMPUTED_VALUE"""),"ABBOTT (GENERIC)")</f>
        <v>ABBOTT (GENERIC)</v>
      </c>
    </row>
    <row r="18">
      <c r="A18" s="5">
        <v>6.0</v>
      </c>
      <c r="B18" s="5" t="s">
        <v>765</v>
      </c>
      <c r="C18" s="7" t="s">
        <v>282</v>
      </c>
      <c r="H18" s="5" t="str">
        <f>IFERROR(__xludf.DUMMYFUNCTION("""COMPUTED_VALUE"""),"ABBOTT (GI ADVANCE)")</f>
        <v>ABBOTT (GI ADVANCE)</v>
      </c>
    </row>
    <row r="19">
      <c r="A19" s="5">
        <v>5.0</v>
      </c>
      <c r="B19" s="5" t="s">
        <v>766</v>
      </c>
      <c r="C19" s="7" t="s">
        <v>31</v>
      </c>
      <c r="H19" s="5" t="str">
        <f>IFERROR(__xludf.DUMMYFUNCTION("""COMPUTED_VALUE"""),"ABBOTT (MEDICAL OPTICS)")</f>
        <v>ABBOTT (MEDICAL OPTICS)</v>
      </c>
    </row>
    <row r="20">
      <c r="A20" s="5">
        <v>5.0</v>
      </c>
      <c r="B20" s="5" t="s">
        <v>767</v>
      </c>
      <c r="C20" s="7" t="s">
        <v>418</v>
      </c>
      <c r="H20" s="5" t="str">
        <f>IFERROR(__xludf.DUMMYFUNCTION("""COMPUTED_VALUE"""),"ABBOTT (METABOLIC)")</f>
        <v>ABBOTT (METABOLIC)</v>
      </c>
    </row>
    <row r="21">
      <c r="A21" s="5">
        <v>5.0</v>
      </c>
      <c r="B21" s="5" t="s">
        <v>768</v>
      </c>
      <c r="C21" s="7" t="s">
        <v>480</v>
      </c>
      <c r="H21" s="5" t="str">
        <f>IFERROR(__xludf.DUMMYFUNCTION("""COMPUTED_VALUE"""),"ABBOTT (ONCOLOGY)")</f>
        <v>ABBOTT (ONCOLOGY)</v>
      </c>
    </row>
    <row r="22">
      <c r="A22" s="5">
        <v>4.0</v>
      </c>
      <c r="B22" s="5" t="s">
        <v>769</v>
      </c>
      <c r="C22" s="7" t="s">
        <v>270</v>
      </c>
      <c r="H22" s="5" t="str">
        <f>IFERROR(__xludf.DUMMYFUNCTION("""COMPUTED_VALUE"""),"Abbott India Ltd")</f>
        <v>Abbott India Ltd</v>
      </c>
    </row>
    <row r="23">
      <c r="A23" s="5">
        <v>4.0</v>
      </c>
      <c r="B23" s="5" t="s">
        <v>770</v>
      </c>
      <c r="C23" s="7" t="s">
        <v>648</v>
      </c>
      <c r="H23" s="5" t="str">
        <f>IFERROR(__xludf.DUMMYFUNCTION("""COMPUTED_VALUE"""),"ABBOTT INDIA LTD (OTC)")</f>
        <v>ABBOTT INDIA LTD (OTC)</v>
      </c>
    </row>
    <row r="24">
      <c r="A24" s="5">
        <v>4.0</v>
      </c>
      <c r="B24" s="5" t="s">
        <v>771</v>
      </c>
      <c r="C24" s="7" t="s">
        <v>713</v>
      </c>
      <c r="H24" s="5" t="str">
        <f>IFERROR(__xludf.DUMMYFUNCTION("""COMPUTED_VALUE"""),"ABBOTT INDIA LTD (SOLVAY)")</f>
        <v>ABBOTT INDIA LTD (SOLVAY)</v>
      </c>
    </row>
    <row r="25">
      <c r="A25" s="5">
        <v>3.0</v>
      </c>
      <c r="B25" s="5" t="s">
        <v>772</v>
      </c>
      <c r="C25" s="7" t="s">
        <v>632</v>
      </c>
      <c r="H25" s="5" t="str">
        <f>IFERROR(__xludf.DUMMYFUNCTION("""COMPUTED_VALUE"""),"Abbott India Ltd (SPECIALITY)")</f>
        <v>Abbott India Ltd (SPECIALITY)</v>
      </c>
    </row>
    <row r="26">
      <c r="A26" s="5">
        <v>2.0</v>
      </c>
      <c r="B26" s="5" t="s">
        <v>773</v>
      </c>
      <c r="C26" s="7" t="s">
        <v>26</v>
      </c>
      <c r="H26" s="5" t="str">
        <f>IFERROR(__xludf.DUMMYFUNCTION("""COMPUTED_VALUE"""),"ABBOTT TRUECARE PHARMA")</f>
        <v>ABBOTT TRUECARE PHARMA</v>
      </c>
    </row>
    <row r="27">
      <c r="A27" s="5">
        <v>2.0</v>
      </c>
      <c r="B27" s="5" t="s">
        <v>774</v>
      </c>
      <c r="C27" s="7" t="s">
        <v>250</v>
      </c>
      <c r="H27" s="5" t="str">
        <f>IFERROR(__xludf.DUMMYFUNCTION("""COMPUTED_VALUE"""),"ABHIJEET INDUSTRIES")</f>
        <v>ABHIJEET INDUSTRIES</v>
      </c>
    </row>
    <row r="28">
      <c r="A28" s="5">
        <v>2.0</v>
      </c>
      <c r="B28" s="5" t="s">
        <v>775</v>
      </c>
      <c r="C28" s="7" t="s">
        <v>348</v>
      </c>
      <c r="H28" s="5" t="str">
        <f>IFERROR(__xludf.DUMMYFUNCTION("""COMPUTED_VALUE"""),"ABHILASHA AYURVEDIC PHARMACY")</f>
        <v>ABHILASHA AYURVEDIC PHARMACY</v>
      </c>
    </row>
    <row r="29">
      <c r="A29" s="5">
        <v>2.0</v>
      </c>
      <c r="B29" s="5" t="s">
        <v>776</v>
      </c>
      <c r="C29" s="7" t="s">
        <v>364</v>
      </c>
      <c r="H29" s="5" t="str">
        <f>IFERROR(__xludf.DUMMYFUNCTION("""COMPUTED_VALUE"""),"ABIL HEALTH CARE PVT LTD")</f>
        <v>ABIL HEALTH CARE PVT LTD</v>
      </c>
    </row>
    <row r="30">
      <c r="A30" s="5">
        <v>2.0</v>
      </c>
      <c r="B30" s="5" t="s">
        <v>777</v>
      </c>
      <c r="C30" s="7" t="s">
        <v>486</v>
      </c>
      <c r="H30" s="5" t="str">
        <f>IFERROR(__xludf.DUMMYFUNCTION("""COMPUTED_VALUE"""),"ABRIK REMEDIES")</f>
        <v>ABRIK REMEDIES</v>
      </c>
    </row>
    <row r="31">
      <c r="A31" s="5">
        <v>2.0</v>
      </c>
      <c r="B31" s="5" t="s">
        <v>778</v>
      </c>
      <c r="C31" s="7" t="s">
        <v>626</v>
      </c>
      <c r="H31" s="5" t="str">
        <f>IFERROR(__xludf.DUMMYFUNCTION("""COMPUTED_VALUE"""),"ABROGATE HEALTHCARE P LTD")</f>
        <v>ABROGATE HEALTHCARE P LTD</v>
      </c>
    </row>
    <row r="32">
      <c r="A32" s="5">
        <v>2.0</v>
      </c>
      <c r="B32" s="5" t="s">
        <v>779</v>
      </c>
      <c r="C32" s="7" t="s">
        <v>720</v>
      </c>
      <c r="H32" s="5" t="str">
        <f>IFERROR(__xludf.DUMMYFUNCTION("""COMPUTED_VALUE"""),"ACCORD PHARMACEUTICALS")</f>
        <v>ACCORD PHARMACEUTICALS</v>
      </c>
    </row>
    <row r="33">
      <c r="A33" s="5">
        <v>1.0</v>
      </c>
      <c r="B33" s="5" t="s">
        <v>780</v>
      </c>
      <c r="C33" s="7" t="s">
        <v>97</v>
      </c>
      <c r="H33" s="5" t="str">
        <f>IFERROR(__xludf.DUMMYFUNCTION("""COMPUTED_VALUE"""),"ACCURIS HEALTHCARE")</f>
        <v>ACCURIS HEALTHCARE</v>
      </c>
    </row>
    <row r="34">
      <c r="A34" s="5">
        <v>1.0</v>
      </c>
      <c r="B34" s="5" t="s">
        <v>781</v>
      </c>
      <c r="C34" s="7" t="s">
        <v>248</v>
      </c>
      <c r="H34" s="5" t="str">
        <f>IFERROR(__xludf.DUMMYFUNCTION("""COMPUTED_VALUE"""),"ACE BIOTECH")</f>
        <v>ACE BIOTECH</v>
      </c>
    </row>
    <row r="35">
      <c r="A35" s="5">
        <v>1.0</v>
      </c>
      <c r="B35" s="5" t="s">
        <v>782</v>
      </c>
      <c r="C35" s="7" t="s">
        <v>254</v>
      </c>
      <c r="H35" s="5" t="str">
        <f>IFERROR(__xludf.DUMMYFUNCTION("""COMPUTED_VALUE"""),"ACELA HEALTHCARE PVT LTD")</f>
        <v>ACELA HEALTHCARE PVT LTD</v>
      </c>
    </row>
    <row r="36">
      <c r="A36" s="5">
        <v>1.0</v>
      </c>
      <c r="B36" s="5" t="s">
        <v>783</v>
      </c>
      <c r="C36" s="7" t="s">
        <v>256</v>
      </c>
      <c r="H36" s="5" t="str">
        <f>IFERROR(__xludf.DUMMYFUNCTION("""COMPUTED_VALUE"""),"ACICHEM LABORATORIES")</f>
        <v>ACICHEM LABORATORIES</v>
      </c>
    </row>
    <row r="37">
      <c r="A37" s="5">
        <v>1.0</v>
      </c>
      <c r="B37" s="5" t="s">
        <v>784</v>
      </c>
      <c r="C37" s="7" t="s">
        <v>258</v>
      </c>
      <c r="H37" s="5" t="str">
        <f>IFERROR(__xludf.DUMMYFUNCTION("""COMPUTED_VALUE"""),"ACINOM HEALTHCARE")</f>
        <v>ACINOM HEALTHCARE</v>
      </c>
    </row>
    <row r="38">
      <c r="A38" s="5">
        <v>1.0</v>
      </c>
      <c r="B38" s="5" t="s">
        <v>785</v>
      </c>
      <c r="C38" s="7" t="s">
        <v>279</v>
      </c>
      <c r="H38" s="5" t="str">
        <f>IFERROR(__xludf.DUMMYFUNCTION("""COMPUTED_VALUE"""),"ACME PHARMACEUTICALS")</f>
        <v>ACME PHARMACEUTICALS</v>
      </c>
    </row>
    <row r="39">
      <c r="A39" s="5">
        <v>1.0</v>
      </c>
      <c r="B39" s="5" t="s">
        <v>786</v>
      </c>
      <c r="C39" s="7" t="s">
        <v>282</v>
      </c>
      <c r="H39" s="5" t="str">
        <f>IFERROR(__xludf.DUMMYFUNCTION("""COMPUTED_VALUE"""),"ACROMAT PHARMA LAB")</f>
        <v>ACROMAT PHARMA LAB</v>
      </c>
    </row>
    <row r="40">
      <c r="A40" s="5">
        <v>1.0</v>
      </c>
      <c r="B40" s="5" t="s">
        <v>787</v>
      </c>
      <c r="C40" s="7" t="s">
        <v>351</v>
      </c>
      <c r="H40" s="5" t="str">
        <f>IFERROR(__xludf.DUMMYFUNCTION("""COMPUTED_VALUE"""),"ACULIFE HEALTHCARE PVT LTD")</f>
        <v>ACULIFE HEALTHCARE PVT LTD</v>
      </c>
    </row>
    <row r="41">
      <c r="A41" s="5">
        <v>1.0</v>
      </c>
      <c r="B41" s="5" t="s">
        <v>788</v>
      </c>
      <c r="C41" s="7" t="s">
        <v>353</v>
      </c>
      <c r="H41" s="5" t="str">
        <f>IFERROR(__xludf.DUMMYFUNCTION("""COMPUTED_VALUE"""),"ACURAGLOBE LLP")</f>
        <v>ACURAGLOBE LLP</v>
      </c>
    </row>
    <row r="42">
      <c r="A42" s="5">
        <v>1.0</v>
      </c>
      <c r="B42" s="5" t="s">
        <v>789</v>
      </c>
      <c r="C42" s="7" t="s">
        <v>478</v>
      </c>
      <c r="H42" s="5" t="str">
        <f>IFERROR(__xludf.DUMMYFUNCTION("""COMPUTED_VALUE"""),"AD-VIK LABORATORIES")</f>
        <v>AD-VIK LABORATORIES</v>
      </c>
    </row>
    <row r="43">
      <c r="A43" s="5">
        <v>1.0</v>
      </c>
      <c r="B43" s="5" t="s">
        <v>790</v>
      </c>
      <c r="C43" s="7" t="s">
        <v>624</v>
      </c>
      <c r="H43" s="5" t="str">
        <f>IFERROR(__xludf.DUMMYFUNCTION("""COMPUTED_VALUE"""),"ADALBERT HEALTHCARE")</f>
        <v>ADALBERT HEALTHCARE</v>
      </c>
    </row>
    <row r="44">
      <c r="A44" s="5">
        <v>1.0</v>
      </c>
      <c r="B44" s="5" t="s">
        <v>791</v>
      </c>
      <c r="C44" s="7" t="s">
        <v>626</v>
      </c>
      <c r="H44" s="5" t="str">
        <f>IFERROR(__xludf.DUMMYFUNCTION("""COMPUTED_VALUE"""),"ADARSH PHARMACEUTICAL WORKS")</f>
        <v>ADARSH PHARMACEUTICAL WORKS</v>
      </c>
    </row>
    <row r="45">
      <c r="A45" s="5">
        <v>1.0</v>
      </c>
      <c r="B45" s="5" t="s">
        <v>628</v>
      </c>
      <c r="C45" s="7" t="s">
        <v>628</v>
      </c>
      <c r="H45" s="5" t="str">
        <f>IFERROR(__xludf.DUMMYFUNCTION("""COMPUTED_VALUE"""),"Adcock Ingram (CFL)")</f>
        <v>Adcock Ingram (CFL)</v>
      </c>
    </row>
    <row r="46">
      <c r="A46" s="5">
        <v>1.0</v>
      </c>
      <c r="B46" s="5" t="s">
        <v>792</v>
      </c>
      <c r="C46" s="7" t="s">
        <v>653</v>
      </c>
      <c r="H46" s="5" t="str">
        <f>IFERROR(__xludf.DUMMYFUNCTION("""COMPUTED_VALUE"""),"Adcock Ingram (COSMO)")</f>
        <v>Adcock Ingram (COSMO)</v>
      </c>
    </row>
    <row r="47">
      <c r="A47" s="5">
        <v>1.0</v>
      </c>
      <c r="B47" s="5" t="s">
        <v>793</v>
      </c>
      <c r="C47" s="7" t="s">
        <v>656</v>
      </c>
      <c r="H47" s="5" t="str">
        <f>IFERROR(__xludf.DUMMYFUNCTION("""COMPUTED_VALUE"""),"Adcock Ingram (DERMA SKINCARE)")</f>
        <v>Adcock Ingram (DERMA SKINCARE)</v>
      </c>
    </row>
    <row r="48">
      <c r="A48" s="5">
        <v>1.0</v>
      </c>
      <c r="B48" s="5" t="s">
        <v>794</v>
      </c>
      <c r="C48" s="7" t="s">
        <v>718</v>
      </c>
      <c r="H48" s="5" t="str">
        <f>IFERROR(__xludf.DUMMYFUNCTION("""COMPUTED_VALUE"""),"Adcock Ingram Healthcare Pvt Ltd")</f>
        <v>Adcock Ingram Healthcare Pvt Ltd</v>
      </c>
    </row>
    <row r="49">
      <c r="A49" s="5">
        <v>1.0</v>
      </c>
      <c r="B49" s="5" t="s">
        <v>795</v>
      </c>
      <c r="C49" s="7" t="s">
        <v>723</v>
      </c>
      <c r="H49" s="5" t="str">
        <f>IFERROR(__xludf.DUMMYFUNCTION("""COMPUTED_VALUE"""),"ADCON LABS")</f>
        <v>ADCON LABS</v>
      </c>
    </row>
    <row r="50">
      <c r="A50" s="5">
        <v>1.0</v>
      </c>
      <c r="B50" s="5" t="s">
        <v>796</v>
      </c>
      <c r="C50" s="7" t="s">
        <v>725</v>
      </c>
      <c r="H50" s="5" t="str">
        <f>IFERROR(__xludf.DUMMYFUNCTION("""COMPUTED_VALUE"""),"ADDII BIOTECH (ADRIVE)")</f>
        <v>ADDII BIOTECH (ADRIVE)</v>
      </c>
    </row>
    <row r="51">
      <c r="A51" s="5">
        <v>1.0</v>
      </c>
      <c r="B51" s="5" t="s">
        <v>797</v>
      </c>
      <c r="C51" s="7" t="s">
        <v>737</v>
      </c>
      <c r="H51" s="5" t="str">
        <f>IFERROR(__xludf.DUMMYFUNCTION("""COMPUTED_VALUE"""),"ADDIS PHARMA")</f>
        <v>ADDIS PHARMA</v>
      </c>
    </row>
    <row r="52">
      <c r="A52" s="5">
        <v>1.0</v>
      </c>
      <c r="B52" s="5" t="s">
        <v>798</v>
      </c>
      <c r="C52" s="7" t="s">
        <v>747</v>
      </c>
      <c r="H52" s="5" t="str">
        <f>IFERROR(__xludf.DUMMYFUNCTION("""COMPUTED_VALUE"""),"ADEL - MADDUS")</f>
        <v>ADEL - MADDUS</v>
      </c>
    </row>
    <row r="53">
      <c r="H53" s="5" t="str">
        <f>IFERROR(__xludf.DUMMYFUNCTION("""COMPUTED_VALUE"""),"ADELEY")</f>
        <v>ADELEY</v>
      </c>
    </row>
    <row r="54" ht="15.0" customHeight="1">
      <c r="H54" s="5" t="str">
        <f>IFERROR(__xludf.DUMMYFUNCTION("""COMPUTED_VALUE"""),"ADIPS LABORATORIES LTD
")</f>
        <v>ADIPS LABORATORIES LTD
</v>
      </c>
    </row>
    <row r="55">
      <c r="H55" s="5" t="str">
        <f>IFERROR(__xludf.DUMMYFUNCTION("""COMPUTED_VALUE"""),"ADISTA HEALTHCARE INDIA P LTD")</f>
        <v>ADISTA HEALTHCARE INDIA P LTD</v>
      </c>
    </row>
    <row r="56">
      <c r="H56" s="5" t="str">
        <f>IFERROR(__xludf.DUMMYFUNCTION("""COMPUTED_VALUE"""),"ADITSA HEALTH CARE")</f>
        <v>ADITSA HEALTH CARE</v>
      </c>
    </row>
    <row r="57">
      <c r="H57" s="5" t="str">
        <f>IFERROR(__xludf.DUMMYFUNCTION("""COMPUTED_VALUE"""),"ADIVA PHARMA")</f>
        <v>ADIVA PHARMA</v>
      </c>
    </row>
    <row r="58">
      <c r="H58" s="5" t="str">
        <f>IFERROR(__xludf.DUMMYFUNCTION("""COMPUTED_VALUE"""),"ADLEY LAB")</f>
        <v>ADLEY LAB</v>
      </c>
    </row>
    <row r="59">
      <c r="H59" s="5" t="str">
        <f>IFERROR(__xludf.DUMMYFUNCTION("""COMPUTED_VALUE"""),"ADLEY LAB (SUPPORTIVE CARE)")</f>
        <v>ADLEY LAB (SUPPORTIVE CARE)</v>
      </c>
    </row>
    <row r="60">
      <c r="H60" s="5" t="str">
        <f>IFERROR(__xludf.DUMMYFUNCTION("""COMPUTED_VALUE"""),"ADMAC FORMULATIONS")</f>
        <v>ADMAC FORMULATIONS</v>
      </c>
    </row>
    <row r="61">
      <c r="H61" s="5" t="str">
        <f>IFERROR(__xludf.DUMMYFUNCTION("""COMPUTED_VALUE"""),"Admac Pharma Ltd")</f>
        <v>Admac Pharma Ltd</v>
      </c>
    </row>
    <row r="62">
      <c r="H62" s="5" t="str">
        <f>IFERROR(__xludf.DUMMYFUNCTION("""COMPUTED_VALUE"""),"ADMAN FORMULATION PVT LTD")</f>
        <v>ADMAN FORMULATION PVT LTD</v>
      </c>
    </row>
    <row r="63">
      <c r="H63" s="5" t="str">
        <f>IFERROR(__xludf.DUMMYFUNCTION("""COMPUTED_VALUE"""),"Adonis Laboratories Pvt Ltd")</f>
        <v>Adonis Laboratories Pvt Ltd</v>
      </c>
    </row>
    <row r="64">
      <c r="H64" s="5" t="str">
        <f>IFERROR(__xludf.DUMMYFUNCTION("""COMPUTED_VALUE"""),"Adroit Biomed Ltd")</f>
        <v>Adroit Biomed Ltd</v>
      </c>
    </row>
    <row r="65">
      <c r="H65" s="5" t="str">
        <f>IFERROR(__xludf.DUMMYFUNCTION("""COMPUTED_VALUE"""),"ADVEN")</f>
        <v>ADVEN</v>
      </c>
    </row>
    <row r="66">
      <c r="H66" s="5" t="str">
        <f>IFERROR(__xludf.DUMMYFUNCTION("""COMPUTED_VALUE"""),"AEGIS HEALTH SOLUTION")</f>
        <v>AEGIS HEALTH SOLUTION</v>
      </c>
    </row>
    <row r="67">
      <c r="H67" s="5" t="str">
        <f>IFERROR(__xludf.DUMMYFUNCTION("""COMPUTED_VALUE"""),"AEGIS LIFESCIENCES PVT LTD")</f>
        <v>AEGIS LIFESCIENCES PVT LTD</v>
      </c>
    </row>
    <row r="68">
      <c r="H68" s="5" t="str">
        <f>IFERROR(__xludf.DUMMYFUNCTION("""COMPUTED_VALUE"""),"AEQUITAS HEALTHCARE PVT LTD")</f>
        <v>AEQUITAS HEALTHCARE PVT LTD</v>
      </c>
    </row>
    <row r="69">
      <c r="H69" s="5" t="str">
        <f>IFERROR(__xludf.DUMMYFUNCTION("""COMPUTED_VALUE"""),"AERAN LAB INDIA PVT LTD")</f>
        <v>AERAN LAB INDIA PVT LTD</v>
      </c>
    </row>
    <row r="70">
      <c r="H70" s="5" t="str">
        <f>IFERROR(__xludf.DUMMYFUNCTION("""COMPUTED_VALUE"""),"AEROLIFE INDIA HEALTHCARE")</f>
        <v>AEROLIFE INDIA HEALTHCARE</v>
      </c>
    </row>
    <row r="71">
      <c r="H71" s="5" t="str">
        <f>IFERROR(__xludf.DUMMYFUNCTION("""COMPUTED_VALUE"""),"AFEX PHARMACEUTICALS")</f>
        <v>AFEX PHARMACEUTICALS</v>
      </c>
    </row>
    <row r="72">
      <c r="H72" s="5" t="str">
        <f>IFERROR(__xludf.DUMMYFUNCTION("""COMPUTED_VALUE"""),"AFFINE FORMULATION P LTD SOLAN")</f>
        <v>AFFINE FORMULATION P LTD SOLAN</v>
      </c>
    </row>
    <row r="73">
      <c r="H73" s="5" t="str">
        <f>IFERROR(__xludf.DUMMYFUNCTION("""COMPUTED_VALUE"""),"AFFY PARENTERALS BADDI")</f>
        <v>AFFY PARENTERALS BADDI</v>
      </c>
    </row>
    <row r="74">
      <c r="H74" s="5" t="str">
        <f>IFERROR(__xludf.DUMMYFUNCTION("""COMPUTED_VALUE"""),"AFFY PHARMA PVT LTD")</f>
        <v>AFFY PHARMA PVT LTD</v>
      </c>
    </row>
    <row r="75">
      <c r="H75" s="5" t="str">
        <f>IFERROR(__xludf.DUMMYFUNCTION("""COMPUTED_VALUE"""),"AFIVE PHARMACEUTICALS")</f>
        <v>AFIVE PHARMACEUTICALS</v>
      </c>
    </row>
    <row r="76">
      <c r="H76" s="5" t="str">
        <f>IFERROR(__xludf.DUMMYFUNCTION("""COMPUTED_VALUE"""),"AG BIOTECH")</f>
        <v>AG BIOTECH</v>
      </c>
    </row>
    <row r="77">
      <c r="H77" s="5" t="str">
        <f>IFERROR(__xludf.DUMMYFUNCTION("""COMPUTED_VALUE"""),"AGIO Pharmaceuticals Ltd")</f>
        <v>AGIO Pharmaceuticals Ltd</v>
      </c>
    </row>
    <row r="78">
      <c r="H78" s="5" t="str">
        <f>IFERROR(__xludf.DUMMYFUNCTION("""COMPUTED_VALUE"""),"Aglowmed Drugs Pvt   Ltd")</f>
        <v>Aglowmed Drugs Pvt   Ltd</v>
      </c>
    </row>
    <row r="79">
      <c r="H79" s="5" t="str">
        <f>IFERROR(__xludf.DUMMYFUNCTION("""COMPUTED_VALUE"""),"Aglowmed Drugs Pvt. Ltd.")</f>
        <v>Aglowmed Drugs Pvt. Ltd.</v>
      </c>
    </row>
    <row r="80">
      <c r="H80" s="5" t="str">
        <f>IFERROR(__xludf.DUMMYFUNCTION("""COMPUTED_VALUE"""),"AGM BIOTECH")</f>
        <v>AGM BIOTECH</v>
      </c>
    </row>
    <row r="81">
      <c r="H81" s="5" t="str">
        <f>IFERROR(__xludf.DUMMYFUNCTION("""COMPUTED_VALUE"""),"Agron India Ltd")</f>
        <v>Agron India Ltd</v>
      </c>
    </row>
    <row r="82">
      <c r="H82" s="5" t="str">
        <f>IFERROR(__xludf.DUMMYFUNCTION("""COMPUTED_VALUE"""),"Agron Remedies Pvt. Ltd")</f>
        <v>Agron Remedies Pvt. Ltd</v>
      </c>
    </row>
    <row r="83">
      <c r="H83" s="5" t="str">
        <f>IFERROR(__xludf.DUMMYFUNCTION("""COMPUTED_VALUE"""),"AGROSAFE PHARMACEUTICALS")</f>
        <v>AGROSAFE PHARMACEUTICALS</v>
      </c>
    </row>
    <row r="84">
      <c r="H84" s="5" t="str">
        <f>IFERROR(__xludf.DUMMYFUNCTION("""COMPUTED_VALUE"""),"AGROW PHARMA")</f>
        <v>AGROW PHARMA</v>
      </c>
    </row>
    <row r="85">
      <c r="H85" s="5" t="str">
        <f>IFERROR(__xludf.DUMMYFUNCTION("""COMPUTED_VALUE"""),"AGUS WORLD")</f>
        <v>AGUS WORLD</v>
      </c>
    </row>
    <row r="86">
      <c r="H86" s="5" t="str">
        <f>IFERROR(__xludf.DUMMYFUNCTION("""COMPUTED_VALUE"""),"AIMIL PHARMACEUTICALS")</f>
        <v>AIMIL PHARMACEUTICALS</v>
      </c>
    </row>
    <row r="87">
      <c r="H87" s="5" t="str">
        <f>IFERROR(__xludf.DUMMYFUNCTION("""COMPUTED_VALUE"""),"AISHWARYA HEALTHCARE")</f>
        <v>AISHWARYA HEALTHCARE</v>
      </c>
    </row>
    <row r="88">
      <c r="H88" s="5" t="str">
        <f>IFERROR(__xludf.DUMMYFUNCTION("""COMPUTED_VALUE"""),"AISLIN FORMULATION PVT LTD")</f>
        <v>AISLIN FORMULATION PVT LTD</v>
      </c>
    </row>
    <row r="89">
      <c r="H89" s="5" t="str">
        <f>IFERROR(__xludf.DUMMYFUNCTION("""COMPUTED_VALUE"""),"AJANTA PHARMA (ALMIRON)")</f>
        <v>AJANTA PHARMA (ALMIRON)</v>
      </c>
    </row>
    <row r="90">
      <c r="H90" s="5" t="str">
        <f>IFERROR(__xludf.DUMMYFUNCTION("""COMPUTED_VALUE"""),"AJANTA PHARMA (ANVAXX)")</f>
        <v>AJANTA PHARMA (ANVAXX)</v>
      </c>
    </row>
    <row r="91">
      <c r="H91" s="5" t="str">
        <f>IFERROR(__xludf.DUMMYFUNCTION("""COMPUTED_VALUE"""),"AJANTA PHARMA (AUREUS)")</f>
        <v>AJANTA PHARMA (AUREUS)</v>
      </c>
    </row>
    <row r="92">
      <c r="H92" s="5" t="str">
        <f>IFERROR(__xludf.DUMMYFUNCTION("""COMPUTED_VALUE"""),"AJANTA PHARMA (AVECIA)")</f>
        <v>AJANTA PHARMA (AVECIA)</v>
      </c>
    </row>
    <row r="93">
      <c r="H93" s="5" t="str">
        <f>IFERROR(__xludf.DUMMYFUNCTION("""COMPUTED_VALUE"""),"AJANTA PHARMA (AXYS)")</f>
        <v>AJANTA PHARMA (AXYS)</v>
      </c>
    </row>
    <row r="94">
      <c r="H94" s="5" t="str">
        <f>IFERROR(__xludf.DUMMYFUNCTION("""COMPUTED_VALUE"""),"AJANTA PHARMA (CDC)")</f>
        <v>AJANTA PHARMA (CDC)</v>
      </c>
    </row>
    <row r="95">
      <c r="H95" s="5" t="str">
        <f>IFERROR(__xludf.DUMMYFUNCTION("""COMPUTED_VALUE"""),"AJANTA PHARMA (ILLUMA)")</f>
        <v>AJANTA PHARMA (ILLUMA)</v>
      </c>
    </row>
    <row r="96">
      <c r="H96" s="5" t="str">
        <f>IFERROR(__xludf.DUMMYFUNCTION("""COMPUTED_VALUE"""),"AJANTA PHARMA (INYX)")</f>
        <v>AJANTA PHARMA (INYX)</v>
      </c>
    </row>
    <row r="97">
      <c r="H97" s="5" t="str">
        <f>IFERROR(__xludf.DUMMYFUNCTION("""COMPUTED_VALUE"""),"AJANTA PHARMA (MEXLON)")</f>
        <v>AJANTA PHARMA (MEXLON)</v>
      </c>
    </row>
    <row r="98">
      <c r="H98" s="5" t="str">
        <f>IFERROR(__xludf.DUMMYFUNCTION("""COMPUTED_VALUE"""),"AJANTA PHARMA (NUVENTA)")</f>
        <v>AJANTA PHARMA (NUVENTA)</v>
      </c>
    </row>
    <row r="99">
      <c r="H99" s="5" t="str">
        <f>IFERROR(__xludf.DUMMYFUNCTION("""COMPUTED_VALUE"""),"AJANTA PHARMA (PRISMA)")</f>
        <v>AJANTA PHARMA (PRISMA)</v>
      </c>
    </row>
    <row r="100">
      <c r="H100" s="5" t="str">
        <f>IFERROR(__xludf.DUMMYFUNCTION("""COMPUTED_VALUE"""),"AJANTA PHARMA (SOLESTA)")</f>
        <v>AJANTA PHARMA (SOLESTA)</v>
      </c>
    </row>
    <row r="101">
      <c r="H101" s="5" t="str">
        <f>IFERROR(__xludf.DUMMYFUNCTION("""COMPUTED_VALUE"""),"AJANTA PHARMA (ZILLION SPE)")</f>
        <v>AJANTA PHARMA (ZILLION SPE)</v>
      </c>
    </row>
    <row r="102">
      <c r="H102" s="5" t="str">
        <f>IFERROR(__xludf.DUMMYFUNCTION("""COMPUTED_VALUE"""),"AJANTA PHARMA (ZILLION)")</f>
        <v>AJANTA PHARMA (ZILLION)</v>
      </c>
    </row>
    <row r="103">
      <c r="H103" s="5" t="str">
        <f>IFERROR(__xludf.DUMMYFUNCTION("""COMPUTED_VALUE"""),"Ajanta Pharma Ltd")</f>
        <v>Ajanta Pharma Ltd</v>
      </c>
    </row>
    <row r="104">
      <c r="H104" s="5" t="str">
        <f>IFERROR(__xludf.DUMMYFUNCTION("""COMPUTED_VALUE"""),"AJES PHARMA")</f>
        <v>AJES PHARMA</v>
      </c>
    </row>
    <row r="105">
      <c r="H105" s="5" t="str">
        <f>IFERROR(__xludf.DUMMYFUNCTION("""COMPUTED_VALUE"""),"AJIT AYURVEDA")</f>
        <v>AJIT AYURVEDA</v>
      </c>
    </row>
    <row r="106">
      <c r="H106" s="5" t="str">
        <f>IFERROR(__xludf.DUMMYFUNCTION("""COMPUTED_VALUE"""),"AKOGNOS LIFE SCIENCES")</f>
        <v>AKOGNOS LIFE SCIENCES</v>
      </c>
    </row>
    <row r="107">
      <c r="H107" s="5" t="str">
        <f>IFERROR(__xludf.DUMMYFUNCTION("""COMPUTED_VALUE"""),"AKPASH PHARMA INDORE")</f>
        <v>AKPASH PHARMA INDORE</v>
      </c>
    </row>
    <row r="108">
      <c r="H108" s="5" t="str">
        <f>IFERROR(__xludf.DUMMYFUNCTION("""COMPUTED_VALUE"""),"AKSH PHARMA")</f>
        <v>AKSH PHARMA</v>
      </c>
    </row>
    <row r="109">
      <c r="H109" s="5" t="str">
        <f>IFERROR(__xludf.DUMMYFUNCTION("""COMPUTED_VALUE"""),"AKSHAY PHARMA")</f>
        <v>AKSHAY PHARMA</v>
      </c>
    </row>
    <row r="110">
      <c r="H110" s="5" t="str">
        <f>IFERROR(__xludf.DUMMYFUNCTION("""COMPUTED_VALUE"""),"Aksigen Hospital Care")</f>
        <v>Aksigen Hospital Care</v>
      </c>
    </row>
    <row r="111">
      <c r="H111" s="5" t="str">
        <f>IFERROR(__xludf.DUMMYFUNCTION("""COMPUTED_VALUE"""),"Akumentis Healthcare Ltd")</f>
        <v>Akumentis Healthcare Ltd</v>
      </c>
    </row>
    <row r="112">
      <c r="H112" s="5" t="str">
        <f>IFERROR(__xludf.DUMMYFUNCTION("""COMPUTED_VALUE"""),"AKUMENTIS HEALTHCARE LTD (CRETIS)")</f>
        <v>AKUMENTIS HEALTHCARE LTD (CRETIS)</v>
      </c>
    </row>
    <row r="113">
      <c r="H113" s="5" t="str">
        <f>IFERROR(__xludf.DUMMYFUNCTION("""COMPUTED_VALUE"""),"AKUMENTIS HEALTHCARE LTD (HARMONICA)")</f>
        <v>AKUMENTIS HEALTHCARE LTD (HARMONICA)</v>
      </c>
    </row>
    <row r="114">
      <c r="H114" s="5" t="str">
        <f>IFERROR(__xludf.DUMMYFUNCTION("""COMPUTED_VALUE"""),"AKUMENTIS HEALTHCARE LTD (OSTEON)")</f>
        <v>AKUMENTIS HEALTHCARE LTD (OSTEON)</v>
      </c>
    </row>
    <row r="115">
      <c r="H115" s="5" t="str">
        <f>IFERROR(__xludf.DUMMYFUNCTION("""COMPUTED_VALUE"""),"Akums Drugs &amp; Pharmaceuticals Ltd")</f>
        <v>Akums Drugs &amp; Pharmaceuticals Ltd</v>
      </c>
    </row>
    <row r="116">
      <c r="H116" s="5" t="str">
        <f>IFERROR(__xludf.DUMMYFUNCTION("""COMPUTED_VALUE"""),"ALAKNANDA HERBAL")</f>
        <v>ALAKNANDA HERBAL</v>
      </c>
    </row>
    <row r="117">
      <c r="H117" s="5" t="str">
        <f>IFERROR(__xludf.DUMMYFUNCTION("""COMPUTED_VALUE"""),"Alarsin Pharmaceuticals")</f>
        <v>Alarsin Pharmaceuticals</v>
      </c>
    </row>
    <row r="118">
      <c r="H118" s="5" t="str">
        <f>IFERROR(__xludf.DUMMYFUNCTION("""COMPUTED_VALUE"""),"ALASTER HEALTH CARE")</f>
        <v>ALASTER HEALTH CARE</v>
      </c>
    </row>
    <row r="119">
      <c r="H119" s="5" t="str">
        <f>IFERROR(__xludf.DUMMYFUNCTION("""COMPUTED_VALUE"""),"ALBATROSS HEALTHCARE")</f>
        <v>ALBATROSS HEALTHCARE</v>
      </c>
    </row>
    <row r="120">
      <c r="H120" s="5" t="str">
        <f>IFERROR(__xludf.DUMMYFUNCTION("""COMPUTED_VALUE"""),"Albert David Ltd")</f>
        <v>Albert David Ltd</v>
      </c>
    </row>
    <row r="121">
      <c r="H121" s="5" t="str">
        <f>IFERROR(__xludf.DUMMYFUNCTION("""COMPUTED_VALUE"""),"ALBERTA MEDICARE P LTD")</f>
        <v>ALBERTA MEDICARE P LTD</v>
      </c>
    </row>
    <row r="122">
      <c r="H122" s="5" t="str">
        <f>IFERROR(__xludf.DUMMYFUNCTION("""COMPUTED_VALUE"""),"ALBINO PHARMACEUTICALS PVT LTD")</f>
        <v>ALBINO PHARMACEUTICALS PVT LTD</v>
      </c>
    </row>
    <row r="123">
      <c r="H123" s="5" t="str">
        <f>IFERROR(__xludf.DUMMYFUNCTION("""COMPUTED_VALUE"""),"ALBRIS HEALTHCARE &amp; BIOTECH PVT. LTD.")</f>
        <v>ALBRIS HEALTHCARE &amp; BIOTECH PVT. LTD.</v>
      </c>
    </row>
    <row r="124">
      <c r="H124" s="5" t="str">
        <f>IFERROR(__xludf.DUMMYFUNCTION("""COMPUTED_VALUE"""),"ALBRUS")</f>
        <v>ALBRUS</v>
      </c>
    </row>
    <row r="125">
      <c r="H125" s="5" t="str">
        <f>IFERROR(__xludf.DUMMYFUNCTION("""COMPUTED_VALUE"""),"ALCHEM PHYTOCEUTICAL")</f>
        <v>ALCHEM PHYTOCEUTICAL</v>
      </c>
    </row>
    <row r="126">
      <c r="H126" s="5" t="str">
        <f>IFERROR(__xludf.DUMMYFUNCTION("""COMPUTED_VALUE"""),"Alchemist Life Science")</f>
        <v>Alchemist Life Science</v>
      </c>
    </row>
    <row r="127">
      <c r="H127" s="5" t="str">
        <f>IFERROR(__xludf.DUMMYFUNCTION("""COMPUTED_VALUE"""),"ALCO LABS")</f>
        <v>ALCO LABS</v>
      </c>
    </row>
    <row r="128">
      <c r="H128" s="5" t="str">
        <f>IFERROR(__xludf.DUMMYFUNCTION("""COMPUTED_VALUE"""),"Alcon Laboratories")</f>
        <v>Alcon Laboratories</v>
      </c>
    </row>
    <row r="129">
      <c r="H129" s="5" t="str">
        <f>IFERROR(__xludf.DUMMYFUNCTION("""COMPUTED_VALUE"""),"ALDE VISION")</f>
        <v>ALDE VISION</v>
      </c>
    </row>
    <row r="130">
      <c r="H130" s="5" t="str">
        <f>IFERROR(__xludf.DUMMYFUNCTION("""COMPUTED_VALUE"""),"ALDER PHARMACEUTICAL")</f>
        <v>ALDER PHARMACEUTICAL</v>
      </c>
    </row>
    <row r="131">
      <c r="H131" s="5" t="str">
        <f>IFERROR(__xludf.DUMMYFUNCTION("""COMPUTED_VALUE"""),"ALEMBIC (CORAZON)")</f>
        <v>ALEMBIC (CORAZON)</v>
      </c>
    </row>
    <row r="132">
      <c r="H132" s="5" t="str">
        <f>IFERROR(__xludf.DUMMYFUNCTION("""COMPUTED_VALUE"""),"ALEMBIC (DERMA)")</f>
        <v>ALEMBIC (DERMA)</v>
      </c>
    </row>
    <row r="133">
      <c r="H133" s="5" t="str">
        <f>IFERROR(__xludf.DUMMYFUNCTION("""COMPUTED_VALUE"""),"ALEMBIC (ENTERON)")</f>
        <v>ALEMBIC (ENTERON)</v>
      </c>
    </row>
    <row r="134">
      <c r="H134" s="5" t="str">
        <f>IFERROR(__xludf.DUMMYFUNCTION("""COMPUTED_VALUE"""),"ALEMBIC (GENERIC)")</f>
        <v>ALEMBIC (GENERIC)</v>
      </c>
    </row>
    <row r="135">
      <c r="H135" s="5" t="str">
        <f>IFERROR(__xludf.DUMMYFUNCTION("""COMPUTED_VALUE"""),"ALEMBIC (MAIN)")</f>
        <v>ALEMBIC (MAIN)</v>
      </c>
    </row>
    <row r="136">
      <c r="H136" s="5" t="str">
        <f>IFERROR(__xludf.DUMMYFUNCTION("""COMPUTED_VALUE"""),"ALEMBIC (MAXIS)")</f>
        <v>ALEMBIC (MAXIS)</v>
      </c>
    </row>
    <row r="137">
      <c r="H137" s="5" t="str">
        <f>IFERROR(__xludf.DUMMYFUNCTION("""COMPUTED_VALUE"""),"ALEMBIC (MEGACARE)")</f>
        <v>ALEMBIC (MEGACARE)</v>
      </c>
    </row>
    <row r="138">
      <c r="H138" s="5" t="str">
        <f>IFERROR(__xludf.DUMMYFUNCTION("""COMPUTED_VALUE"""),"ALEMBIC (MITON)")</f>
        <v>ALEMBIC (MITON)</v>
      </c>
    </row>
    <row r="139">
      <c r="H139" s="5" t="str">
        <f>IFERROR(__xludf.DUMMYFUNCTION("""COMPUTED_VALUE"""),"ALEMBIC (OSTOFIT)")</f>
        <v>ALEMBIC (OSTOFIT)</v>
      </c>
    </row>
    <row r="140">
      <c r="H140" s="5" t="str">
        <f>IFERROR(__xludf.DUMMYFUNCTION("""COMPUTED_VALUE"""),"ALEMBIC (OURON)")</f>
        <v>ALEMBIC (OURON)</v>
      </c>
    </row>
    <row r="141">
      <c r="H141" s="5" t="str">
        <f>IFERROR(__xludf.DUMMYFUNCTION("""COMPUTED_VALUE"""),"ALEMBIC (SPECIA)")</f>
        <v>ALEMBIC (SPECIA)</v>
      </c>
    </row>
    <row r="142">
      <c r="H142" s="5" t="str">
        <f>IFERROR(__xludf.DUMMYFUNCTION("""COMPUTED_VALUE"""),"ALEMBIC (SUMMIT)")</f>
        <v>ALEMBIC (SUMMIT)</v>
      </c>
    </row>
    <row r="143">
      <c r="H143" s="5" t="str">
        <f>IFERROR(__xludf.DUMMYFUNCTION("""COMPUTED_VALUE"""),"ALEMBIC (SUPRACARE)")</f>
        <v>ALEMBIC (SUPRACARE)</v>
      </c>
    </row>
    <row r="144">
      <c r="H144" s="5" t="str">
        <f>IFERROR(__xludf.DUMMYFUNCTION("""COMPUTED_VALUE"""),"ALEMBIC (ZENOVI)")</f>
        <v>ALEMBIC (ZENOVI)</v>
      </c>
    </row>
    <row r="145">
      <c r="H145" s="5" t="str">
        <f>IFERROR(__xludf.DUMMYFUNCTION("""COMPUTED_VALUE"""),"Alembic Pharmaceuticals Ltd")</f>
        <v>Alembic Pharmaceuticals Ltd</v>
      </c>
    </row>
    <row r="146">
      <c r="H146" s="5" t="str">
        <f>IFERROR(__xludf.DUMMYFUNCTION("""COMPUTED_VALUE"""),"Alencure Biotech P Ltd")</f>
        <v>Alencure Biotech P Ltd</v>
      </c>
    </row>
    <row r="147">
      <c r="H147" s="5" t="str">
        <f>IFERROR(__xludf.DUMMYFUNCTION("""COMPUTED_VALUE"""),"ALEXIA HEALTHCARE")</f>
        <v>ALEXIA HEALTHCARE</v>
      </c>
    </row>
    <row r="148">
      <c r="H148" s="5" t="str">
        <f>IFERROR(__xludf.DUMMYFUNCTION("""COMPUTED_VALUE"""),"ALIGENT COSMETOLOGY")</f>
        <v>ALIGENT COSMETOLOGY</v>
      </c>
    </row>
    <row r="149">
      <c r="H149" s="5" t="str">
        <f>IFERROR(__xludf.DUMMYFUNCTION("""COMPUTED_VALUE"""),"ALIO LIFESCIENCES")</f>
        <v>ALIO LIFESCIENCES</v>
      </c>
    </row>
    <row r="150">
      <c r="H150" s="5" t="str">
        <f>IFERROR(__xludf.DUMMYFUNCTION("""COMPUTED_VALUE"""),"ALISIER DRUGS")</f>
        <v>ALISIER DRUGS</v>
      </c>
    </row>
    <row r="151">
      <c r="H151" s="5" t="str">
        <f>IFERROR(__xludf.DUMMYFUNCTION("""COMPUTED_VALUE"""),"ALISTE HEALTHCARE PVT. LTD.")</f>
        <v>ALISTE HEALTHCARE PVT. LTD.</v>
      </c>
    </row>
    <row r="152">
      <c r="H152" s="5" t="str">
        <f>IFERROR(__xludf.DUMMYFUNCTION("""COMPUTED_VALUE"""),"ALIV HELTH CARE SOLAN")</f>
        <v>ALIV HELTH CARE SOLAN</v>
      </c>
    </row>
    <row r="153">
      <c r="H153" s="5" t="str">
        <f>IFERROR(__xludf.DUMMYFUNCTION("""COMPUTED_VALUE"""),"ALIXAR HEALTHCARE")</f>
        <v>ALIXAR HEALTHCARE</v>
      </c>
    </row>
    <row r="154">
      <c r="H154" s="5" t="str">
        <f>IFERROR(__xludf.DUMMYFUNCTION("""COMPUTED_VALUE"""),"ALKA CHEMICAL INDUSTRIES")</f>
        <v>ALKA CHEMICAL INDUSTRIES</v>
      </c>
    </row>
    <row r="155">
      <c r="H155" s="5" t="str">
        <f>IFERROR(__xludf.DUMMYFUNCTION("""COMPUTED_VALUE"""),"ALKA PHARMACEUTICALS")</f>
        <v>ALKA PHARMACEUTICALS</v>
      </c>
    </row>
    <row r="156">
      <c r="H156" s="5" t="str">
        <f>IFERROR(__xludf.DUMMYFUNCTION("""COMPUTED_VALUE"""),"ALKEM (ACE)")</f>
        <v>ALKEM (ACE)</v>
      </c>
    </row>
    <row r="157">
      <c r="H157" s="5" t="str">
        <f>IFERROR(__xludf.DUMMYFUNCTION("""COMPUTED_VALUE"""),"ALKEM (ALPHA)")</f>
        <v>ALKEM (ALPHA)</v>
      </c>
    </row>
    <row r="158">
      <c r="H158" s="5" t="str">
        <f>IFERROR(__xludf.DUMMYFUNCTION("""COMPUTED_VALUE"""),"ALKEM (ALPHAMAX)")</f>
        <v>ALKEM (ALPHAMAX)</v>
      </c>
    </row>
    <row r="159">
      <c r="H159" s="5" t="str">
        <f>IFERROR(__xludf.DUMMYFUNCTION("""COMPUTED_VALUE"""),"ALKEM (ALTIS)")</f>
        <v>ALKEM (ALTIS)</v>
      </c>
    </row>
    <row r="160">
      <c r="H160" s="5" t="str">
        <f>IFERROR(__xludf.DUMMYFUNCTION("""COMPUTED_VALUE"""),"ALKEM (BERGEN)")</f>
        <v>ALKEM (BERGEN)</v>
      </c>
    </row>
    <row r="161">
      <c r="H161" s="5" t="str">
        <f>IFERROR(__xludf.DUMMYFUNCTION("""COMPUTED_VALUE"""),"ALKEM (CARDIOLOGY)")</f>
        <v>ALKEM (CARDIOLOGY)</v>
      </c>
    </row>
    <row r="162">
      <c r="H162" s="5" t="str">
        <f>IFERROR(__xludf.DUMMYFUNCTION("""COMPUTED_VALUE"""),"ALKEM (DERMACARE)")</f>
        <v>ALKEM (DERMACARE)</v>
      </c>
    </row>
    <row r="163">
      <c r="H163" s="5" t="str">
        <f>IFERROR(__xludf.DUMMYFUNCTION("""COMPUTED_VALUE"""),"ALKEM (DERMAKEM)")</f>
        <v>ALKEM (DERMAKEM)</v>
      </c>
    </row>
    <row r="164">
      <c r="H164" s="5" t="str">
        <f>IFERROR(__xludf.DUMMYFUNCTION("""COMPUTED_VALUE"""),"ALKEM (DIABETOLOGY)")</f>
        <v>ALKEM (DIABETOLOGY)</v>
      </c>
    </row>
    <row r="165">
      <c r="H165" s="5" t="str">
        <f>IFERROR(__xludf.DUMMYFUNCTION("""COMPUTED_VALUE"""),"ALKEM (FERTICA)")</f>
        <v>ALKEM (FERTICA)</v>
      </c>
    </row>
    <row r="166">
      <c r="H166" s="5" t="str">
        <f>IFERROR(__xludf.DUMMYFUNCTION("""COMPUTED_VALUE"""),"ALKEM (GENERIC-FUTURA)")</f>
        <v>ALKEM (GENERIC-FUTURA)</v>
      </c>
    </row>
    <row r="167">
      <c r="H167" s="5" t="str">
        <f>IFERROR(__xludf.DUMMYFUNCTION("""COMPUTED_VALUE"""),"ALKEM (GENERIC-MAXXIO)")</f>
        <v>ALKEM (GENERIC-MAXXIO)</v>
      </c>
    </row>
    <row r="168">
      <c r="H168" s="5" t="str">
        <f>IFERROR(__xludf.DUMMYFUNCTION("""COMPUTED_VALUE"""),"ALKEM (GENERIC)")</f>
        <v>ALKEM (GENERIC)</v>
      </c>
    </row>
    <row r="169">
      <c r="H169" s="5" t="str">
        <f>IFERROR(__xludf.DUMMYFUNCTION("""COMPUTED_VALUE"""),"ALKEM (HEALTH CARE)")</f>
        <v>ALKEM (HEALTH CARE)</v>
      </c>
    </row>
    <row r="170">
      <c r="H170" s="5" t="str">
        <f>IFERROR(__xludf.DUMMYFUNCTION("""COMPUTED_VALUE"""),"ALKEM (IMPERIA)")</f>
        <v>ALKEM (IMPERIA)</v>
      </c>
    </row>
    <row r="171">
      <c r="H171" s="5" t="str">
        <f>IFERROR(__xludf.DUMMYFUNCTION("""COMPUTED_VALUE"""),"ALKEM (MAIN)")</f>
        <v>ALKEM (MAIN)</v>
      </c>
    </row>
    <row r="172">
      <c r="H172" s="5" t="str">
        <f>IFERROR(__xludf.DUMMYFUNCTION("""COMPUTED_VALUE"""),"ALKEM (METABOLICS)")</f>
        <v>ALKEM (METABOLICS)</v>
      </c>
    </row>
    <row r="173">
      <c r="H173" s="5" t="str">
        <f>IFERROR(__xludf.DUMMYFUNCTION("""COMPUTED_VALUE"""),"ALKEM (ONCOLOGY)")</f>
        <v>ALKEM (ONCOLOGY)</v>
      </c>
    </row>
    <row r="174">
      <c r="H174" s="5" t="str">
        <f>IFERROR(__xludf.DUMMYFUNCTION("""COMPUTED_VALUE"""),"ALKEM (OTC)")</f>
        <v>ALKEM (OTC)</v>
      </c>
    </row>
    <row r="175">
      <c r="H175" s="5" t="str">
        <f>IFERROR(__xludf.DUMMYFUNCTION("""COMPUTED_VALUE"""),"ALKEM (ULTICARE)")</f>
        <v>ALKEM (ULTICARE)</v>
      </c>
    </row>
    <row r="176">
      <c r="H176" s="5" t="str">
        <f>IFERROR(__xludf.DUMMYFUNCTION("""COMPUTED_VALUE"""),"ALKEM (UROLOGY)")</f>
        <v>ALKEM (UROLOGY)</v>
      </c>
    </row>
    <row r="177">
      <c r="H177" s="5" t="str">
        <f>IFERROR(__xludf.DUMMYFUNCTION("""COMPUTED_VALUE"""),"ALKEM (ZURIEVE)")</f>
        <v>ALKEM (ZURIEVE)</v>
      </c>
    </row>
    <row r="178">
      <c r="H178" s="5" t="str">
        <f>IFERROR(__xludf.DUMMYFUNCTION("""COMPUTED_VALUE"""),"Alkem Laboratories Ltd")</f>
        <v>Alkem Laboratories Ltd</v>
      </c>
    </row>
    <row r="179">
      <c r="H179" s="5" t="str">
        <f>IFERROR(__xludf.DUMMYFUNCTION("""COMPUTED_VALUE"""),"Alkem Laboratories Ltd (SPECIALITY)")</f>
        <v>Alkem Laboratories Ltd (SPECIALITY)</v>
      </c>
    </row>
    <row r="180">
      <c r="H180" s="5" t="str">
        <f>IFERROR(__xludf.DUMMYFUNCTION("""COMPUTED_VALUE"""),"ALLEN - INDORE")</f>
        <v>ALLEN - INDORE</v>
      </c>
    </row>
    <row r="181">
      <c r="H181" s="5" t="str">
        <f>IFERROR(__xludf.DUMMYFUNCTION("""COMPUTED_VALUE"""),"ALLEN - KOLKATA")</f>
        <v>ALLEN - KOLKATA</v>
      </c>
    </row>
    <row r="182">
      <c r="H182" s="5" t="str">
        <f>IFERROR(__xludf.DUMMYFUNCTION("""COMPUTED_VALUE"""),"Allen Dale Biosciences")</f>
        <v>Allen Dale Biosciences</v>
      </c>
    </row>
    <row r="183">
      <c r="H183" s="5" t="str">
        <f>IFERROR(__xludf.DUMMYFUNCTION("""COMPUTED_VALUE"""),"ALLEN LABORATORIES LTD")</f>
        <v>ALLEN LABORATORIES LTD</v>
      </c>
    </row>
    <row r="184">
      <c r="H184" s="5" t="str">
        <f>IFERROR(__xludf.DUMMYFUNCTION("""COMPUTED_VALUE"""),"ALLENTIS PHARMACEUTICALS PVT LTD")</f>
        <v>ALLENTIS PHARMACEUTICALS PVT LTD</v>
      </c>
    </row>
    <row r="185">
      <c r="H185" s="5" t="str">
        <f>IFERROR(__xludf.DUMMYFUNCTION("""COMPUTED_VALUE"""),"ALLERGAN INDIA (ALPHA)")</f>
        <v>ALLERGAN INDIA (ALPHA)</v>
      </c>
    </row>
    <row r="186">
      <c r="H186" s="5" t="str">
        <f>IFERROR(__xludf.DUMMYFUNCTION("""COMPUTED_VALUE"""),"ALLERGAN INDIA (BRAVO)")</f>
        <v>ALLERGAN INDIA (BRAVO)</v>
      </c>
    </row>
    <row r="187">
      <c r="H187" s="5" t="str">
        <f>IFERROR(__xludf.DUMMYFUNCTION("""COMPUTED_VALUE"""),"ALLERGAN INDIA (CHARLIF)")</f>
        <v>ALLERGAN INDIA (CHARLIF)</v>
      </c>
    </row>
    <row r="188">
      <c r="H188" s="5" t="str">
        <f>IFERROR(__xludf.DUMMYFUNCTION("""COMPUTED_VALUE"""),"ALLERGAN INDIA (DELTA)")</f>
        <v>ALLERGAN INDIA (DELTA)</v>
      </c>
    </row>
    <row r="189">
      <c r="H189" s="5" t="str">
        <f>IFERROR(__xludf.DUMMYFUNCTION("""COMPUTED_VALUE"""),"Allergan India Pvt Ltd")</f>
        <v>Allergan India Pvt Ltd</v>
      </c>
    </row>
    <row r="190">
      <c r="H190" s="5" t="str">
        <f>IFERROR(__xludf.DUMMYFUNCTION("""COMPUTED_VALUE"""),"ALLEX MEDICAL SYSTEM")</f>
        <v>ALLEX MEDICAL SYSTEM</v>
      </c>
    </row>
    <row r="191">
      <c r="H191" s="5" t="str">
        <f>IFERROR(__xludf.DUMMYFUNCTION("""COMPUTED_VALUE"""),"ALLIAANCE BIOTECH SOLAN")</f>
        <v>ALLIAANCE BIOTECH SOLAN</v>
      </c>
    </row>
    <row r="192">
      <c r="H192" s="5" t="str">
        <f>IFERROR(__xludf.DUMMYFUNCTION("""COMPUTED_VALUE"""),"ALLOTROPE LIFE SCIENCES P LTD")</f>
        <v>ALLOTROPE LIFE SCIENCES P LTD</v>
      </c>
    </row>
    <row r="193">
      <c r="H193" s="5" t="str">
        <f>IFERROR(__xludf.DUMMYFUNCTION("""COMPUTED_VALUE"""),"ALLURE REMEDIES PVT LTD")</f>
        <v>ALLURE REMEDIES PVT LTD</v>
      </c>
    </row>
    <row r="194">
      <c r="H194" s="5" t="str">
        <f>IFERROR(__xludf.DUMMYFUNCTION("""COMPUTED_VALUE"""),"ALLYSIA LIFESCIENCES P LTD")</f>
        <v>ALLYSIA LIFESCIENCES P LTD</v>
      </c>
    </row>
    <row r="195">
      <c r="H195" s="5" t="str">
        <f>IFERROR(__xludf.DUMMYFUNCTION("""COMPUTED_VALUE"""),"Almet Corporation Ltd")</f>
        <v>Almet Corporation Ltd</v>
      </c>
    </row>
    <row r="196">
      <c r="H196" s="5" t="str">
        <f>IFERROR(__xludf.DUMMYFUNCTION("""COMPUTED_VALUE"""),"ALNICHE LIFE SCIENCES PVT LTD")</f>
        <v>ALNICHE LIFE SCIENCES PVT LTD</v>
      </c>
    </row>
    <row r="197">
      <c r="H197" s="5" t="str">
        <f>IFERROR(__xludf.DUMMYFUNCTION("""COMPUTED_VALUE"""),"ALNICHE LIFESCIENCES (CRITICAL CARE)")</f>
        <v>ALNICHE LIFESCIENCES (CRITICAL CARE)</v>
      </c>
    </row>
    <row r="198">
      <c r="H198" s="5" t="str">
        <f>IFERROR(__xludf.DUMMYFUNCTION("""COMPUTED_VALUE"""),"ALNICHE LIFESCIENCES (GASTRO)")</f>
        <v>ALNICHE LIFESCIENCES (GASTRO)</v>
      </c>
    </row>
    <row r="199">
      <c r="H199" s="5" t="str">
        <f>IFERROR(__xludf.DUMMYFUNCTION("""COMPUTED_VALUE"""),"ALNICHE LIFESCIENCES (NEPHRO)")</f>
        <v>ALNICHE LIFESCIENCES (NEPHRO)</v>
      </c>
    </row>
    <row r="200">
      <c r="H200" s="5" t="str">
        <f>IFERROR(__xludf.DUMMYFUNCTION("""COMPUTED_VALUE"""),"ALNICHE LIFESCIENCES (ORAL SOLIDS)")</f>
        <v>ALNICHE LIFESCIENCES (ORAL SOLIDS)</v>
      </c>
    </row>
    <row r="201">
      <c r="H201" s="5" t="str">
        <f>IFERROR(__xludf.DUMMYFUNCTION("""COMPUTED_VALUE"""),"ALNICHE LIFESCIENCES (ORICO)")</f>
        <v>ALNICHE LIFESCIENCES (ORICO)</v>
      </c>
    </row>
    <row r="202">
      <c r="H202" s="5" t="str">
        <f>IFERROR(__xludf.DUMMYFUNCTION("""COMPUTED_VALUE"""),"ALPA LABORATORIES")</f>
        <v>ALPA LABORATORIES</v>
      </c>
    </row>
    <row r="203">
      <c r="H203" s="5" t="str">
        <f>IFERROR(__xludf.DUMMYFUNCTION("""COMPUTED_VALUE"""),"ALSUN PHARMA")</f>
        <v>ALSUN PHARMA</v>
      </c>
    </row>
    <row r="204">
      <c r="H204" s="5" t="str">
        <f>IFERROR(__xludf.DUMMYFUNCTION("""COMPUTED_VALUE"""),"ALTEUS BIOGENICS")</f>
        <v>ALTEUS BIOGENICS</v>
      </c>
    </row>
    <row r="205">
      <c r="H205" s="5" t="str">
        <f>IFERROR(__xludf.DUMMYFUNCTION("""COMPUTED_VALUE"""),"ALTEZA EXIM")</f>
        <v>ALTEZA EXIM</v>
      </c>
    </row>
    <row r="206">
      <c r="H206" s="5" t="str">
        <f>IFERROR(__xludf.DUMMYFUNCTION("""COMPUTED_VALUE"""),"ALTIS PHARMA")</f>
        <v>ALTIS PHARMA</v>
      </c>
    </row>
    <row r="207">
      <c r="H207" s="5" t="str">
        <f>IFERROR(__xludf.DUMMYFUNCTION("""COMPUTED_VALUE"""),"ALTON BIOSCIENCES PVT LTD")</f>
        <v>ALTON BIOSCIENCES PVT LTD</v>
      </c>
    </row>
    <row r="208">
      <c r="H208" s="5" t="str">
        <f>IFERROR(__xludf.DUMMYFUNCTION("""COMPUTED_VALUE"""),"ALVIN WILLCURE")</f>
        <v>ALVIN WILLCURE</v>
      </c>
    </row>
    <row r="209">
      <c r="H209" s="5" t="str">
        <f>IFERROR(__xludf.DUMMYFUNCTION("""COMPUTED_VALUE"""),"ALVIO PHARMACEUTICALS")</f>
        <v>ALVIO PHARMACEUTICALS</v>
      </c>
    </row>
    <row r="210">
      <c r="H210" s="5" t="str">
        <f>IFERROR(__xludf.DUMMYFUNCTION("""COMPUTED_VALUE"""),"ALVIS MEDI  SYNTHESIS PVT LTD")</f>
        <v>ALVIS MEDI  SYNTHESIS PVT LTD</v>
      </c>
    </row>
    <row r="211">
      <c r="H211" s="5" t="str">
        <f>IFERROR(__xludf.DUMMYFUNCTION("""COMPUTED_VALUE"""),"ALVISTA BIOSCIENCES PVT LTD")</f>
        <v>ALVISTA BIOSCIENCES PVT LTD</v>
      </c>
    </row>
    <row r="212">
      <c r="H212" s="5" t="str">
        <f>IFERROR(__xludf.DUMMYFUNCTION("""COMPUTED_VALUE"""),"AMARANTHA AYURVEDA")</f>
        <v>AMARANTHA AYURVEDA</v>
      </c>
    </row>
    <row r="213">
      <c r="H213" s="5" t="str">
        <f>IFERROR(__xludf.DUMMYFUNCTION("""COMPUTED_VALUE"""),"AMAZEN PHARMACEUTICALS")</f>
        <v>AMAZEN PHARMACEUTICALS</v>
      </c>
    </row>
    <row r="214">
      <c r="H214" s="5" t="str">
        <f>IFERROR(__xludf.DUMMYFUNCTION("""COMPUTED_VALUE"""),"AMAZING RESEARCH LABORATORIES LTD")</f>
        <v>AMAZING RESEARCH LABORATORIES LTD</v>
      </c>
    </row>
    <row r="215">
      <c r="H215" s="5" t="str">
        <f>IFERROR(__xludf.DUMMYFUNCTION("""COMPUTED_VALUE"""),"AMBIC AAYURCHEM, ROORKE")</f>
        <v>AMBIC AAYURCHEM, ROORKE</v>
      </c>
    </row>
    <row r="216">
      <c r="H216" s="5" t="str">
        <f>IFERROR(__xludf.DUMMYFUNCTION("""COMPUTED_VALUE"""),"AMBIC AYURVED INDIA P LTD")</f>
        <v>AMBIC AYURVED INDIA P LTD</v>
      </c>
    </row>
    <row r="217">
      <c r="H217" s="5" t="str">
        <f>IFERROR(__xludf.DUMMYFUNCTION("""COMPUTED_VALUE"""),"AMBIT BIOMEDIX")</f>
        <v>AMBIT BIOMEDIX</v>
      </c>
    </row>
    <row r="218">
      <c r="H218" s="5" t="str">
        <f>IFERROR(__xludf.DUMMYFUNCTION("""COMPUTED_VALUE"""),"AMBROSIA DRUGS")</f>
        <v>AMBROSIA DRUGS</v>
      </c>
    </row>
    <row r="219">
      <c r="H219" s="5" t="str">
        <f>IFERROR(__xludf.DUMMYFUNCTION("""COMPUTED_VALUE"""),"AMCO HERBALS P LTD")</f>
        <v>AMCO HERBALS P LTD</v>
      </c>
    </row>
    <row r="220">
      <c r="H220" s="5" t="str">
        <f>IFERROR(__xludf.DUMMYFUNCTION("""COMPUTED_VALUE"""),"AMEND")</f>
        <v>AMEND</v>
      </c>
    </row>
    <row r="221">
      <c r="H221" s="5" t="str">
        <f>IFERROR(__xludf.DUMMYFUNCTION("""COMPUTED_VALUE"""),"AMENTUS HEALTHCARE")</f>
        <v>AMENTUS HEALTHCARE</v>
      </c>
    </row>
    <row r="222">
      <c r="H222" s="5" t="str">
        <f>IFERROR(__xludf.DUMMYFUNCTION("""COMPUTED_VALUE"""),"AMERICAN REMEDIES")</f>
        <v>AMERICAN REMEDIES</v>
      </c>
    </row>
    <row r="223">
      <c r="H223" s="5" t="str">
        <f>IFERROR(__xludf.DUMMYFUNCTION("""COMPUTED_VALUE"""),"AMI CARE PHARMACEUTICALS")</f>
        <v>AMI CARE PHARMACEUTICALS</v>
      </c>
    </row>
    <row r="224">
      <c r="H224" s="5" t="str">
        <f>IFERROR(__xludf.DUMMYFUNCTION("""COMPUTED_VALUE"""),"AMICURES RESEARCH PVT LTD")</f>
        <v>AMICURES RESEARCH PVT LTD</v>
      </c>
    </row>
    <row r="225">
      <c r="H225" s="5" t="str">
        <f>IFERROR(__xludf.DUMMYFUNCTION("""COMPUTED_VALUE"""),"AMORGOS HEALTHCARE PVT LTD")</f>
        <v>AMORGOS HEALTHCARE PVT LTD</v>
      </c>
    </row>
    <row r="226">
      <c r="H226" s="5" t="str">
        <f>IFERROR(__xludf.DUMMYFUNCTION("""COMPUTED_VALUE"""),"AMP ALLKEM MEDICAL PHARMACEUTICALS PVT LTD")</f>
        <v>AMP ALLKEM MEDICAL PHARMACEUTICALS PVT LTD</v>
      </c>
    </row>
    <row r="227">
      <c r="H227" s="5" t="str">
        <f>IFERROR(__xludf.DUMMYFUNCTION("""COMPUTED_VALUE"""),"AMPS BIOTECH")</f>
        <v>AMPS BIOTECH</v>
      </c>
    </row>
    <row r="228">
      <c r="H228" s="5" t="str">
        <f>IFERROR(__xludf.DUMMYFUNCTION("""COMPUTED_VALUE"""),"AMRA REMEDIES")</f>
        <v>AMRA REMEDIES</v>
      </c>
    </row>
    <row r="229">
      <c r="H229" s="5" t="str">
        <f>IFERROR(__xludf.DUMMYFUNCTION("""COMPUTED_VALUE"""),"AMRICON BIOTECH")</f>
        <v>AMRICON BIOTECH</v>
      </c>
    </row>
    <row r="230">
      <c r="H230" s="5" t="str">
        <f>IFERROR(__xludf.DUMMYFUNCTION("""COMPUTED_VALUE"""),"AMRITDHARA PHARMACY")</f>
        <v>AMRITDHARA PHARMACY</v>
      </c>
    </row>
    <row r="231">
      <c r="H231" s="5" t="str">
        <f>IFERROR(__xludf.DUMMYFUNCTION("""COMPUTED_VALUE"""),"AMRUT DRUG RESEARCH LAB")</f>
        <v>AMRUT DRUG RESEARCH LAB</v>
      </c>
    </row>
    <row r="232">
      <c r="H232" s="5" t="str">
        <f>IFERROR(__xludf.DUMMYFUNCTION("""COMPUTED_VALUE"""),"AMRUTANJAN HEALTH CARE LIMITED")</f>
        <v>AMRUTANJAN HEALTH CARE LIMITED</v>
      </c>
    </row>
    <row r="233">
      <c r="H233" s="5" t="str">
        <f>IFERROR(__xludf.DUMMYFUNCTION("""COMPUTED_VALUE"""),"ANANJAY PHARMACEUTICALS PVT LTD")</f>
        <v>ANANJAY PHARMACEUTICALS PVT LTD</v>
      </c>
    </row>
    <row r="234">
      <c r="H234" s="5" t="str">
        <f>IFERROR(__xludf.DUMMYFUNCTION("""COMPUTED_VALUE"""),"ANCHOR PHARMA PVT LTD")</f>
        <v>ANCHOR PHARMA PVT LTD</v>
      </c>
    </row>
    <row r="235">
      <c r="H235" s="5" t="str">
        <f>IFERROR(__xludf.DUMMYFUNCTION("""COMPUTED_VALUE"""),"ANDRE LABORATORIES")</f>
        <v>ANDRE LABORATORIES</v>
      </c>
    </row>
    <row r="236">
      <c r="H236" s="5" t="str">
        <f>IFERROR(__xludf.DUMMYFUNCTION("""COMPUTED_VALUE"""),"ANDROMEDA PHARMACEUTICALS")</f>
        <v>ANDROMEDA PHARMACEUTICALS</v>
      </c>
    </row>
    <row r="237">
      <c r="H237" s="5" t="str">
        <f>IFERROR(__xludf.DUMMYFUNCTION("""COMPUTED_VALUE"""),"ANDROMEDA PHARMACEUTICALS PVT LTD")</f>
        <v>ANDROMEDA PHARMACEUTICALS PVT LTD</v>
      </c>
    </row>
    <row r="238">
      <c r="H238" s="5" t="str">
        <f>IFERROR(__xludf.DUMMYFUNCTION("""COMPUTED_VALUE"""),"ANDY PHARMA")</f>
        <v>ANDY PHARMA</v>
      </c>
    </row>
    <row r="239">
      <c r="H239" s="5" t="str">
        <f>IFERROR(__xludf.DUMMYFUNCTION("""COMPUTED_VALUE"""),"ANG LIFESCIENCES INDIA LTD")</f>
        <v>ANG LIFESCIENCES INDIA LTD</v>
      </c>
    </row>
    <row r="240">
      <c r="H240" s="5" t="str">
        <f>IFERROR(__xludf.DUMMYFUNCTION("""COMPUTED_VALUE"""),"ANGIOLIFE HEALTHCARE PVT LTD")</f>
        <v>ANGIOLIFE HEALTHCARE PVT LTD</v>
      </c>
    </row>
    <row r="241">
      <c r="H241" s="5" t="str">
        <f>IFERROR(__xludf.DUMMYFUNCTION("""COMPUTED_VALUE"""),"Anglo French Drugs (BONA FIDA)")</f>
        <v>Anglo French Drugs (BONA FIDA)</v>
      </c>
    </row>
    <row r="242">
      <c r="H242" s="5" t="str">
        <f>IFERROR(__xludf.DUMMYFUNCTION("""COMPUTED_VALUE"""),"ANGLO FRENCH DRUGS (NUTRALOGICX)")</f>
        <v>ANGLO FRENCH DRUGS (NUTRALOGICX)</v>
      </c>
    </row>
    <row r="243">
      <c r="H243" s="5" t="str">
        <f>IFERROR(__xludf.DUMMYFUNCTION("""COMPUTED_VALUE"""),"ANGLO SWIFT")</f>
        <v>ANGLO SWIFT</v>
      </c>
    </row>
    <row r="244">
      <c r="H244" s="5" t="str">
        <f>IFERROR(__xludf.DUMMYFUNCTION("""COMPUTED_VALUE"""),"Anglo-French Drugs &amp; Industries Ltd")</f>
        <v>Anglo-French Drugs &amp; Industries Ltd</v>
      </c>
    </row>
    <row r="245">
      <c r="H245" s="5" t="str">
        <f>IFERROR(__xludf.DUMMYFUNCTION("""COMPUTED_VALUE"""),"ANGLO-INDIAN PHARMACEUTICALS")</f>
        <v>ANGLO-INDIAN PHARMACEUTICALS</v>
      </c>
    </row>
    <row r="246">
      <c r="H246" s="5" t="str">
        <f>IFERROR(__xludf.DUMMYFUNCTION("""COMPUTED_VALUE"""),"ANIL AYURVED BHAWAN")</f>
        <v>ANIL AYURVED BHAWAN</v>
      </c>
    </row>
    <row r="247">
      <c r="H247" s="5" t="str">
        <f>IFERROR(__xludf.DUMMYFUNCTION("""COMPUTED_VALUE"""),"ANJANI PHARMACEUTICALS")</f>
        <v>ANJANI PHARMACEUTICALS</v>
      </c>
    </row>
    <row r="248">
      <c r="H248" s="5" t="str">
        <f>IFERROR(__xludf.DUMMYFUNCTION("""COMPUTED_VALUE"""),"ANJU PHARMA")</f>
        <v>ANJU PHARMA</v>
      </c>
    </row>
    <row r="249">
      <c r="H249" s="5" t="str">
        <f>IFERROR(__xludf.DUMMYFUNCTION("""COMPUTED_VALUE"""),"ANKUR")</f>
        <v>ANKUR</v>
      </c>
    </row>
    <row r="250">
      <c r="H250" s="5" t="str">
        <f>IFERROR(__xludf.DUMMYFUNCTION("""COMPUTED_VALUE"""),"ANSELL LTD")</f>
        <v>ANSELL LTD</v>
      </c>
    </row>
    <row r="251">
      <c r="H251" s="5" t="str">
        <f>IFERROR(__xludf.DUMMYFUNCTION("""COMPUTED_VALUE"""),"ANSH HEALTHCARE")</f>
        <v>ANSH HEALTHCARE</v>
      </c>
    </row>
    <row r="252">
      <c r="H252" s="5" t="str">
        <f>IFERROR(__xludf.DUMMYFUNCTION("""COMPUTED_VALUE"""),"ANSIL PHARMA")</f>
        <v>ANSIL PHARMA</v>
      </c>
    </row>
    <row r="253">
      <c r="H253" s="5" t="str">
        <f>IFERROR(__xludf.DUMMYFUNCTION("""COMPUTED_VALUE"""),"ANTHEM BIOPHARMA")</f>
        <v>ANTHEM BIOPHARMA</v>
      </c>
    </row>
    <row r="254">
      <c r="H254" s="5" t="str">
        <f>IFERROR(__xludf.DUMMYFUNCTION("""COMPUTED_VALUE"""),"ANTILA")</f>
        <v>ANTILA</v>
      </c>
    </row>
    <row r="255">
      <c r="H255" s="5" t="str">
        <f>IFERROR(__xludf.DUMMYFUNCTION("""COMPUTED_VALUE"""),"ANVICURE DRUGS")</f>
        <v>ANVICURE DRUGS</v>
      </c>
    </row>
    <row r="256">
      <c r="H256" s="5" t="str">
        <f>IFERROR(__xludf.DUMMYFUNCTION("""COMPUTED_VALUE"""),"APEX FORMULATIONS PVT LTD")</f>
        <v>APEX FORMULATIONS PVT LTD</v>
      </c>
    </row>
    <row r="257">
      <c r="H257" s="5" t="str">
        <f>IFERROR(__xludf.DUMMYFUNCTION("""COMPUTED_VALUE"""),"APEX LABORATORIES (CIDIS)")</f>
        <v>APEX LABORATORIES (CIDIS)</v>
      </c>
    </row>
    <row r="258">
      <c r="H258" s="5" t="str">
        <f>IFERROR(__xludf.DUMMYFUNCTION("""COMPUTED_VALUE"""),"APEX LABORATORIES (MAIN)")</f>
        <v>APEX LABORATORIES (MAIN)</v>
      </c>
    </row>
    <row r="259">
      <c r="H259" s="5" t="str">
        <f>IFERROR(__xludf.DUMMYFUNCTION("""COMPUTED_VALUE"""),"APEX LABORATORIES (SKINNOVA)")</f>
        <v>APEX LABORATORIES (SKINNOVA)</v>
      </c>
    </row>
    <row r="260">
      <c r="H260" s="5" t="str">
        <f>IFERROR(__xludf.DUMMYFUNCTION("""COMPUTED_VALUE"""),"Apex Laboratories Pvt Ltd")</f>
        <v>Apex Laboratories Pvt Ltd</v>
      </c>
    </row>
    <row r="261">
      <c r="H261" s="5" t="str">
        <f>IFERROR(__xludf.DUMMYFUNCTION("""COMPUTED_VALUE"""),"APHALI PHARMACEUTICALS LTD")</f>
        <v>APHALI PHARMACEUTICALS LTD</v>
      </c>
    </row>
    <row r="262">
      <c r="H262" s="5" t="str">
        <f>IFERROR(__xludf.DUMMYFUNCTION("""COMPUTED_VALUE"""),"APICAL HELTH CARE PVT LTD")</f>
        <v>APICAL HELTH CARE PVT LTD</v>
      </c>
    </row>
    <row r="263">
      <c r="H263" s="5" t="str">
        <f>IFERROR(__xludf.DUMMYFUNCTION("""COMPUTED_VALUE"""),"Apostle Remedies")</f>
        <v>Apostle Remedies</v>
      </c>
    </row>
    <row r="264">
      <c r="H264" s="5" t="str">
        <f>IFERROR(__xludf.DUMMYFUNCTION("""COMPUTED_VALUE"""),"APPASAMY OCULAR DEVICE PVT LTD")</f>
        <v>APPASAMY OCULAR DEVICE PVT LTD</v>
      </c>
    </row>
    <row r="265">
      <c r="H265" s="5" t="str">
        <f>IFERROR(__xludf.DUMMYFUNCTION("""COMPUTED_VALUE"""),"APPENA P LTD")</f>
        <v>APPENA P LTD</v>
      </c>
    </row>
    <row r="266">
      <c r="H266" s="5" t="str">
        <f>IFERROR(__xludf.DUMMYFUNCTION("""COMPUTED_VALUE"""),"APPLE BIOTECH")</f>
        <v>APPLE BIOTECH</v>
      </c>
    </row>
    <row r="267">
      <c r="H267" s="5" t="str">
        <f>IFERROR(__xludf.DUMMYFUNCTION("""COMPUTED_VALUE"""),"APPLE MEDICORP")</f>
        <v>APPLE MEDICORP</v>
      </c>
    </row>
    <row r="268">
      <c r="H268" s="5" t="str">
        <f>IFERROR(__xludf.DUMMYFUNCTION("""COMPUTED_VALUE"""),"APPLE THERAPEUTICS")</f>
        <v>APPLE THERAPEUTICS</v>
      </c>
    </row>
    <row r="269">
      <c r="H269" s="5" t="str">
        <f>IFERROR(__xludf.DUMMYFUNCTION("""COMPUTED_VALUE"""),"APPLIED PHARMA RESEARCH")</f>
        <v>APPLIED PHARMA RESEARCH</v>
      </c>
    </row>
    <row r="270">
      <c r="H270" s="5" t="str">
        <f>IFERROR(__xludf.DUMMYFUNCTION("""COMPUTED_VALUE"""),"APRICA (PULSE)")</f>
        <v>APRICA (PULSE)</v>
      </c>
    </row>
    <row r="271">
      <c r="H271" s="5" t="str">
        <f>IFERROR(__xludf.DUMMYFUNCTION("""COMPUTED_VALUE"""),"Aprica Pharmaceuticals Pvt Ltd")</f>
        <v>Aprica Pharmaceuticals Pvt Ltd</v>
      </c>
    </row>
    <row r="272">
      <c r="H272" s="5" t="str">
        <f>IFERROR(__xludf.DUMMYFUNCTION("""COMPUTED_VALUE"""),"AQUINNOVA PHARMACEUTICAL PVT LTD")</f>
        <v>AQUINNOVA PHARMACEUTICAL PVT LTD</v>
      </c>
    </row>
    <row r="273">
      <c r="H273" s="5" t="str">
        <f>IFERROR(__xludf.DUMMYFUNCTION("""COMPUTED_VALUE"""),"Ar-Ex Laboratories Pvt Ltd")</f>
        <v>Ar-Ex Laboratories Pvt Ltd</v>
      </c>
    </row>
    <row r="274">
      <c r="H274" s="5" t="str">
        <f>IFERROR(__xludf.DUMMYFUNCTION("""COMPUTED_VALUE"""),"ARBRO PHARMA")</f>
        <v>ARBRO PHARMA</v>
      </c>
    </row>
    <row r="275">
      <c r="H275" s="5" t="str">
        <f>IFERROR(__xludf.DUMMYFUNCTION("""COMPUTED_VALUE"""),"ARC PHARMACEUTICALS")</f>
        <v>ARC PHARMACEUTICALS</v>
      </c>
    </row>
    <row r="276">
      <c r="H276" s="5" t="str">
        <f>IFERROR(__xludf.DUMMYFUNCTION("""COMPUTED_VALUE"""),"ARCH LABORATORIES")</f>
        <v>ARCH LABORATORIES</v>
      </c>
    </row>
    <row r="277">
      <c r="H277" s="5" t="str">
        <f>IFERROR(__xludf.DUMMYFUNCTION("""COMPUTED_VALUE"""),"ARCHI CARE")</f>
        <v>ARCHI CARE</v>
      </c>
    </row>
    <row r="278">
      <c r="H278" s="5" t="str">
        <f>IFERROR(__xludf.DUMMYFUNCTION("""COMPUTED_VALUE"""),"ARCO PHARMA")</f>
        <v>ARCO PHARMA</v>
      </c>
    </row>
    <row r="279">
      <c r="H279" s="5" t="str">
        <f>IFERROR(__xludf.DUMMYFUNCTION("""COMPUTED_VALUE"""),"ARDENT LIFE SCIENCES")</f>
        <v>ARDENT LIFE SCIENCES</v>
      </c>
    </row>
    <row r="280">
      <c r="H280" s="5" t="str">
        <f>IFERROR(__xludf.DUMMYFUNCTION("""COMPUTED_VALUE"""),"ARINNA (ALANZA)")</f>
        <v>ARINNA (ALANZA)</v>
      </c>
    </row>
    <row r="281">
      <c r="H281" s="5" t="str">
        <f>IFERROR(__xludf.DUMMYFUNCTION("""COMPUTED_VALUE"""),"ARINNA (ALEXA)")</f>
        <v>ARINNA (ALEXA)</v>
      </c>
    </row>
    <row r="282">
      <c r="H282" s="5" t="str">
        <f>IFERROR(__xludf.DUMMYFUNCTION("""COMPUTED_VALUE"""),"ARINNA (ARISSA)")</f>
        <v>ARINNA (ARISSA)</v>
      </c>
    </row>
    <row r="283">
      <c r="H283" s="5" t="str">
        <f>IFERROR(__xludf.DUMMYFUNCTION("""COMPUTED_VALUE"""),"Arinna Lifescience Pvt Ltd")</f>
        <v>Arinna Lifescience Pvt Ltd</v>
      </c>
    </row>
    <row r="284">
      <c r="H284" s="5" t="str">
        <f>IFERROR(__xludf.DUMMYFUNCTION("""COMPUTED_VALUE"""),"ARION HEALTHCARE")</f>
        <v>ARION HEALTHCARE</v>
      </c>
    </row>
    <row r="285">
      <c r="H285" s="5" t="str">
        <f>IFERROR(__xludf.DUMMYFUNCTION("""COMPUTED_VALUE"""),"ARISTO (MF1)")</f>
        <v>ARISTO (MF1)</v>
      </c>
    </row>
    <row r="286">
      <c r="H286" s="5" t="str">
        <f>IFERROR(__xludf.DUMMYFUNCTION("""COMPUTED_VALUE"""),"ARISTO (MF2)")</f>
        <v>ARISTO (MF2)</v>
      </c>
    </row>
    <row r="287">
      <c r="H287" s="5" t="str">
        <f>IFERROR(__xludf.DUMMYFUNCTION("""COMPUTED_VALUE"""),"ARISTO (MF3)")</f>
        <v>ARISTO (MF3)</v>
      </c>
    </row>
    <row r="288">
      <c r="H288" s="5" t="str">
        <f>IFERROR(__xludf.DUMMYFUNCTION("""COMPUTED_VALUE"""),"ARISTO (OTSIRA)")</f>
        <v>ARISTO (OTSIRA)</v>
      </c>
    </row>
    <row r="289">
      <c r="H289" s="5" t="str">
        <f>IFERROR(__xludf.DUMMYFUNCTION("""COMPUTED_VALUE"""),"ARISTO (TF)")</f>
        <v>ARISTO (TF)</v>
      </c>
    </row>
    <row r="290">
      <c r="H290" s="5" t="str">
        <f>IFERROR(__xludf.DUMMYFUNCTION("""COMPUTED_VALUE"""),"Aristo Pharmaceuticals Pvt Ltd")</f>
        <v>Aristo Pharmaceuticals Pvt Ltd</v>
      </c>
    </row>
    <row r="291">
      <c r="H291" s="5" t="str">
        <f>IFERROR(__xludf.DUMMYFUNCTION("""COMPUTED_VALUE"""),"ARIUS HEALTHCARE")</f>
        <v>ARIUS HEALTHCARE</v>
      </c>
    </row>
    <row r="292">
      <c r="H292" s="5" t="str">
        <f>IFERROR(__xludf.DUMMYFUNCTION("""COMPUTED_VALUE"""),"ARMOUR FORMULATION")</f>
        <v>ARMOUR FORMULATION</v>
      </c>
    </row>
    <row r="293">
      <c r="H293" s="5" t="str">
        <f>IFERROR(__xludf.DUMMYFUNCTION("""COMPUTED_VALUE"""),"ARONEX  LIFESCIENCES")</f>
        <v>ARONEX  LIFESCIENCES</v>
      </c>
    </row>
    <row r="294">
      <c r="H294" s="5" t="str">
        <f>IFERROR(__xludf.DUMMYFUNCTION("""COMPUTED_VALUE"""),"Aronex Life Sciences Pvt. Ltd.")</f>
        <v>Aronex Life Sciences Pvt. Ltd.</v>
      </c>
    </row>
    <row r="295">
      <c r="H295" s="5" t="str">
        <f>IFERROR(__xludf.DUMMYFUNCTION("""COMPUTED_VALUE"""),"ARRIENT (ORENDA)")</f>
        <v>ARRIENT (ORENDA)</v>
      </c>
    </row>
    <row r="296">
      <c r="H296" s="5" t="str">
        <f>IFERROR(__xludf.DUMMYFUNCTION("""COMPUTED_VALUE"""),"ARRIENT HEALTHCARE")</f>
        <v>ARRIENT HEALTHCARE</v>
      </c>
    </row>
    <row r="297">
      <c r="H297" s="5" t="str">
        <f>IFERROR(__xludf.DUMMYFUNCTION("""COMPUTED_VALUE"""),"ARROPHAR HEALTHCARE")</f>
        <v>ARROPHAR HEALTHCARE</v>
      </c>
    </row>
    <row r="298">
      <c r="H298" s="5" t="str">
        <f>IFERROR(__xludf.DUMMYFUNCTION("""COMPUTED_VALUE"""),"ARROW PHARMA")</f>
        <v>ARROW PHARMA</v>
      </c>
    </row>
    <row r="299">
      <c r="H299" s="5" t="str">
        <f>IFERROR(__xludf.DUMMYFUNCTION("""COMPUTED_VALUE"""),"ARROWIN PHARMACEUTICALS")</f>
        <v>ARROWIN PHARMACEUTICALS</v>
      </c>
    </row>
    <row r="300">
      <c r="H300" s="5" t="str">
        <f>IFERROR(__xludf.DUMMYFUNCTION("""COMPUTED_VALUE"""),"ARTHUS WELLNESS INDIA P LTD")</f>
        <v>ARTHUS WELLNESS INDIA P LTD</v>
      </c>
    </row>
    <row r="301">
      <c r="H301" s="5" t="str">
        <f>IFERROR(__xludf.DUMMYFUNCTION("""COMPUTED_VALUE"""),"ARTI PHARMACEUTICALS &amp; CHEMICALS")</f>
        <v>ARTI PHARMACEUTICALS &amp; CHEMICALS</v>
      </c>
    </row>
    <row r="302">
      <c r="H302" s="5" t="str">
        <f>IFERROR(__xludf.DUMMYFUNCTION("""COMPUTED_VALUE"""),"ARUL PHARMETA")</f>
        <v>ARUL PHARMETA</v>
      </c>
    </row>
    <row r="303">
      <c r="H303" s="5" t="str">
        <f>IFERROR(__xludf.DUMMYFUNCTION("""COMPUTED_VALUE"""),"ARVIND PHARMACEUTICALS")</f>
        <v>ARVIND PHARMACEUTICALS</v>
      </c>
    </row>
    <row r="304">
      <c r="H304" s="5" t="str">
        <f>IFERROR(__xludf.DUMMYFUNCTION("""COMPUTED_VALUE"""),"ARVIND REMEDIES")</f>
        <v>ARVIND REMEDIES</v>
      </c>
    </row>
    <row r="305">
      <c r="H305" s="5" t="str">
        <f>IFERROR(__xludf.DUMMYFUNCTION("""COMPUTED_VALUE"""),"ARYA AUSHADHI")</f>
        <v>ARYA AUSHADHI</v>
      </c>
    </row>
    <row r="306">
      <c r="H306" s="5" t="str">
        <f>IFERROR(__xludf.DUMMYFUNCTION("""COMPUTED_VALUE"""),"ARYAN LABORATORIES")</f>
        <v>ARYAN LABORATORIES</v>
      </c>
    </row>
    <row r="307">
      <c r="H307" s="5" t="str">
        <f>IFERROR(__xludf.DUMMYFUNCTION("""COMPUTED_VALUE"""),"Asclepius Pharmaceuticals Pvt Ltd")</f>
        <v>Asclepius Pharmaceuticals Pvt Ltd</v>
      </c>
    </row>
    <row r="308">
      <c r="H308" s="5" t="str">
        <f>IFERROR(__xludf.DUMMYFUNCTION("""COMPUTED_VALUE"""),"ASCORPUS HEALTHCARE")</f>
        <v>ASCORPUS HEALTHCARE</v>
      </c>
    </row>
    <row r="309">
      <c r="H309" s="5" t="str">
        <f>IFERROR(__xludf.DUMMYFUNCTION("""COMPUTED_VALUE"""),"ASGARD LABS")</f>
        <v>ASGARD LABS</v>
      </c>
    </row>
    <row r="310">
      <c r="H310" s="5" t="str">
        <f>IFERROR(__xludf.DUMMYFUNCTION("""COMPUTED_VALUE"""),"ASHWA HEALTHCARE")</f>
        <v>ASHWA HEALTHCARE</v>
      </c>
    </row>
    <row r="311">
      <c r="H311" s="5" t="str">
        <f>IFERROR(__xludf.DUMMYFUNCTION("""COMPUTED_VALUE"""),"ASIAN PHARMACEUTICALS P LTD")</f>
        <v>ASIAN PHARMACEUTICALS P LTD</v>
      </c>
    </row>
    <row r="312">
      <c r="H312" s="5" t="str">
        <f>IFERROR(__xludf.DUMMYFUNCTION("""COMPUTED_VALUE"""),"ASKON HEALTHCARE PVT LTD")</f>
        <v>ASKON HEALTHCARE PVT LTD</v>
      </c>
    </row>
    <row r="313">
      <c r="H313" s="5" t="str">
        <f>IFERROR(__xludf.DUMMYFUNCTION("""COMPUTED_VALUE"""),"ASOJ SOFT CAPS P LTD")</f>
        <v>ASOJ SOFT CAPS P LTD</v>
      </c>
    </row>
    <row r="314">
      <c r="H314" s="5" t="str">
        <f>IFERROR(__xludf.DUMMYFUNCTION("""COMPUTED_VALUE"""),"ASSOCIATED BIOTECH, NALAGAR")</f>
        <v>ASSOCIATED BIOTECH, NALAGAR</v>
      </c>
    </row>
    <row r="315">
      <c r="H315" s="5" t="str">
        <f>IFERROR(__xludf.DUMMYFUNCTION("""COMPUTED_VALUE"""),"ASSURE SURGICALS PVT LTD")</f>
        <v>ASSURE SURGICALS PVT LTD</v>
      </c>
    </row>
    <row r="316">
      <c r="H316" s="5" t="str">
        <f>IFERROR(__xludf.DUMMYFUNCTION("""COMPUTED_VALUE"""),"ASTALON PHARMA")</f>
        <v>ASTALON PHARMA</v>
      </c>
    </row>
    <row r="317">
      <c r="H317" s="5" t="str">
        <f>IFERROR(__xludf.DUMMYFUNCTION("""COMPUTED_VALUE"""),"ASTELLAS PHARMA INDIA")</f>
        <v>ASTELLAS PHARMA INDIA</v>
      </c>
    </row>
    <row r="318">
      <c r="H318" s="5" t="str">
        <f>IFERROR(__xludf.DUMMYFUNCTION("""COMPUTED_VALUE"""),"ASTEMAX BIOTECH")</f>
        <v>ASTEMAX BIOTECH</v>
      </c>
    </row>
    <row r="319">
      <c r="H319" s="5" t="str">
        <f>IFERROR(__xludf.DUMMYFUNCTION("""COMPUTED_VALUE"""),"ASTER MEDIPHARM P LTD")</f>
        <v>ASTER MEDIPHARM P LTD</v>
      </c>
    </row>
    <row r="320">
      <c r="H320" s="5" t="str">
        <f>IFERROR(__xludf.DUMMYFUNCTION("""COMPUTED_VALUE"""),"ASTEROIDS PHARMA")</f>
        <v>ASTEROIDS PHARMA</v>
      </c>
    </row>
    <row r="321">
      <c r="H321" s="5" t="str">
        <f>IFERROR(__xludf.DUMMYFUNCTION("""COMPUTED_VALUE"""),"ASTON ORGANICS")</f>
        <v>ASTON ORGANICS</v>
      </c>
    </row>
    <row r="322">
      <c r="H322" s="5" t="str">
        <f>IFERROR(__xludf.DUMMYFUNCTION("""COMPUTED_VALUE"""),"Astra Zeneca")</f>
        <v>Astra Zeneca</v>
      </c>
    </row>
    <row r="323">
      <c r="H323" s="5" t="str">
        <f>IFERROR(__xludf.DUMMYFUNCTION("""COMPUTED_VALUE"""),"Astra Zeneca (ACS LIFE)")</f>
        <v>Astra Zeneca (ACS LIFE)</v>
      </c>
    </row>
    <row r="324">
      <c r="H324" s="5" t="str">
        <f>IFERROR(__xludf.DUMMYFUNCTION("""COMPUTED_VALUE"""),"Astra Zeneca (AZCENT)")</f>
        <v>Astra Zeneca (AZCENT)</v>
      </c>
    </row>
    <row r="325">
      <c r="H325" s="5" t="str">
        <f>IFERROR(__xludf.DUMMYFUNCTION("""COMPUTED_VALUE"""),"Astra Zeneca (AZPIRE)")</f>
        <v>Astra Zeneca (AZPIRE)</v>
      </c>
    </row>
    <row r="326">
      <c r="H326" s="5" t="str">
        <f>IFERROR(__xludf.DUMMYFUNCTION("""COMPUTED_VALUE"""),"Astra Zeneca (CRESCENT)")</f>
        <v>Astra Zeneca (CRESCENT)</v>
      </c>
    </row>
    <row r="327">
      <c r="H327" s="5" t="str">
        <f>IFERROR(__xludf.DUMMYFUNCTION("""COMPUTED_VALUE"""),"Astra Zeneca (DIABITIES)")</f>
        <v>Astra Zeneca (DIABITIES)</v>
      </c>
    </row>
    <row r="328">
      <c r="H328" s="5" t="str">
        <f>IFERROR(__xludf.DUMMYFUNCTION("""COMPUTED_VALUE"""),"Astra Zeneca (INFECTION)")</f>
        <v>Astra Zeneca (INFECTION)</v>
      </c>
    </row>
    <row r="329">
      <c r="H329" s="5" t="str">
        <f>IFERROR(__xludf.DUMMYFUNCTION("""COMPUTED_VALUE"""),"Astra Zeneca (MHC)")</f>
        <v>Astra Zeneca (MHC)</v>
      </c>
    </row>
    <row r="330">
      <c r="H330" s="5" t="str">
        <f>IFERROR(__xludf.DUMMYFUNCTION("""COMPUTED_VALUE"""),"ASTRA-IDL LIMITED")</f>
        <v>ASTRA-IDL LIMITED</v>
      </c>
    </row>
    <row r="331">
      <c r="H331" s="5" t="str">
        <f>IFERROR(__xludf.DUMMYFUNCTION("""COMPUTED_VALUE"""),"ASTRUM HEALTHCARE PVT LTD")</f>
        <v>ASTRUM HEALTHCARE PVT LTD</v>
      </c>
    </row>
    <row r="332">
      <c r="H332" s="5" t="str">
        <f>IFERROR(__xludf.DUMMYFUNCTION("""COMPUTED_VALUE"""),"ASWINI HOMEO PHARMACY")</f>
        <v>ASWINI HOMEO PHARMACY</v>
      </c>
    </row>
    <row r="333">
      <c r="H333" s="5" t="str">
        <f>IFERROR(__xludf.DUMMYFUNCTION("""COMPUTED_VALUE"""),"ATHARVMEILLEUR HEALTH")</f>
        <v>ATHARVMEILLEUR HEALTH</v>
      </c>
    </row>
    <row r="334">
      <c r="H334" s="5" t="str">
        <f>IFERROR(__xludf.DUMMYFUNCTION("""COMPUTED_VALUE"""),"ATHENE LABORATORIES LTD")</f>
        <v>ATHENE LABORATORIES LTD</v>
      </c>
    </row>
    <row r="335">
      <c r="H335" s="5" t="str">
        <f>IFERROR(__xludf.DUMMYFUNCTION("""COMPUTED_VALUE"""),"ATHLON MEDIVENTURES")</f>
        <v>ATHLON MEDIVENTURES</v>
      </c>
    </row>
    <row r="336">
      <c r="H336" s="5" t="str">
        <f>IFERROR(__xludf.DUMMYFUNCTION("""COMPUTED_VALUE"""),"ATIT PHARMA")</f>
        <v>ATIT PHARMA</v>
      </c>
    </row>
    <row r="337">
      <c r="H337" s="5" t="str">
        <f>IFERROR(__xludf.DUMMYFUNCTION("""COMPUTED_VALUE"""),"ATLANTIC PHARMACEUTICALS")</f>
        <v>ATLANTIC PHARMACEUTICALS</v>
      </c>
    </row>
    <row r="338">
      <c r="H338" s="5" t="str">
        <f>IFERROR(__xludf.DUMMYFUNCTION("""COMPUTED_VALUE"""),"ATTAR PHARMACEUTICALS")</f>
        <v>ATTAR PHARMACEUTICALS</v>
      </c>
    </row>
    <row r="339">
      <c r="H339" s="5" t="str">
        <f>IFERROR(__xludf.DUMMYFUNCTION("""COMPUTED_VALUE"""),"ATTEMP HEALTHCARE")</f>
        <v>ATTEMP HEALTHCARE</v>
      </c>
    </row>
    <row r="340">
      <c r="H340" s="5" t="str">
        <f>IFERROR(__xludf.DUMMYFUNCTION("""COMPUTED_VALUE"""),"ATTEMPT LIFE")</f>
        <v>ATTEMPT LIFE</v>
      </c>
    </row>
    <row r="341">
      <c r="H341" s="5" t="str">
        <f>IFERROR(__xludf.DUMMYFUNCTION("""COMPUTED_VALUE"""),"AURA NUTRACEUTICALS LTD")</f>
        <v>AURA NUTRACEUTICALS LTD</v>
      </c>
    </row>
    <row r="342">
      <c r="H342" s="5" t="str">
        <f>IFERROR(__xludf.DUMMYFUNCTION("""COMPUTED_VALUE"""),"AURAM LIFESCIENCES P LTD")</f>
        <v>AURAM LIFESCIENCES P LTD</v>
      </c>
    </row>
    <row r="343">
      <c r="H343" s="5" t="str">
        <f>IFERROR(__xludf.DUMMYFUNCTION("""COMPUTED_VALUE"""),"AURAYA HEALTHCARE")</f>
        <v>AURAYA HEALTHCARE</v>
      </c>
    </row>
    <row r="344">
      <c r="H344" s="5" t="str">
        <f>IFERROR(__xludf.DUMMYFUNCTION("""COMPUTED_VALUE"""),"AUREATE HEALTHCARE")</f>
        <v>AUREATE HEALTHCARE</v>
      </c>
    </row>
    <row r="345">
      <c r="H345" s="5" t="str">
        <f>IFERROR(__xludf.DUMMYFUNCTION("""COMPUTED_VALUE"""),"AUREL DERMA")</f>
        <v>AUREL DERMA</v>
      </c>
    </row>
    <row r="346">
      <c r="H346" s="5" t="str">
        <f>IFERROR(__xludf.DUMMYFUNCTION("""COMPUTED_VALUE"""),"AURICARE LIFESCIENCES")</f>
        <v>AURICARE LIFESCIENCES</v>
      </c>
    </row>
    <row r="347">
      <c r="H347" s="5" t="str">
        <f>IFERROR(__xludf.DUMMYFUNCTION("""COMPUTED_VALUE"""),"AURO SYSTEMS &amp; COMMUNICATIONS")</f>
        <v>AURO SYSTEMS &amp; COMMUNICATIONS</v>
      </c>
    </row>
    <row r="348">
      <c r="H348" s="5" t="str">
        <f>IFERROR(__xludf.DUMMYFUNCTION("""COMPUTED_VALUE"""),"AUSMED LIFE SCIENCES")</f>
        <v>AUSMED LIFE SCIENCES</v>
      </c>
    </row>
    <row r="349">
      <c r="H349" s="5" t="str">
        <f>IFERROR(__xludf.DUMMYFUNCTION("""COMPUTED_VALUE"""),"AUSTIRA PHARMACEUTICAL")</f>
        <v>AUSTIRA PHARMACEUTICAL</v>
      </c>
    </row>
    <row r="350">
      <c r="H350" s="5" t="str">
        <f>IFERROR(__xludf.DUMMYFUNCTION("""COMPUTED_VALUE"""),"AUSTRO LAB")</f>
        <v>AUSTRO LAB</v>
      </c>
    </row>
    <row r="351">
      <c r="H351" s="5" t="str">
        <f>IFERROR(__xludf.DUMMYFUNCTION("""COMPUTED_VALUE"""),"AUXTER BIOMEDIC")</f>
        <v>AUXTER BIOMEDIC</v>
      </c>
    </row>
    <row r="352">
      <c r="H352" s="5" t="str">
        <f>IFERROR(__xludf.DUMMYFUNCTION("""COMPUTED_VALUE"""),"AUZALUS LIFE SCIENCES")</f>
        <v>AUZALUS LIFE SCIENCES</v>
      </c>
    </row>
    <row r="353">
      <c r="H353" s="5" t="str">
        <f>IFERROR(__xludf.DUMMYFUNCTION("""COMPUTED_VALUE"""),"AVALLAC PHARMACEUTICAL")</f>
        <v>AVALLAC PHARMACEUTICAL</v>
      </c>
    </row>
    <row r="354">
      <c r="H354" s="5" t="str">
        <f>IFERROR(__xludf.DUMMYFUNCTION("""COMPUTED_VALUE"""),"AVANEESH HEALTHCARE")</f>
        <v>AVANEESH HEALTHCARE</v>
      </c>
    </row>
    <row r="355">
      <c r="H355" s="5" t="str">
        <f>IFERROR(__xludf.DUMMYFUNCTION("""COMPUTED_VALUE"""),"AVENCIA BIOTECH")</f>
        <v>AVENCIA BIOTECH</v>
      </c>
    </row>
    <row r="356">
      <c r="H356" s="5" t="str">
        <f>IFERROR(__xludf.DUMMYFUNCTION("""COMPUTED_VALUE"""),"AVENEW MEDIFACE INDIA")</f>
        <v>AVENEW MEDIFACE INDIA</v>
      </c>
    </row>
    <row r="357">
      <c r="H357" s="5" t="str">
        <f>IFERROR(__xludf.DUMMYFUNCTION("""COMPUTED_VALUE"""),"Aventis Pasteur India Ltd.")</f>
        <v>Aventis Pasteur India Ltd.</v>
      </c>
    </row>
    <row r="358">
      <c r="H358" s="5" t="str">
        <f>IFERROR(__xludf.DUMMYFUNCTION("""COMPUTED_VALUE"""),"AVILIUS NEUTRACARE")</f>
        <v>AVILIUS NEUTRACARE</v>
      </c>
    </row>
    <row r="359">
      <c r="H359" s="5" t="str">
        <f>IFERROR(__xludf.DUMMYFUNCTION("""COMPUTED_VALUE"""),"Avin Pharma")</f>
        <v>Avin Pharma</v>
      </c>
    </row>
    <row r="360">
      <c r="H360" s="5" t="str">
        <f>IFERROR(__xludf.DUMMYFUNCTION("""COMPUTED_VALUE"""),"Avinash Health Products Pvt Ltd")</f>
        <v>Avinash Health Products Pvt Ltd</v>
      </c>
    </row>
    <row r="361">
      <c r="H361" s="5" t="str">
        <f>IFERROR(__xludf.DUMMYFUNCTION("""COMPUTED_VALUE"""),"AVIOR THERAPPEUTIS")</f>
        <v>AVIOR THERAPPEUTIS</v>
      </c>
    </row>
    <row r="362">
      <c r="H362" s="5" t="str">
        <f>IFERROR(__xludf.DUMMYFUNCTION("""COMPUTED_VALUE"""),"Avis Lifecare Pvt Ltd")</f>
        <v>Avis Lifecare Pvt Ltd</v>
      </c>
    </row>
    <row r="363">
      <c r="H363" s="5" t="str">
        <f>IFERROR(__xludf.DUMMYFUNCTION("""COMPUTED_VALUE"""),"AVITA BIOPHARMACEUTICALS")</f>
        <v>AVITA BIOPHARMACEUTICALS</v>
      </c>
    </row>
    <row r="364">
      <c r="H364" s="5" t="str">
        <f>IFERROR(__xludf.DUMMYFUNCTION("""COMPUTED_VALUE"""),"AVITA BIOPHARNACEUTICALS")</f>
        <v>AVITA BIOPHARNACEUTICALS</v>
      </c>
    </row>
    <row r="365">
      <c r="H365" s="5" t="str">
        <f>IFERROR(__xludf.DUMMYFUNCTION("""COMPUTED_VALUE"""),"AVN PHARMACEUTICALS")</f>
        <v>AVN PHARMACEUTICALS</v>
      </c>
    </row>
    <row r="366">
      <c r="H366" s="5" t="str">
        <f>IFERROR(__xludf.DUMMYFUNCTION("""COMPUTED_VALUE"""),"AVNI")</f>
        <v>AVNI</v>
      </c>
    </row>
    <row r="367">
      <c r="H367" s="5" t="str">
        <f>IFERROR(__xludf.DUMMYFUNCTION("""COMPUTED_VALUE"""),"AVNI PHARMA SOLAN")</f>
        <v>AVNI PHARMA SOLAN</v>
      </c>
    </row>
    <row r="368">
      <c r="H368" s="5" t="str">
        <f>IFERROR(__xludf.DUMMYFUNCTION("""COMPUTED_VALUE"""),"AVONIC LIFE SCIENCES")</f>
        <v>AVONIC LIFE SCIENCES</v>
      </c>
    </row>
    <row r="369">
      <c r="H369" s="5" t="str">
        <f>IFERROR(__xludf.DUMMYFUNCTION("""COMPUTED_VALUE"""),"AWSTEN REMEDIES")</f>
        <v>AWSTEN REMEDIES</v>
      </c>
    </row>
    <row r="370">
      <c r="H370" s="5" t="str">
        <f>IFERROR(__xludf.DUMMYFUNCTION("""COMPUTED_VALUE"""),"AXELTIS HEALTHCARE")</f>
        <v>AXELTIS HEALTHCARE</v>
      </c>
    </row>
    <row r="371">
      <c r="H371" s="5" t="str">
        <f>IFERROR(__xludf.DUMMYFUNCTION("""COMPUTED_VALUE"""),"AXINIB 1")</f>
        <v>AXINIB 1</v>
      </c>
    </row>
    <row r="372">
      <c r="H372" s="5" t="str">
        <f>IFERROR(__xludf.DUMMYFUNCTION("""COMPUTED_VALUE"""),"AXINIB 5")</f>
        <v>AXINIB 5</v>
      </c>
    </row>
    <row r="373">
      <c r="H373" s="5" t="str">
        <f>IFERROR(__xludf.DUMMYFUNCTION("""COMPUTED_VALUE"""),"AXIS PHARMA")</f>
        <v>AXIS PHARMA</v>
      </c>
    </row>
    <row r="374">
      <c r="H374" s="5" t="str">
        <f>IFERROR(__xludf.DUMMYFUNCTION("""COMPUTED_VALUE"""),"AXO RESEARCH LABORATORIES")</f>
        <v>AXO RESEARCH LABORATORIES</v>
      </c>
    </row>
    <row r="375">
      <c r="H375" s="5" t="str">
        <f>IFERROR(__xludf.DUMMYFUNCTION("""COMPUTED_VALUE"""),"AYURVED SEVA SADAN")</f>
        <v>AYURVED SEVA SADAN</v>
      </c>
    </row>
    <row r="376">
      <c r="H376" s="5" t="str">
        <f>IFERROR(__xludf.DUMMYFUNCTION("""COMPUTED_VALUE"""),"AYURVED SUMSHODHANALAYA")</f>
        <v>AYURVED SUMSHODHANALAYA</v>
      </c>
    </row>
    <row r="377">
      <c r="H377" s="5" t="str">
        <f>IFERROR(__xludf.DUMMYFUNCTION("""COMPUTED_VALUE"""),"AYURVEDA SEARCH")</f>
        <v>AYURVEDA SEARCH</v>
      </c>
    </row>
    <row r="378">
      <c r="H378" s="5" t="str">
        <f>IFERROR(__xludf.DUMMYFUNCTION("""COMPUTED_VALUE"""),"AYURVEDANT P LTD")</f>
        <v>AYURVEDANT P LTD</v>
      </c>
    </row>
    <row r="379">
      <c r="H379" s="5" t="str">
        <f>IFERROR(__xludf.DUMMYFUNCTION("""COMPUTED_VALUE"""),"AYURVEDIC VIKAS SANSTHAN")</f>
        <v>AYURVEDIC VIKAS SANSTHAN</v>
      </c>
    </row>
    <row r="380">
      <c r="H380" s="5" t="str">
        <f>IFERROR(__xludf.DUMMYFUNCTION("""COMPUTED_VALUE"""),"AYURWIN")</f>
        <v>AYURWIN</v>
      </c>
    </row>
    <row r="381">
      <c r="H381" s="5" t="str">
        <f>IFERROR(__xludf.DUMMYFUNCTION("""COMPUTED_VALUE"""),"AYUSH MEDICAL AGENCY (OTHER PRODUCTS)")</f>
        <v>AYUSH MEDICAL AGENCY (OTHER PRODUCTS)</v>
      </c>
    </row>
    <row r="382">
      <c r="H382" s="5" t="str">
        <f>IFERROR(__xludf.DUMMYFUNCTION("""COMPUTED_VALUE"""),"AYUSHAKTI HEALTH CARE")</f>
        <v>AYUSHAKTI HEALTH CARE</v>
      </c>
    </row>
    <row r="383">
      <c r="H383" s="5" t="str">
        <f>IFERROR(__xludf.DUMMYFUNCTION("""COMPUTED_VALUE"""),"AZILLIAN HEALTHCARE PVT LTD")</f>
        <v>AZILLIAN HEALTHCARE PVT LTD</v>
      </c>
    </row>
    <row r="384">
      <c r="H384" s="5" t="str">
        <f>IFERROR(__xludf.DUMMYFUNCTION("""COMPUTED_VALUE"""),"AZINE HEALTHCARE P LTD")</f>
        <v>AZINE HEALTHCARE P LTD</v>
      </c>
    </row>
    <row r="385">
      <c r="H385" s="5" t="str">
        <f>IFERROR(__xludf.DUMMYFUNCTION("""COMPUTED_VALUE"""),"AZKKA PHARMACEUTICALS PVT LTD")</f>
        <v>AZKKA PHARMACEUTICALS PVT LTD</v>
      </c>
    </row>
    <row r="386">
      <c r="H386" s="5" t="str">
        <f>IFERROR(__xludf.DUMMYFUNCTION("""COMPUTED_VALUE"""),"AZKKOR PHARMA")</f>
        <v>AZKKOR PHARMA</v>
      </c>
    </row>
    <row r="387">
      <c r="H387" s="5" t="str">
        <f>IFERROR(__xludf.DUMMYFUNCTION("""COMPUTED_VALUE"""),"AZZURRA PHARMA")</f>
        <v>AZZURRA PHARMA</v>
      </c>
    </row>
    <row r="388">
      <c r="H388" s="5" t="str">
        <f>IFERROR(__xludf.DUMMYFUNCTION("""COMPUTED_VALUE"""),"B BRAUN")</f>
        <v>B BRAUN</v>
      </c>
    </row>
    <row r="389">
      <c r="H389" s="5" t="str">
        <f>IFERROR(__xludf.DUMMYFUNCTION("""COMPUTED_VALUE"""),"B-TEX OINTMENT")</f>
        <v>B-TEX OINTMENT</v>
      </c>
    </row>
    <row r="390">
      <c r="H390" s="5" t="str">
        <f>IFERROR(__xludf.DUMMYFUNCTION("""COMPUTED_VALUE"""),"B&amp;B GROUP")</f>
        <v>B&amp;B GROUP</v>
      </c>
    </row>
    <row r="391">
      <c r="H391" s="5" t="str">
        <f>IFERROR(__xludf.DUMMYFUNCTION("""COMPUTED_VALUE"""),"B&amp;J LIFE SCIENCES")</f>
        <v>B&amp;J LIFE SCIENCES</v>
      </c>
    </row>
    <row r="392">
      <c r="H392" s="5" t="str">
        <f>IFERROR(__xludf.DUMMYFUNCTION("""COMPUTED_VALUE"""),"BACFO Pharmaceuticals (India) Ltd.")</f>
        <v>BACFO Pharmaceuticals (India) Ltd.</v>
      </c>
    </row>
    <row r="393">
      <c r="H393" s="5" t="str">
        <f>IFERROR(__xludf.DUMMYFUNCTION("""COMPUTED_VALUE"""),"BAHOLA")</f>
        <v>BAHOLA</v>
      </c>
    </row>
    <row r="394">
      <c r="H394" s="5" t="str">
        <f>IFERROR(__xludf.DUMMYFUNCTION("""COMPUTED_VALUE"""),"BAIN MEDICAL EQIPMENT")</f>
        <v>BAIN MEDICAL EQIPMENT</v>
      </c>
    </row>
    <row r="395">
      <c r="H395" s="5" t="str">
        <f>IFERROR(__xludf.DUMMYFUNCTION("""COMPUTED_VALUE"""),"BAJAJ CORP LTD")</f>
        <v>BAJAJ CORP LTD</v>
      </c>
    </row>
    <row r="396">
      <c r="H396" s="5" t="str">
        <f>IFERROR(__xludf.DUMMYFUNCTION("""COMPUTED_VALUE"""),"BAJAJ MEDICARE")</f>
        <v>BAJAJ MEDICARE</v>
      </c>
    </row>
    <row r="397">
      <c r="H397" s="5" t="str">
        <f>IFERROR(__xludf.DUMMYFUNCTION("""COMPUTED_VALUE"""),"BAKSON")</f>
        <v>BAKSON</v>
      </c>
    </row>
    <row r="398">
      <c r="H398" s="5" t="str">
        <f>IFERROR(__xludf.DUMMYFUNCTION("""COMPUTED_VALUE"""),"Bal Pharma Ltd")</f>
        <v>Bal Pharma Ltd</v>
      </c>
    </row>
    <row r="399">
      <c r="H399" s="5" t="str">
        <f>IFERROR(__xludf.DUMMYFUNCTION("""COMPUTED_VALUE"""),"BALAJI AYURVED SANSTHAN")</f>
        <v>BALAJI AYURVED SANSTHAN</v>
      </c>
    </row>
    <row r="400">
      <c r="H400" s="5" t="str">
        <f>IFERROR(__xludf.DUMMYFUNCTION("""COMPUTED_VALUE"""),"BALAJI HEALTHCARE")</f>
        <v>BALAJI HEALTHCARE</v>
      </c>
    </row>
    <row r="401">
      <c r="H401" s="5" t="str">
        <f>IFERROR(__xludf.DUMMYFUNCTION("""COMPUTED_VALUE"""),"BALSON PHARMACEUTICALS (BESTCURE PHARMA)")</f>
        <v>BALSON PHARMACEUTICALS (BESTCURE PHARMA)</v>
      </c>
    </row>
    <row r="402">
      <c r="H402" s="5" t="str">
        <f>IFERROR(__xludf.DUMMYFUNCTION("""COMPUTED_VALUE"""),"Ban Labs")</f>
        <v>Ban Labs</v>
      </c>
    </row>
    <row r="403">
      <c r="H403" s="5" t="str">
        <f>IFERROR(__xludf.DUMMYFUNCTION("""COMPUTED_VALUE"""),"BANFORD")</f>
        <v>BANFORD</v>
      </c>
    </row>
    <row r="404">
      <c r="H404" s="5" t="str">
        <f>IFERROR(__xludf.DUMMYFUNCTION("""COMPUTED_VALUE"""),"BARD ACCESS SYSTEMS")</f>
        <v>BARD ACCESS SYSTEMS</v>
      </c>
    </row>
    <row r="405">
      <c r="H405" s="5" t="str">
        <f>IFERROR(__xludf.DUMMYFUNCTION("""COMPUTED_VALUE"""),"BARDIA")</f>
        <v>BARDIA</v>
      </c>
    </row>
    <row r="406">
      <c r="H406" s="5" t="str">
        <f>IFERROR(__xludf.DUMMYFUNCTION("""COMPUTED_VALUE"""),"BAROQUE PHARMACEUTICALS")</f>
        <v>BAROQUE PHARMACEUTICALS</v>
      </c>
    </row>
    <row r="407">
      <c r="H407" s="5" t="str">
        <f>IFERROR(__xludf.DUMMYFUNCTION("""COMPUTED_VALUE"""),"BAUSCH &amp; LOMB")</f>
        <v>BAUSCH &amp; LOMB</v>
      </c>
    </row>
    <row r="408">
      <c r="H408" s="5" t="str">
        <f>IFERROR(__xludf.DUMMYFUNCTION("""COMPUTED_VALUE"""),"BAUSCH &amp; LOMB (SL-59)")</f>
        <v>BAUSCH &amp; LOMB (SL-59)</v>
      </c>
    </row>
    <row r="409">
      <c r="H409" s="5" t="str">
        <f>IFERROR(__xludf.DUMMYFUNCTION("""COMPUTED_VALUE"""),"Bausch &amp; Lomb Inc")</f>
        <v>Bausch &amp; Lomb Inc</v>
      </c>
    </row>
    <row r="410">
      <c r="H410" s="5" t="str">
        <f>IFERROR(__xludf.DUMMYFUNCTION("""COMPUTED_VALUE"""),"Baxter India Pvt Ltd")</f>
        <v>Baxter India Pvt Ltd</v>
      </c>
    </row>
    <row r="411">
      <c r="H411" s="5" t="str">
        <f>IFERROR(__xludf.DUMMYFUNCTION("""COMPUTED_VALUE"""),"BAYER (ZYDUS BLUE)")</f>
        <v>BAYER (ZYDUS BLUE)</v>
      </c>
    </row>
    <row r="412">
      <c r="H412" s="5" t="str">
        <f>IFERROR(__xludf.DUMMYFUNCTION("""COMPUTED_VALUE"""),"Bayer Pharmaceuticals Pvt Ltd")</f>
        <v>Bayer Pharmaceuticals Pvt Ltd</v>
      </c>
    </row>
    <row r="413">
      <c r="H413" s="5" t="str">
        <f>IFERROR(__xludf.DUMMYFUNCTION("""COMPUTED_VALUE"""),"BAYZE BIOCARE PVT LTD")</f>
        <v>BAYZE BIOCARE PVT LTD</v>
      </c>
    </row>
    <row r="414">
      <c r="H414" s="5" t="str">
        <f>IFERROR(__xludf.DUMMYFUNCTION("""COMPUTED_VALUE"""),"BD SURGICAL")</f>
        <v>BD SURGICAL</v>
      </c>
    </row>
    <row r="415">
      <c r="H415" s="5" t="str">
        <f>IFERROR(__xludf.DUMMYFUNCTION("""COMPUTED_VALUE"""),"BDR PHARMACEUTICALS")</f>
        <v>BDR PHARMACEUTICALS</v>
      </c>
    </row>
    <row r="416">
      <c r="H416" s="5" t="str">
        <f>IFERROR(__xludf.DUMMYFUNCTION("""COMPUTED_VALUE"""),"BEAUDERM PAHARMA")</f>
        <v>BEAUDERM PAHARMA</v>
      </c>
    </row>
    <row r="417">
      <c r="H417" s="5" t="str">
        <f>IFERROR(__xludf.DUMMYFUNCTION("""COMPUTED_VALUE"""),"BECK &amp; KOLL")</f>
        <v>BECK &amp; KOLL</v>
      </c>
    </row>
    <row r="418">
      <c r="H418" s="5" t="str">
        <f>IFERROR(__xludf.DUMMYFUNCTION("""COMPUTED_VALUE"""),"BEEKAY PHARMACEUTICALS")</f>
        <v>BEEKAY PHARMACEUTICALS</v>
      </c>
    </row>
    <row r="419">
      <c r="H419" s="5" t="str">
        <f>IFERROR(__xludf.DUMMYFUNCTION("""COMPUTED_VALUE"""),"BEETA SURGICALS")</f>
        <v>BEETA SURGICALS</v>
      </c>
    </row>
    <row r="420">
      <c r="H420" s="5" t="str">
        <f>IFERROR(__xludf.DUMMYFUNCTION("""COMPUTED_VALUE"""),"BEIERSDORF")</f>
        <v>BEIERSDORF</v>
      </c>
    </row>
    <row r="421">
      <c r="H421" s="5" t="str">
        <f>IFERROR(__xludf.DUMMYFUNCTION("""COMPUTED_VALUE"""),"Bengal Chemicals &amp; Pharmaceuticals Ltd")</f>
        <v>Bengal Chemicals &amp; Pharmaceuticals Ltd</v>
      </c>
    </row>
    <row r="422">
      <c r="H422" s="5" t="str">
        <f>IFERROR(__xludf.DUMMYFUNCTION("""COMPUTED_VALUE"""),"BENNET PHARMA (MAIN)")</f>
        <v>BENNET PHARMA (MAIN)</v>
      </c>
    </row>
    <row r="423">
      <c r="H423" s="5" t="str">
        <f>IFERROR(__xludf.DUMMYFUNCTION("""COMPUTED_VALUE"""),"BENNET PHARMA (MYPHER)")</f>
        <v>BENNET PHARMA (MYPHER)</v>
      </c>
    </row>
    <row r="424">
      <c r="H424" s="5" t="str">
        <f>IFERROR(__xludf.DUMMYFUNCTION("""COMPUTED_VALUE"""),"Bennet Pharmaceuticals Limited")</f>
        <v>Bennet Pharmaceuticals Limited</v>
      </c>
    </row>
    <row r="425">
      <c r="H425" s="5" t="str">
        <f>IFERROR(__xludf.DUMMYFUNCTION("""COMPUTED_VALUE"""),"BERBRICK HEALTHCARE")</f>
        <v>BERBRICK HEALTHCARE</v>
      </c>
    </row>
    <row r="426">
      <c r="H426" s="5" t="str">
        <f>IFERROR(__xludf.DUMMYFUNCTION("""COMPUTED_VALUE"""),"BERYL DRUGS LTD")</f>
        <v>BERYL DRUGS LTD</v>
      </c>
    </row>
    <row r="427">
      <c r="H427" s="5" t="str">
        <f>IFERROR(__xludf.DUMMYFUNCTION("""COMPUTED_VALUE"""),"Besins Healthcare India Pvt Ltd")</f>
        <v>Besins Healthcare India Pvt Ltd</v>
      </c>
    </row>
    <row r="428">
      <c r="H428" s="5" t="str">
        <f>IFERROR(__xludf.DUMMYFUNCTION("""COMPUTED_VALUE"""),"BEST BIOTECH")</f>
        <v>BEST BIOTECH</v>
      </c>
    </row>
    <row r="429">
      <c r="H429" s="5" t="str">
        <f>IFERROR(__xludf.DUMMYFUNCTION("""COMPUTED_VALUE"""),"BESTEL LABORATORIES")</f>
        <v>BESTEL LABORATORIES</v>
      </c>
    </row>
    <row r="430">
      <c r="H430" s="5" t="str">
        <f>IFERROR(__xludf.DUMMYFUNCTION("""COMPUTED_VALUE"""),"BestoChem Formulations India Ltd")</f>
        <v>BestoChem Formulations India Ltd</v>
      </c>
    </row>
    <row r="431">
      <c r="H431" s="5" t="str">
        <f>IFERROR(__xludf.DUMMYFUNCTION("""COMPUTED_VALUE"""),"BestoChem Formulations India Ltd (GENERIC)")</f>
        <v>BestoChem Formulations India Ltd (GENERIC)</v>
      </c>
    </row>
    <row r="432">
      <c r="H432" s="5" t="str">
        <f>IFERROR(__xludf.DUMMYFUNCTION("""COMPUTED_VALUE"""),"BHAGWAT PHARMACEUTICAL")</f>
        <v>BHAGWAT PHARMACEUTICAL</v>
      </c>
    </row>
    <row r="433">
      <c r="H433" s="5" t="str">
        <f>IFERROR(__xludf.DUMMYFUNCTION("""COMPUTED_VALUE"""),"BHANDARI")</f>
        <v>BHANDARI</v>
      </c>
    </row>
    <row r="434">
      <c r="H434" s="5" t="str">
        <f>IFERROR(__xludf.DUMMYFUNCTION("""COMPUTED_VALUE"""),"Bhandari Labs")</f>
        <v>Bhandari Labs</v>
      </c>
    </row>
    <row r="435">
      <c r="H435" s="5" t="str">
        <f>IFERROR(__xludf.DUMMYFUNCTION("""COMPUTED_VALUE"""),"Bharat Biotech")</f>
        <v>Bharat Biotech</v>
      </c>
    </row>
    <row r="436">
      <c r="H436" s="5" t="str">
        <f>IFERROR(__xludf.DUMMYFUNCTION("""COMPUTED_VALUE"""),"BHARAT HOMOEO")</f>
        <v>BHARAT HOMOEO</v>
      </c>
    </row>
    <row r="437">
      <c r="H437" s="5" t="str">
        <f>IFERROR(__xludf.DUMMYFUNCTION("""COMPUTED_VALUE"""),"Bharat Serums &amp; Vaccines Ltd")</f>
        <v>Bharat Serums &amp; Vaccines Ltd</v>
      </c>
    </row>
    <row r="438">
      <c r="H438" s="5" t="str">
        <f>IFERROR(__xludf.DUMMYFUNCTION("""COMPUTED_VALUE"""),"BHARATIYAPHARMACEUTICALS INDIA")</f>
        <v>BHARATIYAPHARMACEUTICALS INDIA</v>
      </c>
    </row>
    <row r="439">
      <c r="H439" s="5" t="str">
        <f>IFERROR(__xludf.DUMMYFUNCTION("""COMPUTED_VALUE"""),"Bharti Life Sciences")</f>
        <v>Bharti Life Sciences</v>
      </c>
    </row>
    <row r="440">
      <c r="H440" s="5" t="str">
        <f>IFERROR(__xludf.DUMMYFUNCTION("""COMPUTED_VALUE"""),"BHARTIYAPHARMA")</f>
        <v>BHARTIYAPHARMA</v>
      </c>
    </row>
    <row r="441">
      <c r="H441" s="5" t="str">
        <f>IFERROR(__xludf.DUMMYFUNCTION("""COMPUTED_VALUE"""),"BHAWANI PHARMACEUTICAL")</f>
        <v>BHAWANI PHARMACEUTICAL</v>
      </c>
    </row>
    <row r="442">
      <c r="H442" s="5" t="str">
        <f>IFERROR(__xludf.DUMMYFUNCTION("""COMPUTED_VALUE"""),"BHAWASAR CHEMICALS")</f>
        <v>BHAWASAR CHEMICALS</v>
      </c>
    </row>
    <row r="443">
      <c r="H443" s="5" t="str">
        <f>IFERROR(__xludf.DUMMYFUNCTION("""COMPUTED_VALUE"""),"BHAWSAR PHARMACEUTICAL WORKS")</f>
        <v>BHAWSAR PHARMACEUTICAL WORKS</v>
      </c>
    </row>
    <row r="444">
      <c r="H444" s="5" t="str">
        <f>IFERROR(__xludf.DUMMYFUNCTION("""COMPUTED_VALUE"""),"BHOGILAL PREMCHAND")</f>
        <v>BHOGILAL PREMCHAND</v>
      </c>
    </row>
    <row r="445">
      <c r="H445" s="5" t="str">
        <f>IFERROR(__xludf.DUMMYFUNCTION("""COMPUTED_VALUE"""),"BIGWIG REMEDIES")</f>
        <v>BIGWIG REMEDIES</v>
      </c>
    </row>
    <row r="446">
      <c r="H446" s="5" t="str">
        <f>IFERROR(__xludf.DUMMYFUNCTION("""COMPUTED_VALUE"""),"BILBERRY PHARMACEUTICAL PVT LTD")</f>
        <v>BILBERRY PHARMACEUTICAL PVT LTD</v>
      </c>
    </row>
    <row r="447">
      <c r="H447" s="5" t="str">
        <f>IFERROR(__xludf.DUMMYFUNCTION("""COMPUTED_VALUE"""),"BILLS CHEMICAL LIMITED")</f>
        <v>BILLS CHEMICAL LIMITED</v>
      </c>
    </row>
    <row r="448">
      <c r="H448" s="5" t="str">
        <f>IFERROR(__xludf.DUMMYFUNCTION("""COMPUTED_VALUE"""),"BIO MEDICA LABORATORIES PVT LTD")</f>
        <v>BIO MEDICA LABORATORIES PVT LTD</v>
      </c>
    </row>
    <row r="449">
      <c r="H449" s="5" t="str">
        <f>IFERROR(__xludf.DUMMYFUNCTION("""COMPUTED_VALUE"""),"BIO TRUE LENS")</f>
        <v>BIO TRUE LENS</v>
      </c>
    </row>
    <row r="450">
      <c r="H450" s="5" t="str">
        <f>IFERROR(__xludf.DUMMYFUNCTION("""COMPUTED_VALUE"""),"BIO-MEDICA LAB INDORE")</f>
        <v>BIO-MEDICA LAB INDORE</v>
      </c>
    </row>
    <row r="451">
      <c r="H451" s="5" t="str">
        <f>IFERROR(__xludf.DUMMYFUNCTION("""COMPUTED_VALUE"""),"BIOAS MEDICO P LTD")</f>
        <v>BIOAS MEDICO P LTD</v>
      </c>
    </row>
    <row r="452">
      <c r="H452" s="5" t="str">
        <f>IFERROR(__xludf.DUMMYFUNCTION("""COMPUTED_VALUE"""),"BIOCEUTICS PHARMACEUTICALS")</f>
        <v>BIOCEUTICS PHARMACEUTICALS</v>
      </c>
    </row>
    <row r="453">
      <c r="H453" s="5" t="str">
        <f>IFERROR(__xludf.DUMMYFUNCTION("""COMPUTED_VALUE"""),"Biochem Pharmaceutical Industries")</f>
        <v>Biochem Pharmaceutical Industries</v>
      </c>
    </row>
    <row r="454">
      <c r="H454" s="5" t="str">
        <f>IFERROR(__xludf.DUMMYFUNCTION("""COMPUTED_VALUE"""),"Biochem Pharmaceutical Industries (GENERIC)")</f>
        <v>Biochem Pharmaceutical Industries (GENERIC)</v>
      </c>
    </row>
    <row r="455">
      <c r="H455" s="5" t="str">
        <f>IFERROR(__xludf.DUMMYFUNCTION("""COMPUTED_VALUE"""),"BIOCHEMIX HEALTHCARE")</f>
        <v>BIOCHEMIX HEALTHCARE</v>
      </c>
    </row>
    <row r="456">
      <c r="H456" s="5" t="str">
        <f>IFERROR(__xludf.DUMMYFUNCTION("""COMPUTED_VALUE"""),"BIOCHEMIX HEALTHCARE (NOVAMED  PHARMA)")</f>
        <v>BIOCHEMIX HEALTHCARE (NOVAMED  PHARMA)</v>
      </c>
    </row>
    <row r="457">
      <c r="H457" s="5" t="str">
        <f>IFERROR(__xludf.DUMMYFUNCTION("""COMPUTED_VALUE"""),"BIOCHEMIX HEALTHCARE (OLMED)")</f>
        <v>BIOCHEMIX HEALTHCARE (OLMED)</v>
      </c>
    </row>
    <row r="458">
      <c r="H458" s="5" t="str">
        <f>IFERROR(__xludf.DUMMYFUNCTION("""COMPUTED_VALUE"""),"BIOCHEMIX HEALTHCARE (VIVIA DERMACARE)")</f>
        <v>BIOCHEMIX HEALTHCARE (VIVIA DERMACARE)</v>
      </c>
    </row>
    <row r="459">
      <c r="H459" s="5" t="str">
        <f>IFERROR(__xludf.DUMMYFUNCTION("""COMPUTED_VALUE"""),"Biocon")</f>
        <v>Biocon</v>
      </c>
    </row>
    <row r="460">
      <c r="H460" s="5" t="str">
        <f>IFERROR(__xludf.DUMMYFUNCTION("""COMPUTED_VALUE"""),"BIOCON (ALTIUS)")</f>
        <v>BIOCON (ALTIUS)</v>
      </c>
    </row>
    <row r="461">
      <c r="H461" s="5" t="str">
        <f>IFERROR(__xludf.DUMMYFUNCTION("""COMPUTED_VALUE"""),"BIOCON (CITIUS)")</f>
        <v>BIOCON (CITIUS)</v>
      </c>
    </row>
    <row r="462">
      <c r="H462" s="5" t="str">
        <f>IFERROR(__xludf.DUMMYFUNCTION("""COMPUTED_VALUE"""),"BIOCON (CRITICAL CARE)")</f>
        <v>BIOCON (CRITICAL CARE)</v>
      </c>
    </row>
    <row r="463">
      <c r="H463" s="5" t="str">
        <f>IFERROR(__xludf.DUMMYFUNCTION("""COMPUTED_VALUE"""),"BIOCON (DERMA)")</f>
        <v>BIOCON (DERMA)</v>
      </c>
    </row>
    <row r="464">
      <c r="H464" s="5" t="str">
        <f>IFERROR(__xludf.DUMMYFUNCTION("""COMPUTED_VALUE"""),"BIOCORE PHARMACEUTICALS")</f>
        <v>BIOCORE PHARMACEUTICALS</v>
      </c>
    </row>
    <row r="465">
      <c r="H465" s="5" t="str">
        <f>IFERROR(__xludf.DUMMYFUNCTION("""COMPUTED_VALUE"""),"BIODERMA SOLUTIONS")</f>
        <v>BIODERMA SOLUTIONS</v>
      </c>
    </row>
    <row r="466">
      <c r="H466" s="5" t="str">
        <f>IFERROR(__xludf.DUMMYFUNCTION("""COMPUTED_VALUE"""),"BIODERMA SOLUTIONS (AESTETIX)")</f>
        <v>BIODERMA SOLUTIONS (AESTETIX)</v>
      </c>
    </row>
    <row r="467">
      <c r="H467" s="5" t="str">
        <f>IFERROR(__xludf.DUMMYFUNCTION("""COMPUTED_VALUE"""),"BIODERMA SOLUTIONS (CYTOZ)")</f>
        <v>BIODERMA SOLUTIONS (CYTOZ)</v>
      </c>
    </row>
    <row r="468">
      <c r="H468" s="5" t="str">
        <f>IFERROR(__xludf.DUMMYFUNCTION("""COMPUTED_VALUE"""),"BIODERMA SOLUTIONS (DENTAL)")</f>
        <v>BIODERMA SOLUTIONS (DENTAL)</v>
      </c>
    </row>
    <row r="469">
      <c r="H469" s="5" t="str">
        <f>IFERROR(__xludf.DUMMYFUNCTION("""COMPUTED_VALUE"""),"BIODERMA SOLUTIONS (MAIN)")</f>
        <v>BIODERMA SOLUTIONS (MAIN)</v>
      </c>
    </row>
    <row r="470">
      <c r="H470" s="5" t="str">
        <f>IFERROR(__xludf.DUMMYFUNCTION("""COMPUTED_VALUE"""),"BIOFORCE")</f>
        <v>BIOFORCE</v>
      </c>
    </row>
    <row r="471">
      <c r="H471" s="5" t="str">
        <f>IFERROR(__xludf.DUMMYFUNCTION("""COMPUTED_VALUE"""),"BIOFORD REMEDIES PVT LTD")</f>
        <v>BIOFORD REMEDIES PVT LTD</v>
      </c>
    </row>
    <row r="472">
      <c r="H472" s="5" t="str">
        <f>IFERROR(__xludf.DUMMYFUNCTION("""COMPUTED_VALUE"""),"BIOGEN HEALTH CARE")</f>
        <v>BIOGEN HEALTH CARE</v>
      </c>
    </row>
    <row r="473">
      <c r="H473" s="5" t="str">
        <f>IFERROR(__xludf.DUMMYFUNCTION("""COMPUTED_VALUE"""),"Biogen Idec India")</f>
        <v>Biogen Idec India</v>
      </c>
    </row>
    <row r="474">
      <c r="H474" s="5" t="str">
        <f>IFERROR(__xludf.DUMMYFUNCTION("""COMPUTED_VALUE"""),"BIOGENOMICS LIMITED")</f>
        <v>BIOGENOMICS LIMITED</v>
      </c>
    </row>
    <row r="475">
      <c r="H475" s="5" t="str">
        <f>IFERROR(__xludf.DUMMYFUNCTION("""COMPUTED_VALUE"""),"BIOGRACE PHARMA")</f>
        <v>BIOGRACE PHARMA</v>
      </c>
    </row>
    <row r="476">
      <c r="H476" s="5" t="str">
        <f>IFERROR(__xludf.DUMMYFUNCTION("""COMPUTED_VALUE"""),"BIOKINDLE LIFESCIENCES")</f>
        <v>BIOKINDLE LIFESCIENCES</v>
      </c>
    </row>
    <row r="477">
      <c r="H477" s="5" t="str">
        <f>IFERROR(__xludf.DUMMYFUNCTION("""COMPUTED_VALUE"""),"BIOLIFE")</f>
        <v>BIOLIFE</v>
      </c>
    </row>
    <row r="478">
      <c r="H478" s="5" t="str">
        <f>IFERROR(__xludf.DUMMYFUNCTION("""COMPUTED_VALUE"""),"Biological E Ltd")</f>
        <v>Biological E Ltd</v>
      </c>
    </row>
    <row r="479">
      <c r="H479" s="5" t="str">
        <f>IFERROR(__xludf.DUMMYFUNCTION("""COMPUTED_VALUE"""),"BIOMAX BIOTECHNICS")</f>
        <v>BIOMAX BIOTECHNICS</v>
      </c>
    </row>
    <row r="480">
      <c r="H480" s="5" t="str">
        <f>IFERROR(__xludf.DUMMYFUNCTION("""COMPUTED_VALUE"""),"BIOMEDICA INTERNATIONAL")</f>
        <v>BIOMEDICA INTERNATIONAL</v>
      </c>
    </row>
    <row r="481">
      <c r="H481" s="5" t="str">
        <f>IFERROR(__xludf.DUMMYFUNCTION("""COMPUTED_VALUE"""),"BIOMI LIFE SCIENCES")</f>
        <v>BIOMI LIFE SCIENCES</v>
      </c>
    </row>
    <row r="482">
      <c r="H482" s="5" t="str">
        <f>IFERROR(__xludf.DUMMYFUNCTION("""COMPUTED_VALUE"""),"BIONOMICS")</f>
        <v>BIONOMICS</v>
      </c>
    </row>
    <row r="483">
      <c r="H483" s="5" t="str">
        <f>IFERROR(__xludf.DUMMYFUNCTION("""COMPUTED_VALUE"""),"BIONOVA (MAXNOVA)")</f>
        <v>BIONOVA (MAXNOVA)</v>
      </c>
    </row>
    <row r="484">
      <c r="H484" s="5" t="str">
        <f>IFERROR(__xludf.DUMMYFUNCTION("""COMPUTED_VALUE"""),"BIONOVA PHARMACEUTICALS")</f>
        <v>BIONOVA PHARMACEUTICALS</v>
      </c>
    </row>
    <row r="485">
      <c r="H485" s="5" t="str">
        <f>IFERROR(__xludf.DUMMYFUNCTION("""COMPUTED_VALUE"""),"BIONOVO REMEDIES")</f>
        <v>BIONOVO REMEDIES</v>
      </c>
    </row>
    <row r="486">
      <c r="H486" s="5" t="str">
        <f>IFERROR(__xludf.DUMMYFUNCTION("""COMPUTED_VALUE"""),"BIOPHAR LIFESCIENCES")</f>
        <v>BIOPHAR LIFESCIENCES</v>
      </c>
    </row>
    <row r="487">
      <c r="H487" s="5" t="str">
        <f>IFERROR(__xludf.DUMMYFUNCTION("""COMPUTED_VALUE"""),"BIOPHARM GROUP")</f>
        <v>BIOPHARM GROUP</v>
      </c>
    </row>
    <row r="488">
      <c r="H488" s="5" t="str">
        <f>IFERROR(__xludf.DUMMYFUNCTION("""COMPUTED_VALUE"""),"BIOS (HOMEO)")</f>
        <v>BIOS (HOMEO)</v>
      </c>
    </row>
    <row r="489">
      <c r="H489" s="5" t="str">
        <f>IFERROR(__xludf.DUMMYFUNCTION("""COMPUTED_VALUE"""),"BIOSAFE LIFECARE P LTD")</f>
        <v>BIOSAFE LIFECARE P LTD</v>
      </c>
    </row>
    <row r="490">
      <c r="H490" s="5" t="str">
        <f>IFERROR(__xludf.DUMMYFUNCTION("""COMPUTED_VALUE"""),"BIOSAP")</f>
        <v>BIOSAP</v>
      </c>
    </row>
    <row r="491">
      <c r="H491" s="5" t="str">
        <f>IFERROR(__xludf.DUMMYFUNCTION("""COMPUTED_VALUE"""),"BIOSCIENCE HEALTHCARE")</f>
        <v>BIOSCIENCE HEALTHCARE</v>
      </c>
    </row>
    <row r="492">
      <c r="H492" s="5" t="str">
        <f>IFERROR(__xludf.DUMMYFUNCTION("""COMPUTED_VALUE"""),"BIOSHIELDS")</f>
        <v>BIOSHIELDS</v>
      </c>
    </row>
    <row r="493">
      <c r="H493" s="5" t="str">
        <f>IFERROR(__xludf.DUMMYFUNCTION("""COMPUTED_VALUE"""),"BIOSLAB")</f>
        <v>BIOSLAB</v>
      </c>
    </row>
    <row r="494">
      <c r="H494" s="5" t="str">
        <f>IFERROR(__xludf.DUMMYFUNCTION("""COMPUTED_VALUE"""),"BIOSTADT INDIA LIMITED")</f>
        <v>BIOSTADT INDIA LIMITED</v>
      </c>
    </row>
    <row r="495">
      <c r="H495" s="5" t="str">
        <f>IFERROR(__xludf.DUMMYFUNCTION("""COMPUTED_VALUE"""),"BIOSTAR PHARMACEUTICALS")</f>
        <v>BIOSTAR PHARMACEUTICALS</v>
      </c>
    </row>
    <row r="496">
      <c r="H496" s="5" t="str">
        <f>IFERROR(__xludf.DUMMYFUNCTION("""COMPUTED_VALUE"""),"BIOSUR PHARMA")</f>
        <v>BIOSUR PHARMA</v>
      </c>
    </row>
    <row r="497">
      <c r="H497" s="5" t="str">
        <f>IFERROR(__xludf.DUMMYFUNCTION("""COMPUTED_VALUE"""),"BIOSURE PHARMA")</f>
        <v>BIOSURE PHARMA</v>
      </c>
    </row>
    <row r="498">
      <c r="H498" s="5" t="str">
        <f>IFERROR(__xludf.DUMMYFUNCTION("""COMPUTED_VALUE"""),"BIOSYNERGY LIFECARE PVT LTD")</f>
        <v>BIOSYNERGY LIFECARE PVT LTD</v>
      </c>
    </row>
    <row r="499">
      <c r="H499" s="5" t="str">
        <f>IFERROR(__xludf.DUMMYFUNCTION("""COMPUTED_VALUE"""),"BIOTA REMEDIES")</f>
        <v>BIOTA REMEDIES</v>
      </c>
    </row>
    <row r="500">
      <c r="H500" s="5" t="str">
        <f>IFERROR(__xludf.DUMMYFUNCTION("""COMPUTED_VALUE"""),"BIOTEST PHARMA")</f>
        <v>BIOTEST PHARMA</v>
      </c>
    </row>
    <row r="501">
      <c r="H501" s="5" t="str">
        <f>IFERROR(__xludf.DUMMYFUNCTION("""COMPUTED_VALUE"""),"BIOVALENCE")</f>
        <v>BIOVALENCE</v>
      </c>
    </row>
    <row r="502">
      <c r="H502" s="5" t="str">
        <f>IFERROR(__xludf.DUMMYFUNCTION("""COMPUTED_VALUE"""),"BIOVERVE PHARMACEUTICALS")</f>
        <v>BIOVERVE PHARMACEUTICALS</v>
      </c>
    </row>
    <row r="503">
      <c r="H503" s="5" t="str">
        <f>IFERROR(__xludf.DUMMYFUNCTION("""COMPUTED_VALUE"""),"BIOVIZ TECHNOLOGIES")</f>
        <v>BIOVIZ TECHNOLOGIES</v>
      </c>
    </row>
    <row r="504">
      <c r="H504" s="5" t="str">
        <f>IFERROR(__xludf.DUMMYFUNCTION("""COMPUTED_VALUE"""),"BIOWIN HEALTHCARE")</f>
        <v>BIOWIN HEALTHCARE</v>
      </c>
    </row>
    <row r="505">
      <c r="H505" s="5" t="str">
        <f>IFERROR(__xludf.DUMMYFUNCTION("""COMPUTED_VALUE"""),"BIOZEN HEALTHCARE")</f>
        <v>BIOZEN HEALTHCARE</v>
      </c>
    </row>
    <row r="506">
      <c r="H506" s="5" t="str">
        <f>IFERROR(__xludf.DUMMYFUNCTION("""COMPUTED_VALUE"""),"BIOZEN PHARMACEUTICALS")</f>
        <v>BIOZEN PHARMACEUTICALS</v>
      </c>
    </row>
    <row r="507">
      <c r="H507" s="5" t="str">
        <f>IFERROR(__xludf.DUMMYFUNCTION("""COMPUTED_VALUE"""),"BISANI PHARMACEUTICS")</f>
        <v>BISANI PHARMACEUTICS</v>
      </c>
    </row>
    <row r="508">
      <c r="H508" s="5" t="str">
        <f>IFERROR(__xludf.DUMMYFUNCTION("""COMPUTED_VALUE"""),"BITTU PHARMACEUTICALS")</f>
        <v>BITTU PHARMACEUTICALS</v>
      </c>
    </row>
    <row r="509">
      <c r="H509" s="5" t="str">
        <f>IFERROR(__xludf.DUMMYFUNCTION("""COMPUTED_VALUE"""),"BLISS CHEMICAL &amp; PHARMA")</f>
        <v>BLISS CHEMICAL &amp; PHARMA</v>
      </c>
    </row>
    <row r="510">
      <c r="H510" s="5" t="str">
        <f>IFERROR(__xludf.DUMMYFUNCTION("""COMPUTED_VALUE"""),"BLISSON (MEDICA)")</f>
        <v>BLISSON (MEDICA)</v>
      </c>
    </row>
    <row r="511">
      <c r="H511" s="5" t="str">
        <f>IFERROR(__xludf.DUMMYFUNCTION("""COMPUTED_VALUE"""),"BLISSON (MEDIPLUS)")</f>
        <v>BLISSON (MEDIPLUS)</v>
      </c>
    </row>
    <row r="512">
      <c r="H512" s="5" t="str">
        <f>IFERROR(__xludf.DUMMYFUNCTION("""COMPUTED_VALUE"""),"Blubell Pharma")</f>
        <v>Blubell Pharma</v>
      </c>
    </row>
    <row r="513">
      <c r="H513" s="5" t="str">
        <f>IFERROR(__xludf.DUMMYFUNCTION("""COMPUTED_VALUE"""),"BLUE CROSS (EXCEL)")</f>
        <v>BLUE CROSS (EXCEL)</v>
      </c>
    </row>
    <row r="514">
      <c r="H514" s="5" t="str">
        <f>IFERROR(__xludf.DUMMYFUNCTION("""COMPUTED_VALUE"""),"Blue Cross Laboratories Ltd")</f>
        <v>Blue Cross Laboratories Ltd</v>
      </c>
    </row>
    <row r="515">
      <c r="H515" s="5" t="str">
        <f>IFERROR(__xludf.DUMMYFUNCTION("""COMPUTED_VALUE"""),"BLUECELL HEALTHCARE SOLUTIONS")</f>
        <v>BLUECELL HEALTHCARE SOLUTIONS</v>
      </c>
    </row>
    <row r="516">
      <c r="H516" s="5" t="str">
        <f>IFERROR(__xludf.DUMMYFUNCTION("""COMPUTED_VALUE"""),"BLUEDROP LIFESCIENCE")</f>
        <v>BLUEDROP LIFESCIENCE</v>
      </c>
    </row>
    <row r="517">
      <c r="H517" s="5" t="str">
        <f>IFERROR(__xludf.DUMMYFUNCTION("""COMPUTED_VALUE"""),"BMA (OP)")</f>
        <v>BMA (OP)</v>
      </c>
    </row>
    <row r="518">
      <c r="H518" s="5" t="str">
        <f>IFERROR(__xludf.DUMMYFUNCTION("""COMPUTED_VALUE"""),"BMW PHARMACO")</f>
        <v>BMW PHARMACO</v>
      </c>
    </row>
    <row r="519">
      <c r="H519" s="5" t="str">
        <f>IFERROR(__xludf.DUMMYFUNCTION("""COMPUTED_VALUE"""),"Boehringer Ingelheim")</f>
        <v>Boehringer Ingelheim</v>
      </c>
    </row>
    <row r="520">
      <c r="H520" s="5" t="str">
        <f>IFERROR(__xludf.DUMMYFUNCTION("""COMPUTED_VALUE"""),"Boehringer Ingelheim (CARDIO)")</f>
        <v>Boehringer Ingelheim (CARDIO)</v>
      </c>
    </row>
    <row r="521">
      <c r="H521" s="5" t="str">
        <f>IFERROR(__xludf.DUMMYFUNCTION("""COMPUTED_VALUE"""),"Boehringer Ingelheim (DIABETES)")</f>
        <v>Boehringer Ingelheim (DIABETES)</v>
      </c>
    </row>
    <row r="522">
      <c r="H522" s="5" t="str">
        <f>IFERROR(__xludf.DUMMYFUNCTION("""COMPUTED_VALUE"""),"BONDANE PHARMA")</f>
        <v>BONDANE PHARMA</v>
      </c>
    </row>
    <row r="523">
      <c r="H523" s="5" t="str">
        <f>IFERROR(__xludf.DUMMYFUNCTION("""COMPUTED_VALUE"""),"BONNY BABY CARE PVT LTD")</f>
        <v>BONNY BABY CARE PVT LTD</v>
      </c>
    </row>
    <row r="524">
      <c r="H524" s="5" t="str">
        <f>IFERROR(__xludf.DUMMYFUNCTION("""COMPUTED_VALUE"""),"BONSAI PHARMA")</f>
        <v>BONSAI PHARMA</v>
      </c>
    </row>
    <row r="525">
      <c r="H525" s="5" t="str">
        <f>IFERROR(__xludf.DUMMYFUNCTION("""COMPUTED_VALUE"""),"BOOLEAN PHARMACEUTICAL")</f>
        <v>BOOLEAN PHARMACEUTICAL</v>
      </c>
    </row>
    <row r="526">
      <c r="H526" s="5" t="str">
        <f>IFERROR(__xludf.DUMMYFUNCTION("""COMPUTED_VALUE"""),"BOOTS LIFESCIENCES LTD")</f>
        <v>BOOTS LIFESCIENCES LTD</v>
      </c>
    </row>
    <row r="527">
      <c r="H527" s="5" t="str">
        <f>IFERROR(__xludf.DUMMYFUNCTION("""COMPUTED_VALUE"""),"Brawn Laboratories Ltd")</f>
        <v>Brawn Laboratories Ltd</v>
      </c>
    </row>
    <row r="528">
      <c r="H528" s="5" t="str">
        <f>IFERROR(__xludf.DUMMYFUNCTION("""COMPUTED_VALUE"""),"BRIGHT LIFECARE PVT LTD (TRUEBASICS)")</f>
        <v>BRIGHT LIFECARE PVT LTD (TRUEBASICS)</v>
      </c>
    </row>
    <row r="529">
      <c r="H529" s="5" t="str">
        <f>IFERROR(__xludf.DUMMYFUNCTION("""COMPUTED_VALUE"""),"BRIHANS NATURAL PRODUCTS")</f>
        <v>BRIHANS NATURAL PRODUCTS</v>
      </c>
    </row>
    <row r="530">
      <c r="H530" s="5" t="str">
        <f>IFERROR(__xludf.DUMMYFUNCTION("""COMPUTED_VALUE"""),"BRIJ HONEY LABORATORY")</f>
        <v>BRIJ HONEY LABORATORY</v>
      </c>
    </row>
    <row r="531">
      <c r="H531" s="5" t="str">
        <f>IFERROR(__xludf.DUMMYFUNCTION("""COMPUTED_VALUE"""),"BRINTON (FALCON)")</f>
        <v>BRINTON (FALCON)</v>
      </c>
    </row>
    <row r="532">
      <c r="H532" s="5" t="str">
        <f>IFERROR(__xludf.DUMMYFUNCTION("""COMPUTED_VALUE"""),"BRINTON (HAWKS)")</f>
        <v>BRINTON (HAWKS)</v>
      </c>
    </row>
    <row r="533">
      <c r="H533" s="5" t="str">
        <f>IFERROR(__xludf.DUMMYFUNCTION("""COMPUTED_VALUE"""),"BRINTON (HEALTHCARE)")</f>
        <v>BRINTON (HEALTHCARE)</v>
      </c>
    </row>
    <row r="534">
      <c r="H534" s="5" t="str">
        <f>IFERROR(__xludf.DUMMYFUNCTION("""COMPUTED_VALUE"""),"BRINTON (PED)")</f>
        <v>BRINTON (PED)</v>
      </c>
    </row>
    <row r="535">
      <c r="H535" s="5" t="str">
        <f>IFERROR(__xludf.DUMMYFUNCTION("""COMPUTED_VALUE"""),"Brinton Pharmaceuticals Pvt Ltd")</f>
        <v>Brinton Pharmaceuticals Pvt Ltd</v>
      </c>
    </row>
    <row r="536">
      <c r="H536" s="5" t="str">
        <f>IFERROR(__xludf.DUMMYFUNCTION("""COMPUTED_VALUE"""),"BRIO BLISS LIFE SCIENCE (ALPINO)")</f>
        <v>BRIO BLISS LIFE SCIENCE (ALPINO)</v>
      </c>
    </row>
    <row r="537">
      <c r="H537" s="5" t="str">
        <f>IFERROR(__xludf.DUMMYFUNCTION("""COMPUTED_VALUE"""),"BRIO BLISS LIFE SCIENCE (ANGELO)")</f>
        <v>BRIO BLISS LIFE SCIENCE (ANGELO)</v>
      </c>
    </row>
    <row r="538">
      <c r="H538" s="5" t="str">
        <f>IFERROR(__xludf.DUMMYFUNCTION("""COMPUTED_VALUE"""),"BRIO BLISS LIFE SCIENCE (BAMBINO)")</f>
        <v>BRIO BLISS LIFE SCIENCE (BAMBINO)</v>
      </c>
    </row>
    <row r="539">
      <c r="H539" s="5" t="str">
        <f>IFERROR(__xludf.DUMMYFUNCTION("""COMPUTED_VALUE"""),"BRISTOL MAYER SQUIBB")</f>
        <v>BRISTOL MAYER SQUIBB</v>
      </c>
    </row>
    <row r="540">
      <c r="H540" s="5" t="str">
        <f>IFERROR(__xludf.DUMMYFUNCTION("""COMPUTED_VALUE"""),"British Biologicals")</f>
        <v>British Biologicals</v>
      </c>
    </row>
    <row r="541">
      <c r="H541" s="5" t="str">
        <f>IFERROR(__xludf.DUMMYFUNCTION("""COMPUTED_VALUE"""),"British Life Science")</f>
        <v>British Life Science</v>
      </c>
    </row>
    <row r="542">
      <c r="H542" s="5" t="str">
        <f>IFERROR(__xludf.DUMMYFUNCTION("""COMPUTED_VALUE"""),"Brooks Pharmaceuticals")</f>
        <v>Brooks Pharmaceuticals</v>
      </c>
    </row>
    <row r="543">
      <c r="H543" s="5" t="str">
        <f>IFERROR(__xludf.DUMMYFUNCTION("""COMPUTED_VALUE"""),"BROSTIN SEIZZ BIOCARE")</f>
        <v>BROSTIN SEIZZ BIOCARE</v>
      </c>
    </row>
    <row r="544">
      <c r="H544" s="5" t="str">
        <f>IFERROR(__xludf.DUMMYFUNCTION("""COMPUTED_VALUE"""),"BRPL")</f>
        <v>BRPL</v>
      </c>
    </row>
    <row r="545">
      <c r="H545" s="5" t="str">
        <f>IFERROR(__xludf.DUMMYFUNCTION("""COMPUTED_VALUE"""),"BRYSON PHARMACEUTICAL")</f>
        <v>BRYSON PHARMACEUTICAL</v>
      </c>
    </row>
    <row r="546">
      <c r="H546" s="5" t="str">
        <f>IFERROR(__xludf.DUMMYFUNCTION("""COMPUTED_VALUE"""),"BTM LIFESCIENCES")</f>
        <v>BTM LIFESCIENCES</v>
      </c>
    </row>
    <row r="547">
      <c r="H547" s="5" t="str">
        <f>IFERROR(__xludf.DUMMYFUNCTION("""COMPUTED_VALUE"""),"BULLFORD PHARMACEUTICALS")</f>
        <v>BULLFORD PHARMACEUTICALS</v>
      </c>
    </row>
    <row r="548">
      <c r="H548" s="5" t="str">
        <f>IFERROR(__xludf.DUMMYFUNCTION("""COMPUTED_VALUE"""),"BURGEON PHARMACEUTICALS")</f>
        <v>BURGEON PHARMACEUTICALS</v>
      </c>
    </row>
    <row r="549">
      <c r="H549" s="5" t="str">
        <f>IFERROR(__xludf.DUMMYFUNCTION("""COMPUTED_VALUE"""),"BUSHWELL P LTD")</f>
        <v>BUSHWELL P LTD</v>
      </c>
    </row>
    <row r="550">
      <c r="H550" s="5" t="str">
        <f>IFERROR(__xludf.DUMMYFUNCTION("""COMPUTED_VALUE"""),"CA RETRANS 10MG")</f>
        <v>CA RETRANS 10MG</v>
      </c>
    </row>
    <row r="551">
      <c r="H551" s="5" t="str">
        <f>IFERROR(__xludf.DUMMYFUNCTION("""COMPUTED_VALUE"""),"Cachet Pharmaceuticals Ltd.")</f>
        <v>Cachet Pharmaceuticals Ltd.</v>
      </c>
    </row>
    <row r="552">
      <c r="H552" s="5" t="str">
        <f>IFERROR(__xludf.DUMMYFUNCTION("""COMPUTED_VALUE"""),"Cachet Pharmaceuticals Pvt Ltd")</f>
        <v>Cachet Pharmaceuticals Pvt Ltd</v>
      </c>
    </row>
    <row r="553">
      <c r="H553" s="5" t="str">
        <f>IFERROR(__xludf.DUMMYFUNCTION("""COMPUTED_VALUE"""),"CADEX LABORATORIES")</f>
        <v>CADEX LABORATORIES</v>
      </c>
    </row>
    <row r="554">
      <c r="H554" s="5" t="str">
        <f>IFERROR(__xludf.DUMMYFUNCTION("""COMPUTED_VALUE"""),"CADICO REMEDIES")</f>
        <v>CADICO REMEDIES</v>
      </c>
    </row>
    <row r="555">
      <c r="H555" s="5" t="str">
        <f>IFERROR(__xludf.DUMMYFUNCTION("""COMPUTED_VALUE"""),"CADILA (DERMA)")</f>
        <v>CADILA (DERMA)</v>
      </c>
    </row>
    <row r="556">
      <c r="H556" s="5" t="str">
        <f>IFERROR(__xludf.DUMMYFUNCTION("""COMPUTED_VALUE"""),"CADILA (GENERIC)")</f>
        <v>CADILA (GENERIC)</v>
      </c>
    </row>
    <row r="557">
      <c r="H557" s="5" t="str">
        <f>IFERROR(__xludf.DUMMYFUNCTION("""COMPUTED_VALUE"""),"CADILA (MAGFAM)")</f>
        <v>CADILA (MAGFAM)</v>
      </c>
    </row>
    <row r="558">
      <c r="H558" s="5" t="str">
        <f>IFERROR(__xludf.DUMMYFUNCTION("""COMPUTED_VALUE"""),"CADILA (MAGNN WAVE)")</f>
        <v>CADILA (MAGNN WAVE)</v>
      </c>
    </row>
    <row r="559">
      <c r="H559" s="5" t="str">
        <f>IFERROR(__xludf.DUMMYFUNCTION("""COMPUTED_VALUE"""),"CADILA (VOLTA)")</f>
        <v>CADILA (VOLTA)</v>
      </c>
    </row>
    <row r="560">
      <c r="H560" s="5" t="str">
        <f>IFERROR(__xludf.DUMMYFUNCTION("""COMPUTED_VALUE"""),"Cadila Healthcare Limited")</f>
        <v>Cadila Healthcare Limited</v>
      </c>
    </row>
    <row r="561">
      <c r="H561" s="5" t="str">
        <f>IFERROR(__xludf.DUMMYFUNCTION("""COMPUTED_VALUE"""),"CADILA PHARMA (IRM)")</f>
        <v>CADILA PHARMA (IRM)</v>
      </c>
    </row>
    <row r="562">
      <c r="H562" s="5" t="str">
        <f>IFERROR(__xludf.DUMMYFUNCTION("""COMPUTED_VALUE"""),"CADILA PHARMA(GERMAN-MAXX)")</f>
        <v>CADILA PHARMA(GERMAN-MAXX)</v>
      </c>
    </row>
    <row r="563">
      <c r="H563" s="5" t="str">
        <f>IFERROR(__xludf.DUMMYFUNCTION("""COMPUTED_VALUE"""),"Cadila Pharmaceuticals Ltd")</f>
        <v>Cadila Pharmaceuticals Ltd</v>
      </c>
    </row>
    <row r="564">
      <c r="H564" s="5" t="str">
        <f>IFERROR(__xludf.DUMMYFUNCTION("""COMPUTED_VALUE"""),"CADMA BIOTECH")</f>
        <v>CADMA BIOTECH</v>
      </c>
    </row>
    <row r="565">
      <c r="H565" s="5" t="str">
        <f>IFERROR(__xludf.DUMMYFUNCTION("""COMPUTED_VALUE"""),"CADOMED PHARMACEUTICALS INDIA PVT LTD")</f>
        <v>CADOMED PHARMACEUTICALS INDIA PVT LTD</v>
      </c>
    </row>
    <row r="566">
      <c r="H566" s="5" t="str">
        <f>IFERROR(__xludf.DUMMYFUNCTION("""COMPUTED_VALUE"""),"Calix Health Care")</f>
        <v>Calix Health Care</v>
      </c>
    </row>
    <row r="567">
      <c r="H567" s="5" t="str">
        <f>IFERROR(__xludf.DUMMYFUNCTION("""COMPUTED_VALUE"""),"CAMRUT PHARMA")</f>
        <v>CAMRUT PHARMA</v>
      </c>
    </row>
    <row r="568">
      <c r="H568" s="5" t="str">
        <f>IFERROR(__xludf.DUMMYFUNCTION("""COMPUTED_VALUE"""),"CAN CARE BIOTECH")</f>
        <v>CAN CARE BIOTECH</v>
      </c>
    </row>
    <row r="569">
      <c r="H569" s="5" t="str">
        <f>IFERROR(__xludf.DUMMYFUNCTION("""COMPUTED_VALUE"""),"CANADIAN PHARMACEUTICALS")</f>
        <v>CANADIAN PHARMACEUTICALS</v>
      </c>
    </row>
    <row r="570">
      <c r="H570" s="5" t="str">
        <f>IFERROR(__xludf.DUMMYFUNCTION("""COMPUTED_VALUE"""),"Canixa Life Sciences Pvt")</f>
        <v>Canixa Life Sciences Pvt</v>
      </c>
    </row>
    <row r="571">
      <c r="H571" s="5" t="str">
        <f>IFERROR(__xludf.DUMMYFUNCTION("""COMPUTED_VALUE"""),"CAPLET INDIA PVT LTD")</f>
        <v>CAPLET INDIA PVT LTD</v>
      </c>
    </row>
    <row r="572">
      <c r="H572" s="5" t="str">
        <f>IFERROR(__xludf.DUMMYFUNCTION("""COMPUTED_VALUE"""),"CAPS PHARMA PVT LTD")</f>
        <v>CAPS PHARMA PVT LTD</v>
      </c>
    </row>
    <row r="573">
      <c r="H573" s="5" t="str">
        <f>IFERROR(__xludf.DUMMYFUNCTION("""COMPUTED_VALUE"""),"Captab Biotech")</f>
        <v>Captab Biotech</v>
      </c>
    </row>
    <row r="574">
      <c r="H574" s="5" t="str">
        <f>IFERROR(__xludf.DUMMYFUNCTION("""COMPUTED_VALUE"""),"CAPTO THERAPEUTICS")</f>
        <v>CAPTO THERAPEUTICS</v>
      </c>
    </row>
    <row r="575">
      <c r="H575" s="5" t="str">
        <f>IFERROR(__xludf.DUMMYFUNCTION("""COMPUTED_VALUE"""),"Care Biochemicals Pvt Ltd")</f>
        <v>Care Biochemicals Pvt Ltd</v>
      </c>
    </row>
    <row r="576">
      <c r="H576" s="5" t="str">
        <f>IFERROR(__xludf.DUMMYFUNCTION("""COMPUTED_VALUE"""),"CARE FORMULATION LABS PVT LTD")</f>
        <v>CARE FORMULATION LABS PVT LTD</v>
      </c>
    </row>
    <row r="577">
      <c r="H577" s="5" t="str">
        <f>IFERROR(__xludf.DUMMYFUNCTION("""COMPUTED_VALUE"""),"CARE GROUP")</f>
        <v>CARE GROUP</v>
      </c>
    </row>
    <row r="578">
      <c r="H578" s="5" t="str">
        <f>IFERROR(__xludf.DUMMYFUNCTION("""COMPUTED_VALUE"""),"CARE LIFESCIENCE")</f>
        <v>CARE LIFESCIENCE</v>
      </c>
    </row>
    <row r="579">
      <c r="H579" s="5" t="str">
        <f>IFERROR(__xludf.DUMMYFUNCTION("""COMPUTED_VALUE"""),"Care Pharma India Ltd")</f>
        <v>Care Pharma India Ltd</v>
      </c>
    </row>
    <row r="580">
      <c r="H580" s="5" t="str">
        <f>IFERROR(__xludf.DUMMYFUNCTION("""COMPUTED_VALUE"""),"CARE VISION")</f>
        <v>CARE VISION</v>
      </c>
    </row>
    <row r="581">
      <c r="H581" s="5" t="str">
        <f>IFERROR(__xludf.DUMMYFUNCTION("""COMPUTED_VALUE"""),"CAREMED PHARMA")</f>
        <v>CAREMED PHARMA</v>
      </c>
    </row>
    <row r="582">
      <c r="H582" s="5" t="str">
        <f>IFERROR(__xludf.DUMMYFUNCTION("""COMPUTED_VALUE"""),"CAREWELL PHARMACEUTICALS")</f>
        <v>CAREWELL PHARMACEUTICALS</v>
      </c>
    </row>
    <row r="583">
      <c r="H583" s="5" t="str">
        <f>IFERROR(__xludf.DUMMYFUNCTION("""COMPUTED_VALUE"""),"CARLTON")</f>
        <v>CARLTON</v>
      </c>
    </row>
    <row r="584">
      <c r="H584" s="5" t="str">
        <f>IFERROR(__xludf.DUMMYFUNCTION("""COMPUTED_VALUE"""),"CASCA REMEDIES PVT LTD")</f>
        <v>CASCA REMEDIES PVT LTD</v>
      </c>
    </row>
    <row r="585">
      <c r="H585" s="5" t="str">
        <f>IFERROR(__xludf.DUMMYFUNCTION("""COMPUTED_VALUE"""),"CAVIAR DERMA CARE")</f>
        <v>CAVIAR DERMA CARE</v>
      </c>
    </row>
    <row r="586">
      <c r="H586" s="5" t="str">
        <f>IFERROR(__xludf.DUMMYFUNCTION("""COMPUTED_VALUE"""),"CAVIN PHARMACEUTICALS")</f>
        <v>CAVIN PHARMACEUTICALS</v>
      </c>
    </row>
    <row r="587">
      <c r="H587" s="5" t="str">
        <f>IFERROR(__xludf.DUMMYFUNCTION("""COMPUTED_VALUE"""),"CCI PRODUCTS")</f>
        <v>CCI PRODUCTS</v>
      </c>
    </row>
    <row r="588">
      <c r="H588" s="5" t="str">
        <f>IFERROR(__xludf.DUMMYFUNCTION("""COMPUTED_VALUE"""),"CELAGENEX RESEARCH INDIA P LTD")</f>
        <v>CELAGENEX RESEARCH INDIA P LTD</v>
      </c>
    </row>
    <row r="589">
      <c r="H589" s="5" t="str">
        <f>IFERROR(__xludf.DUMMYFUNCTION("""COMPUTED_VALUE"""),"CELESTIAL PHARMA")</f>
        <v>CELESTIAL PHARMA</v>
      </c>
    </row>
    <row r="590">
      <c r="H590" s="5" t="str">
        <f>IFERROR(__xludf.DUMMYFUNCTION("""COMPUTED_VALUE"""),"CELON LABS")</f>
        <v>CELON LABS</v>
      </c>
    </row>
    <row r="591">
      <c r="H591" s="5" t="str">
        <f>IFERROR(__xludf.DUMMYFUNCTION("""COMPUTED_VALUE"""),"CELON LABS (EVALIFE)")</f>
        <v>CELON LABS (EVALIFE)</v>
      </c>
    </row>
    <row r="592">
      <c r="H592" s="5" t="str">
        <f>IFERROR(__xludf.DUMMYFUNCTION("""COMPUTED_VALUE"""),"CELON LABS (REVILON)")</f>
        <v>CELON LABS (REVILON)</v>
      </c>
    </row>
    <row r="593">
      <c r="H593" s="5" t="str">
        <f>IFERROR(__xludf.DUMMYFUNCTION("""COMPUTED_VALUE"""),"CELON LABS (UROLOGY &amp; NEPHRO)")</f>
        <v>CELON LABS (UROLOGY &amp; NEPHRO)</v>
      </c>
    </row>
    <row r="594">
      <c r="H594" s="5" t="str">
        <f>IFERROR(__xludf.DUMMYFUNCTION("""COMPUTED_VALUE"""),"CELON LABS (VIVILON)")</f>
        <v>CELON LABS (VIVILON)</v>
      </c>
    </row>
    <row r="595">
      <c r="H595" s="5" t="str">
        <f>IFERROR(__xludf.DUMMYFUNCTION("""COMPUTED_VALUE"""),"CELON LABS (VIVILON)")</f>
        <v>CELON LABS (VIVILON)</v>
      </c>
    </row>
    <row r="596">
      <c r="H596" s="5" t="str">
        <f>IFERROR(__xludf.DUMMYFUNCTION("""COMPUTED_VALUE"""),"CELSIUS HEALTHCARE")</f>
        <v>CELSIUS HEALTHCARE</v>
      </c>
    </row>
    <row r="597">
      <c r="H597" s="5" t="str">
        <f>IFERROR(__xludf.DUMMYFUNCTION("""COMPUTED_VALUE"""),"CENESYS CARE INDIA")</f>
        <v>CENESYS CARE INDIA</v>
      </c>
    </row>
    <row r="598">
      <c r="H598" s="5" t="str">
        <f>IFERROR(__xludf.DUMMYFUNCTION("""COMPUTED_VALUE"""),"CENOZOIC REMEDIES P LTD")</f>
        <v>CENOZOIC REMEDIES P LTD</v>
      </c>
    </row>
    <row r="599">
      <c r="H599" s="5" t="str">
        <f>IFERROR(__xludf.DUMMYFUNCTION("""COMPUTED_VALUE"""),"CENTAUR (ENT)")</f>
        <v>CENTAUR (ENT)</v>
      </c>
    </row>
    <row r="600">
      <c r="H600" s="5" t="str">
        <f>IFERROR(__xludf.DUMMYFUNCTION("""COMPUTED_VALUE"""),"CENTAUR (PRAGYA)")</f>
        <v>CENTAUR (PRAGYA)</v>
      </c>
    </row>
    <row r="601">
      <c r="H601" s="5" t="str">
        <f>IFERROR(__xludf.DUMMYFUNCTION("""COMPUTED_VALUE"""),"CENTAUR (SAKSHAM)")</f>
        <v>CENTAUR (SAKSHAM)</v>
      </c>
    </row>
    <row r="602">
      <c r="H602" s="5" t="str">
        <f>IFERROR(__xludf.DUMMYFUNCTION("""COMPUTED_VALUE"""),"CENTAUR (SAMRUDDHI)")</f>
        <v>CENTAUR (SAMRUDDHI)</v>
      </c>
    </row>
    <row r="603">
      <c r="H603" s="5" t="str">
        <f>IFERROR(__xludf.DUMMYFUNCTION("""COMPUTED_VALUE"""),"CENTAUR (SANKALP)")</f>
        <v>CENTAUR (SANKALP)</v>
      </c>
    </row>
    <row r="604">
      <c r="H604" s="5" t="str">
        <f>IFERROR(__xludf.DUMMYFUNCTION("""COMPUTED_VALUE"""),"CENTAUR (SARTHAK)")</f>
        <v>CENTAUR (SARTHAK)</v>
      </c>
    </row>
    <row r="605">
      <c r="H605" s="5" t="str">
        <f>IFERROR(__xludf.DUMMYFUNCTION("""COMPUTED_VALUE"""),"CENTAUR (SHASHVTA)")</f>
        <v>CENTAUR (SHASHVTA)</v>
      </c>
    </row>
    <row r="606">
      <c r="H606" s="5" t="str">
        <f>IFERROR(__xludf.DUMMYFUNCTION("""COMPUTED_VALUE"""),"Centaur Pharmaceuticals Pvt Ltd")</f>
        <v>Centaur Pharmaceuticals Pvt Ltd</v>
      </c>
    </row>
    <row r="607">
      <c r="H607" s="5" t="str">
        <f>IFERROR(__xludf.DUMMYFUNCTION("""COMPUTED_VALUE"""),"CENTURE (SAHAKALM)")</f>
        <v>CENTURE (SAHAKALM)</v>
      </c>
    </row>
    <row r="608">
      <c r="H608" s="5" t="str">
        <f>IFERROR(__xludf.DUMMYFUNCTION("""COMPUTED_VALUE"""),"CENTURY")</f>
        <v>CENTURY</v>
      </c>
    </row>
    <row r="609">
      <c r="H609" s="5" t="str">
        <f>IFERROR(__xludf.DUMMYFUNCTION("""COMPUTED_VALUE"""),"CENTURY DRUGS")</f>
        <v>CENTURY DRUGS</v>
      </c>
    </row>
    <row r="610">
      <c r="H610" s="5" t="str">
        <f>IFERROR(__xludf.DUMMYFUNCTION("""COMPUTED_VALUE"""),"CERAS PHARMACEUTICALS CHENNAI")</f>
        <v>CERAS PHARMACEUTICALS CHENNAI</v>
      </c>
    </row>
    <row r="611">
      <c r="H611" s="5" t="str">
        <f>IFERROR(__xludf.DUMMYFUNCTION("""COMPUTED_VALUE"""),"CERYS PHARMA")</f>
        <v>CERYS PHARMA</v>
      </c>
    </row>
    <row r="612">
      <c r="H612" s="5" t="str">
        <f>IFERROR(__xludf.DUMMYFUNCTION("""COMPUTED_VALUE"""),"CHAMBAL PHARMACY")</f>
        <v>CHAMBAL PHARMACY</v>
      </c>
    </row>
    <row r="613">
      <c r="H613" s="5" t="str">
        <f>IFERROR(__xludf.DUMMYFUNCTION("""COMPUTED_VALUE"""),"CHANDRA BHAGAT (DSIRE)")</f>
        <v>CHANDRA BHAGAT (DSIRE)</v>
      </c>
    </row>
    <row r="614">
      <c r="H614" s="5" t="str">
        <f>IFERROR(__xludf.DUMMYFUNCTION("""COMPUTED_VALUE"""),"CHANDRABHAGAT CORPN LTD")</f>
        <v>CHANDRABHAGAT CORPN LTD</v>
      </c>
    </row>
    <row r="615">
      <c r="H615" s="5" t="str">
        <f>IFERROR(__xludf.DUMMYFUNCTION("""COMPUTED_VALUE"""),"CHANDRASHRI LABORATORES")</f>
        <v>CHANDRASHRI LABORATORES</v>
      </c>
    </row>
    <row r="616">
      <c r="H616" s="5" t="str">
        <f>IFERROR(__xludf.DUMMYFUNCTION("""COMPUTED_VALUE"""),"Charak Pharma Pvt Ltd")</f>
        <v>Charak Pharma Pvt Ltd</v>
      </c>
    </row>
    <row r="617">
      <c r="H617" s="5" t="str">
        <f>IFERROR(__xludf.DUMMYFUNCTION("""COMPUTED_VALUE"""),"Charak Pharma Pvt. Ltd.")</f>
        <v>Charak Pharma Pvt. Ltd.</v>
      </c>
    </row>
    <row r="618">
      <c r="H618" s="5" t="str">
        <f>IFERROR(__xludf.DUMMYFUNCTION("""COMPUTED_VALUE"""),"Chaturbhuj Pharma")</f>
        <v>Chaturbhuj Pharma</v>
      </c>
    </row>
    <row r="619">
      <c r="H619" s="5" t="str">
        <f>IFERROR(__xludf.DUMMYFUNCTION("""COMPUTED_VALUE"""),"CHEK MED PHARMA")</f>
        <v>CHEK MED PHARMA</v>
      </c>
    </row>
    <row r="620">
      <c r="H620" s="5" t="str">
        <f>IFERROR(__xludf.DUMMYFUNCTION("""COMPUTED_VALUE"""),"CHEMACK LAB")</f>
        <v>CHEMACK LAB</v>
      </c>
    </row>
    <row r="621">
      <c r="H621" s="5" t="str">
        <f>IFERROR(__xludf.DUMMYFUNCTION("""COMPUTED_VALUE"""),"CHEMICARE REMEDIES")</f>
        <v>CHEMICARE REMEDIES</v>
      </c>
    </row>
    <row r="622">
      <c r="H622" s="5" t="str">
        <f>IFERROR(__xludf.DUMMYFUNCTION("""COMPUTED_VALUE"""),"CHEMICARE REMEDIES PVT LTD")</f>
        <v>CHEMICARE REMEDIES PVT LTD</v>
      </c>
    </row>
    <row r="623">
      <c r="H623" s="5" t="str">
        <f>IFERROR(__xludf.DUMMYFUNCTION("""COMPUTED_VALUE"""),"CHEMINNOVA LIFE SCIENCES")</f>
        <v>CHEMINNOVA LIFE SCIENCES</v>
      </c>
    </row>
    <row r="624">
      <c r="H624" s="5" t="str">
        <f>IFERROR(__xludf.DUMMYFUNCTION("""COMPUTED_VALUE"""),"Chemo Biological")</f>
        <v>Chemo Biological</v>
      </c>
    </row>
    <row r="625">
      <c r="H625" s="5" t="str">
        <f>IFERROR(__xludf.DUMMYFUNCTION("""COMPUTED_VALUE"""),"CHEMO HEALTH CARE")</f>
        <v>CHEMO HEALTH CARE</v>
      </c>
    </row>
    <row r="626">
      <c r="H626" s="5" t="str">
        <f>IFERROR(__xludf.DUMMYFUNCTION("""COMPUTED_VALUE"""),"CHINA HERBALS")</f>
        <v>CHINA HERBALS</v>
      </c>
    </row>
    <row r="627">
      <c r="H627" s="5" t="str">
        <f>IFERROR(__xludf.DUMMYFUNCTION("""COMPUTED_VALUE"""),"CHIRAYU PHARMACEUTICALS")</f>
        <v>CHIRAYU PHARMACEUTICALS</v>
      </c>
    </row>
    <row r="628">
      <c r="H628" s="5" t="str">
        <f>IFERROR(__xludf.DUMMYFUNCTION("""COMPUTED_VALUE"""),"CHIRON BEHRING VACCINES PVT LTD")</f>
        <v>CHIRON BEHRING VACCINES PVT LTD</v>
      </c>
    </row>
    <row r="629">
      <c r="H629" s="5" t="str">
        <f>IFERROR(__xludf.DUMMYFUNCTION("""COMPUTED_VALUE"""),"CHROMOSOM INDIA")</f>
        <v>CHROMOSOM INDIA</v>
      </c>
    </row>
    <row r="630">
      <c r="H630" s="5" t="str">
        <f>IFERROR(__xludf.DUMMYFUNCTION("""COMPUTED_VALUE"""),"CIAGA PHARMA")</f>
        <v>CIAGA PHARMA</v>
      </c>
    </row>
    <row r="631">
      <c r="H631" s="5" t="str">
        <f>IFERROR(__xludf.DUMMYFUNCTION("""COMPUTED_VALUE"""),"CIAN HEALTHCARE P LTD")</f>
        <v>CIAN HEALTHCARE P LTD</v>
      </c>
    </row>
    <row r="632">
      <c r="H632" s="5" t="str">
        <f>IFERROR(__xludf.DUMMYFUNCTION("""COMPUTED_VALUE"""),"CIPCO PHARMA")</f>
        <v>CIPCO PHARMA</v>
      </c>
    </row>
    <row r="633">
      <c r="H633" s="5" t="str">
        <f>IFERROR(__xludf.DUMMYFUNCTION("""COMPUTED_VALUE"""),"CIPLA (CRESTA)")</f>
        <v>CIPLA (CRESTA)</v>
      </c>
    </row>
    <row r="634">
      <c r="H634" s="5" t="str">
        <f>IFERROR(__xludf.DUMMYFUNCTION("""COMPUTED_VALUE"""),"CIPLA (CRITICAL CARE)")</f>
        <v>CIPLA (CRITICAL CARE)</v>
      </c>
    </row>
    <row r="635">
      <c r="H635" s="5" t="str">
        <f>IFERROR(__xludf.DUMMYFUNCTION("""COMPUTED_VALUE"""),"CIPLA (FORESIGHT)")</f>
        <v>CIPLA (FORESIGHT)</v>
      </c>
    </row>
    <row r="636">
      <c r="H636" s="5" t="str">
        <f>IFERROR(__xludf.DUMMYFUNCTION("""COMPUTED_VALUE"""),"CIPLA (GENERIC)")</f>
        <v>CIPLA (GENERIC)</v>
      </c>
    </row>
    <row r="637">
      <c r="H637" s="5" t="str">
        <f>IFERROR(__xludf.DUMMYFUNCTION("""COMPUTED_VALUE"""),"CIPLA (HEPATOLOGY)")</f>
        <v>CIPLA (HEPATOLOGY)</v>
      </c>
    </row>
    <row r="638">
      <c r="H638" s="5" t="str">
        <f>IFERROR(__xludf.DUMMYFUNCTION("""COMPUTED_VALUE"""),"CIPLA (HIV)")</f>
        <v>CIPLA (HIV)</v>
      </c>
    </row>
    <row r="639">
      <c r="H639" s="5" t="str">
        <f>IFERROR(__xludf.DUMMYFUNCTION("""COMPUTED_VALUE"""),"CIPLA (IMPULSE)")</f>
        <v>CIPLA (IMPULSE)</v>
      </c>
    </row>
    <row r="640">
      <c r="H640" s="5" t="str">
        <f>IFERROR(__xludf.DUMMYFUNCTION("""COMPUTED_VALUE"""),"CIPLA (INSPIRA)")</f>
        <v>CIPLA (INSPIRA)</v>
      </c>
    </row>
    <row r="641">
      <c r="H641" s="5" t="str">
        <f>IFERROR(__xludf.DUMMYFUNCTION("""COMPUTED_VALUE"""),"CIPLA (LIFE CARE)")</f>
        <v>CIPLA (LIFE CARE)</v>
      </c>
    </row>
    <row r="642">
      <c r="H642" s="5" t="str">
        <f>IFERROR(__xludf.DUMMYFUNCTION("""COMPUTED_VALUE"""),"CIPLA (LUCENTA)")</f>
        <v>CIPLA (LUCENTA)</v>
      </c>
    </row>
    <row r="643">
      <c r="H643" s="5" t="str">
        <f>IFERROR(__xludf.DUMMYFUNCTION("""COMPUTED_VALUE"""),"CIPLA (NEPHMUN)")</f>
        <v>CIPLA (NEPHMUN)</v>
      </c>
    </row>
    <row r="644">
      <c r="H644" s="5" t="str">
        <f>IFERROR(__xludf.DUMMYFUNCTION("""COMPUTED_VALUE"""),"CIPLA (NON HIV)")</f>
        <v>CIPLA (NON HIV)</v>
      </c>
    </row>
    <row r="645">
      <c r="H645" s="5" t="str">
        <f>IFERROR(__xludf.DUMMYFUNCTION("""COMPUTED_VALUE"""),"CIPLA (NURTURE)")</f>
        <v>CIPLA (NURTURE)</v>
      </c>
    </row>
    <row r="646">
      <c r="H646" s="5" t="str">
        <f>IFERROR(__xludf.DUMMYFUNCTION("""COMPUTED_VALUE"""),"CIPLA (OMNICARE)")</f>
        <v>CIPLA (OMNICARE)</v>
      </c>
    </row>
    <row r="647">
      <c r="H647" s="5" t="str">
        <f>IFERROR(__xludf.DUMMYFUNCTION("""COMPUTED_VALUE"""),"CIPLA (OPTIMUS)")</f>
        <v>CIPLA (OPTIMUS)</v>
      </c>
    </row>
    <row r="648">
      <c r="H648" s="5" t="str">
        <f>IFERROR(__xludf.DUMMYFUNCTION("""COMPUTED_VALUE"""),"CIPLA (OTC)")</f>
        <v>CIPLA (OTC)</v>
      </c>
    </row>
    <row r="649">
      <c r="H649" s="5" t="str">
        <f>IFERROR(__xludf.DUMMYFUNCTION("""COMPUTED_VALUE"""),"CIPLA (PH CARE)")</f>
        <v>CIPLA (PH CARE)</v>
      </c>
    </row>
    <row r="650">
      <c r="H650" s="5" t="str">
        <f>IFERROR(__xludf.DUMMYFUNCTION("""COMPUTED_VALUE"""),"CIPLA (PROTEC)")</f>
        <v>CIPLA (PROTEC)</v>
      </c>
    </row>
    <row r="651">
      <c r="H651" s="5" t="str">
        <f>IFERROR(__xludf.DUMMYFUNCTION("""COMPUTED_VALUE"""),"CIPLA (QUADRA)")</f>
        <v>CIPLA (QUADRA)</v>
      </c>
    </row>
    <row r="652">
      <c r="H652" s="5" t="str">
        <f>IFERROR(__xludf.DUMMYFUNCTION("""COMPUTED_VALUE"""),"CIPLA (RESPIRATORY)")</f>
        <v>CIPLA (RESPIRATORY)</v>
      </c>
    </row>
    <row r="653">
      <c r="H653" s="5" t="str">
        <f>IFERROR(__xludf.DUMMYFUNCTION("""COMPUTED_VALUE"""),"CIPLA (RHEUMATOLOGY)")</f>
        <v>CIPLA (RHEUMATOLOGY)</v>
      </c>
    </row>
    <row r="654">
      <c r="H654" s="5" t="str">
        <f>IFERROR(__xludf.DUMMYFUNCTION("""COMPUTED_VALUE"""),"CIPLA (SPECIALITIES)")</f>
        <v>CIPLA (SPECIALITIES)</v>
      </c>
    </row>
    <row r="655">
      <c r="H655" s="5" t="str">
        <f>IFERROR(__xludf.DUMMYFUNCTION("""COMPUTED_VALUE"""),"CIPLA (SUPRACARE)")</f>
        <v>CIPLA (SUPRACARE)</v>
      </c>
    </row>
    <row r="656">
      <c r="H656" s="5" t="str">
        <f>IFERROR(__xludf.DUMMYFUNCTION("""COMPUTED_VALUE"""),"CIPLA (TERNA)")</f>
        <v>CIPLA (TERNA)</v>
      </c>
    </row>
    <row r="657">
      <c r="H657" s="5" t="str">
        <f>IFERROR(__xludf.DUMMYFUNCTION("""COMPUTED_VALUE"""),"CIPLA (UROLOGY)")</f>
        <v>CIPLA (UROLOGY)</v>
      </c>
    </row>
    <row r="658">
      <c r="H658" s="5" t="str">
        <f>IFERROR(__xludf.DUMMYFUNCTION("""COMPUTED_VALUE"""),"CIPLA (VITALIS)")</f>
        <v>CIPLA (VITALIS)</v>
      </c>
    </row>
    <row r="659">
      <c r="H659" s="5" t="str">
        <f>IFERROR(__xludf.DUMMYFUNCTION("""COMPUTED_VALUE"""),"CIPLA (WOMENS HEALTH NUTRAC)")</f>
        <v>CIPLA (WOMENS HEALTH NUTRAC)</v>
      </c>
    </row>
    <row r="660">
      <c r="H660" s="5" t="str">
        <f>IFERROR(__xludf.DUMMYFUNCTION("""COMPUTED_VALUE"""),"CIPLA (XTERNA)")</f>
        <v>CIPLA (XTERNA)</v>
      </c>
    </row>
    <row r="661">
      <c r="H661" s="5" t="str">
        <f>IFERROR(__xludf.DUMMYFUNCTION("""COMPUTED_VALUE"""),"CIPLA (ZESTA)")</f>
        <v>CIPLA (ZESTA)</v>
      </c>
    </row>
    <row r="662">
      <c r="H662" s="5" t="str">
        <f>IFERROR(__xludf.DUMMYFUNCTION("""COMPUTED_VALUE"""),"Cipla Ltd")</f>
        <v>Cipla Ltd</v>
      </c>
    </row>
    <row r="663">
      <c r="H663" s="5" t="str">
        <f>IFERROR(__xludf.DUMMYFUNCTION("""COMPUTED_VALUE"""),"CIPLA SPECTRACARE")</f>
        <v>CIPLA SPECTRACARE</v>
      </c>
    </row>
    <row r="664">
      <c r="H664" s="5" t="str">
        <f>IFERROR(__xludf.DUMMYFUNCTION("""COMPUTED_VALUE"""),"CISTA MEDICORP")</f>
        <v>CISTA MEDICORP</v>
      </c>
    </row>
    <row r="665">
      <c r="H665" s="5" t="str">
        <f>IFERROR(__xludf.DUMMYFUNCTION("""COMPUTED_VALUE"""),"CISTUS HEALTHCARE")</f>
        <v>CISTUS HEALTHCARE</v>
      </c>
    </row>
    <row r="666">
      <c r="H666" s="5" t="str">
        <f>IFERROR(__xludf.DUMMYFUNCTION("""COMPUTED_VALUE"""),"CITADERM PHARMA P LTD")</f>
        <v>CITADERM PHARMA P LTD</v>
      </c>
    </row>
    <row r="667">
      <c r="H667" s="5" t="str">
        <f>IFERROR(__xludf.DUMMYFUNCTION("""COMPUTED_VALUE"""),"CLANTHIS LIFE SCIENCES")</f>
        <v>CLANTHIS LIFE SCIENCES</v>
      </c>
    </row>
    <row r="668">
      <c r="H668" s="5" t="str">
        <f>IFERROR(__xludf.DUMMYFUNCTION("""COMPUTED_VALUE"""),"Clanthis Lifesciences Pvt Ltd")</f>
        <v>Clanthis Lifesciences Pvt Ltd</v>
      </c>
    </row>
    <row r="669">
      <c r="H669" s="5" t="str">
        <f>IFERROR(__xludf.DUMMYFUNCTION("""COMPUTED_VALUE"""),"Claris INJECTABLES LTD")</f>
        <v>Claris INJECTABLES LTD</v>
      </c>
    </row>
    <row r="670">
      <c r="H670" s="5" t="str">
        <f>IFERROR(__xludf.DUMMYFUNCTION("""COMPUTED_VALUE"""),"Claris Lifesciences Ltd")</f>
        <v>Claris Lifesciences Ltd</v>
      </c>
    </row>
    <row r="671">
      <c r="H671" s="5" t="str">
        <f>IFERROR(__xludf.DUMMYFUNCTION("""COMPUTED_VALUE"""),"Clariwell Pharmaceutics")</f>
        <v>Clariwell Pharmaceutics</v>
      </c>
    </row>
    <row r="672">
      <c r="H672" s="5" t="str">
        <f>IFERROR(__xludf.DUMMYFUNCTION("""COMPUTED_VALUE"""),"CLARK PHARMACEUTICALS LTD")</f>
        <v>CLARK PHARMACEUTICALS LTD</v>
      </c>
    </row>
    <row r="673">
      <c r="H673" s="5" t="str">
        <f>IFERROR(__xludf.DUMMYFUNCTION("""COMPUTED_VALUE"""),"CLIDE INTERNATIONAL PVT LTD")</f>
        <v>CLIDE INTERNATIONAL PVT LTD</v>
      </c>
    </row>
    <row r="674">
      <c r="H674" s="5" t="str">
        <f>IFERROR(__xludf.DUMMYFUNCTION("""COMPUTED_VALUE"""),"Clyde Biotech P Ltd")</f>
        <v>Clyde Biotech P Ltd</v>
      </c>
    </row>
    <row r="675">
      <c r="H675" s="5" t="str">
        <f>IFERROR(__xludf.DUMMYFUNCTION("""COMPUTED_VALUE"""),"Clyde Pharmaceuticals Pvt Ltd")</f>
        <v>Clyde Pharmaceuticals Pvt Ltd</v>
      </c>
    </row>
    <row r="676">
      <c r="H676" s="5" t="str">
        <f>IFERROR(__xludf.DUMMYFUNCTION("""COMPUTED_VALUE"""),"CMR Life Sciences")</f>
        <v>CMR Life Sciences</v>
      </c>
    </row>
    <row r="677">
      <c r="H677" s="5" t="str">
        <f>IFERROR(__xludf.DUMMYFUNCTION("""COMPUTED_VALUE"""),"COLARD LIFE SCIENCE")</f>
        <v>COLARD LIFE SCIENCE</v>
      </c>
    </row>
    <row r="678">
      <c r="H678" s="5" t="str">
        <f>IFERROR(__xludf.DUMMYFUNCTION("""COMPUTED_VALUE"""),"COLES PHARMACEUTICALS PVT LTD")</f>
        <v>COLES PHARMACEUTICALS PVT LTD</v>
      </c>
    </row>
    <row r="679">
      <c r="H679" s="5" t="str">
        <f>IFERROR(__xludf.DUMMYFUNCTION("""COMPUTED_VALUE"""),"Colgate-Palmolive Company")</f>
        <v>Colgate-Palmolive Company</v>
      </c>
    </row>
    <row r="680">
      <c r="H680" s="5" t="str">
        <f>IFERROR(__xludf.DUMMYFUNCTION("""COMPUTED_VALUE"""),"Comed Chemicals Ltd")</f>
        <v>Comed Chemicals Ltd</v>
      </c>
    </row>
    <row r="681">
      <c r="H681" s="5" t="str">
        <f>IFERROR(__xludf.DUMMYFUNCTION("""COMPUTED_VALUE"""),"COMED LABORATORIES LTD.")</f>
        <v>COMED LABORATORIES LTD.</v>
      </c>
    </row>
    <row r="682">
      <c r="H682" s="5" t="str">
        <f>IFERROR(__xludf.DUMMYFUNCTION("""COMPUTED_VALUE"""),"Company Name")</f>
        <v>Company Name</v>
      </c>
    </row>
    <row r="683">
      <c r="H683" s="5" t="str">
        <f>IFERROR(__xludf.DUMMYFUNCTION("""COMPUTED_VALUE"""),"COMWORLD REMEDIES")</f>
        <v>COMWORLD REMEDIES</v>
      </c>
    </row>
    <row r="684">
      <c r="H684" s="5" t="str">
        <f>IFERROR(__xludf.DUMMYFUNCTION("""COMPUTED_VALUE"""),"CONCEPT BIOSCIENCES LTD")</f>
        <v>CONCEPT BIOSCIENCES LTD</v>
      </c>
    </row>
    <row r="685">
      <c r="H685" s="5" t="str">
        <f>IFERROR(__xludf.DUMMYFUNCTION("""COMPUTED_VALUE"""),"Concept Pharmaceuticals Ltd")</f>
        <v>Concept Pharmaceuticals Ltd</v>
      </c>
    </row>
    <row r="686">
      <c r="H686" s="5" t="str">
        <f>IFERROR(__xludf.DUMMYFUNCTION("""COMPUTED_VALUE"""),"CONCORD BIOTECH")</f>
        <v>CONCORD BIOTECH</v>
      </c>
    </row>
    <row r="687">
      <c r="H687" s="5" t="str">
        <f>IFERROR(__xludf.DUMMYFUNCTION("""COMPUTED_VALUE"""),"CONCORD PHARMACEUTICALS PVT LTD")</f>
        <v>CONCORD PHARMACEUTICALS PVT LTD</v>
      </c>
    </row>
    <row r="688">
      <c r="H688" s="5" t="str">
        <f>IFERROR(__xludf.DUMMYFUNCTION("""COMPUTED_VALUE"""),"CONSERN pharma")</f>
        <v>CONSERN pharma</v>
      </c>
    </row>
    <row r="689">
      <c r="H689" s="5" t="str">
        <f>IFERROR(__xludf.DUMMYFUNCTION("""COMPUTED_VALUE"""),"CONSISTO HEALTHCARE")</f>
        <v>CONSISTO HEALTHCARE</v>
      </c>
    </row>
    <row r="690">
      <c r="H690" s="5" t="str">
        <f>IFERROR(__xludf.DUMMYFUNCTION("""COMPUTED_VALUE"""),"CONSUMER MARKETING P LTD")</f>
        <v>CONSUMER MARKETING P LTD</v>
      </c>
    </row>
    <row r="691">
      <c r="H691" s="5" t="str">
        <f>IFERROR(__xludf.DUMMYFUNCTION("""COMPUTED_VALUE"""),"CONVEX GLOBAL")</f>
        <v>CONVEX GLOBAL</v>
      </c>
    </row>
    <row r="692">
      <c r="H692" s="5" t="str">
        <f>IFERROR(__xludf.DUMMYFUNCTION("""COMPUTED_VALUE"""),"Convina Research Laboratory")</f>
        <v>Convina Research Laboratory</v>
      </c>
    </row>
    <row r="693">
      <c r="H693" s="5" t="str">
        <f>IFERROR(__xludf.DUMMYFUNCTION("""COMPUTED_VALUE"""),"CONWELL PHARMA")</f>
        <v>CONWELL PHARMA</v>
      </c>
    </row>
    <row r="694">
      <c r="H694" s="5" t="str">
        <f>IFERROR(__xludf.DUMMYFUNCTION("""COMPUTED_VALUE"""),"CORAL")</f>
        <v>CORAL</v>
      </c>
    </row>
    <row r="695">
      <c r="H695" s="5" t="str">
        <f>IFERROR(__xludf.DUMMYFUNCTION("""COMPUTED_VALUE"""),"CORAZON PHARMA PVT.LTD.")</f>
        <v>CORAZON PHARMA PVT.LTD.</v>
      </c>
    </row>
    <row r="696">
      <c r="H696" s="5" t="str">
        <f>IFERROR(__xludf.DUMMYFUNCTION("""COMPUTED_VALUE"""),"CORE GESTRA")</f>
        <v>CORE GESTRA</v>
      </c>
    </row>
    <row r="697">
      <c r="H697" s="5" t="str">
        <f>IFERROR(__xludf.DUMMYFUNCTION("""COMPUTED_VALUE"""),"CORE LABORITISE")</f>
        <v>CORE LABORITISE</v>
      </c>
    </row>
    <row r="698">
      <c r="H698" s="5" t="str">
        <f>IFERROR(__xludf.DUMMYFUNCTION("""COMPUTED_VALUE"""),"COREX PHARMA")</f>
        <v>COREX PHARMA</v>
      </c>
    </row>
    <row r="699">
      <c r="H699" s="5" t="str">
        <f>IFERROR(__xludf.DUMMYFUNCTION("""COMPUTED_VALUE"""),"CORONA REMEDIES (AURA)")</f>
        <v>CORONA REMEDIES (AURA)</v>
      </c>
    </row>
    <row r="700">
      <c r="H700" s="5" t="str">
        <f>IFERROR(__xludf.DUMMYFUNCTION("""COMPUTED_VALUE"""),"CORONA REMEDIES (PIONEER)")</f>
        <v>CORONA REMEDIES (PIONEER)</v>
      </c>
    </row>
    <row r="701">
      <c r="H701" s="5" t="str">
        <f>IFERROR(__xludf.DUMMYFUNCTION("""COMPUTED_VALUE"""),"CORONA REMEDIES (SOLIS)")</f>
        <v>CORONA REMEDIES (SOLIS)</v>
      </c>
    </row>
    <row r="702">
      <c r="H702" s="5" t="str">
        <f>IFERROR(__xludf.DUMMYFUNCTION("""COMPUTED_VALUE"""),"CORONA REMEDIES (WELLNESS)")</f>
        <v>CORONA REMEDIES (WELLNESS)</v>
      </c>
    </row>
    <row r="703">
      <c r="H703" s="5" t="str">
        <f>IFERROR(__xludf.DUMMYFUNCTION("""COMPUTED_VALUE"""),"CORONA REMEDIES (XEMX)")</f>
        <v>CORONA REMEDIES (XEMX)</v>
      </c>
    </row>
    <row r="704">
      <c r="H704" s="5" t="str">
        <f>IFERROR(__xludf.DUMMYFUNCTION("""COMPUTED_VALUE"""),"Corona Remedies Pvt Ltd")</f>
        <v>Corona Remedies Pvt Ltd</v>
      </c>
    </row>
    <row r="705">
      <c r="H705" s="5" t="str">
        <f>IFERROR(__xludf.DUMMYFUNCTION("""COMPUTED_VALUE"""),"CORVIN PHARMACEUTICALS")</f>
        <v>CORVIN PHARMACEUTICALS</v>
      </c>
    </row>
    <row r="706">
      <c r="H706" s="5" t="str">
        <f>IFERROR(__xludf.DUMMYFUNCTION("""COMPUTED_VALUE"""),"CORVUS REMEDIES")</f>
        <v>CORVUS REMEDIES</v>
      </c>
    </row>
    <row r="707">
      <c r="H707" s="5" t="str">
        <f>IFERROR(__xludf.DUMMYFUNCTION("""COMPUTED_VALUE"""),"CORWIS PHARMACEUTICALS LIMITED")</f>
        <v>CORWIS PHARMACEUTICALS LIMITED</v>
      </c>
    </row>
    <row r="708">
      <c r="H708" s="5" t="str">
        <f>IFERROR(__xludf.DUMMYFUNCTION("""COMPUTED_VALUE"""),"COSEC HEALTH CARE")</f>
        <v>COSEC HEALTH CARE</v>
      </c>
    </row>
    <row r="709">
      <c r="H709" s="5" t="str">
        <f>IFERROR(__xludf.DUMMYFUNCTION("""COMPUTED_VALUE"""),"COSME HEALTHCARE")</f>
        <v>COSME HEALTHCARE</v>
      </c>
    </row>
    <row r="710">
      <c r="H710" s="5" t="str">
        <f>IFERROR(__xludf.DUMMYFUNCTION("""COMPUTED_VALUE"""),"COSMIC NUTRACOS SOLUTIONS")</f>
        <v>COSMIC NUTRACOS SOLUTIONS</v>
      </c>
    </row>
    <row r="711">
      <c r="H711" s="5" t="str">
        <f>IFERROR(__xludf.DUMMYFUNCTION("""COMPUTED_VALUE"""),"COSMODERM INDIA")</f>
        <v>COSMODERM INDIA</v>
      </c>
    </row>
    <row r="712">
      <c r="H712" s="5" t="str">
        <f>IFERROR(__xludf.DUMMYFUNCTION("""COMPUTED_VALUE"""),"COSWAY PHARMACEUTICAL")</f>
        <v>COSWAY PHARMACEUTICAL</v>
      </c>
    </row>
    <row r="713">
      <c r="H713" s="5" t="str">
        <f>IFERROR(__xludf.DUMMYFUNCTION("""COMPUTED_VALUE"""),"CPAZ DRUGS")</f>
        <v>CPAZ DRUGS</v>
      </c>
    </row>
    <row r="714">
      <c r="H714" s="5" t="str">
        <f>IFERROR(__xludf.DUMMYFUNCTION("""COMPUTED_VALUE"""),"CRASSULA PHAMACEUTICALS P LTD")</f>
        <v>CRASSULA PHAMACEUTICALS P LTD</v>
      </c>
    </row>
    <row r="715">
      <c r="H715" s="5" t="str">
        <f>IFERROR(__xludf.DUMMYFUNCTION("""COMPUTED_VALUE"""),"CRATUS LIFE CARE")</f>
        <v>CRATUS LIFE CARE</v>
      </c>
    </row>
    <row r="716">
      <c r="H716" s="5" t="str">
        <f>IFERROR(__xludf.DUMMYFUNCTION("""COMPUTED_VALUE"""),"CRAVOS PHARMACEUTICALS")</f>
        <v>CRAVOS PHARMACEUTICALS</v>
      </c>
    </row>
    <row r="717">
      <c r="H717" s="5" t="str">
        <f>IFERROR(__xludf.DUMMYFUNCTION("""COMPUTED_VALUE"""),"CRAYON HEALTHCARE PVT LTD")</f>
        <v>CRAYON HEALTHCARE PVT LTD</v>
      </c>
    </row>
    <row r="718">
      <c r="H718" s="5" t="str">
        <f>IFERROR(__xludf.DUMMYFUNCTION("""COMPUTED_VALUE"""),"CREOGENIC PHARMA")</f>
        <v>CREOGENIC PHARMA</v>
      </c>
    </row>
    <row r="719">
      <c r="H719" s="5" t="str">
        <f>IFERROR(__xludf.DUMMYFUNCTION("""COMPUTED_VALUE"""),"CRESCENT THERAPEUTICS LTD.")</f>
        <v>CRESCENT THERAPEUTICS LTD.</v>
      </c>
    </row>
    <row r="720">
      <c r="H720" s="5" t="str">
        <f>IFERROR(__xludf.DUMMYFUNCTION("""COMPUTED_VALUE"""),"CRIS PHARMA LTD")</f>
        <v>CRIS PHARMA LTD</v>
      </c>
    </row>
    <row r="721">
      <c r="H721" s="5" t="str">
        <f>IFERROR(__xludf.DUMMYFUNCTION("""COMPUTED_VALUE"""),"CROFORD PHARMA")</f>
        <v>CROFORD PHARMA</v>
      </c>
    </row>
    <row r="722">
      <c r="H722" s="5" t="str">
        <f>IFERROR(__xludf.DUMMYFUNCTION("""COMPUTED_VALUE"""),"CROMPTON PHARMA")</f>
        <v>CROMPTON PHARMA</v>
      </c>
    </row>
    <row r="723">
      <c r="H723" s="5" t="str">
        <f>IFERROR(__xludf.DUMMYFUNCTION("""COMPUTED_VALUE"""),"Cross Berry Pharma")</f>
        <v>Cross Berry Pharma</v>
      </c>
    </row>
    <row r="724">
      <c r="H724" s="5" t="str">
        <f>IFERROR(__xludf.DUMMYFUNCTION("""COMPUTED_VALUE"""),"CROSSWIND BIOTECH")</f>
        <v>CROSSWIND BIOTECH</v>
      </c>
    </row>
    <row r="725">
      <c r="H725" s="5" t="str">
        <f>IFERROR(__xludf.DUMMYFUNCTION("""COMPUTED_VALUE"""),"CSC HEALTHCARE")</f>
        <v>CSC HEALTHCARE</v>
      </c>
    </row>
    <row r="726">
      <c r="H726" s="5" t="str">
        <f>IFERROR(__xludf.DUMMYFUNCTION("""COMPUTED_VALUE"""),"CUBIC LIFESCIENCES LTD")</f>
        <v>CUBIC LIFESCIENCES LTD</v>
      </c>
    </row>
    <row r="727">
      <c r="H727" s="5" t="str">
        <f>IFERROR(__xludf.DUMMYFUNCTION("""COMPUTED_VALUE"""),"CUBIT HEALTHCARE")</f>
        <v>CUBIT HEALTHCARE</v>
      </c>
    </row>
    <row r="728">
      <c r="H728" s="5" t="str">
        <f>IFERROR(__xludf.DUMMYFUNCTION("""COMPUTED_VALUE"""),"CUBIT HEALTHCARE (CU CARD GYNOCARE)")</f>
        <v>CUBIT HEALTHCARE (CU CARD GYNOCARE)</v>
      </c>
    </row>
    <row r="729">
      <c r="H729" s="5" t="str">
        <f>IFERROR(__xludf.DUMMYFUNCTION("""COMPUTED_VALUE"""),"CUBIT HEALTHCARE (CU CARD LIFECARE)")</f>
        <v>CUBIT HEALTHCARE (CU CARD LIFECARE)</v>
      </c>
    </row>
    <row r="730">
      <c r="H730" s="5" t="str">
        <f>IFERROR(__xludf.DUMMYFUNCTION("""COMPUTED_VALUE"""),"CUBIT HEALTHCARE (CU CARD SKINCARE)")</f>
        <v>CUBIT HEALTHCARE (CU CARD SKINCARE)</v>
      </c>
    </row>
    <row r="731">
      <c r="H731" s="5" t="str">
        <f>IFERROR(__xludf.DUMMYFUNCTION("""COMPUTED_VALUE"""),"CURA PHARMACEUTICALS")</f>
        <v>CURA PHARMACEUTICALS</v>
      </c>
    </row>
    <row r="732">
      <c r="H732" s="5" t="str">
        <f>IFERROR(__xludf.DUMMYFUNCTION("""COMPUTED_VALUE"""),"CURATAS PHARMACEUTICALS LLP")</f>
        <v>CURATAS PHARMACEUTICALS LLP</v>
      </c>
    </row>
    <row r="733">
      <c r="H733" s="5" t="str">
        <f>IFERROR(__xludf.DUMMYFUNCTION("""COMPUTED_VALUE"""),"Curatio Healthcare India Pvt Ltd")</f>
        <v>Curatio Healthcare India Pvt Ltd</v>
      </c>
    </row>
    <row r="734">
      <c r="H734" s="5" t="str">
        <f>IFERROR(__xludf.DUMMYFUNCTION("""COMPUTED_VALUE"""),"CURE N CURE PHARMACEUTICALS")</f>
        <v>CURE N CURE PHARMACEUTICALS</v>
      </c>
    </row>
    <row r="735">
      <c r="H735" s="5" t="str">
        <f>IFERROR(__xludf.DUMMYFUNCTION("""COMPUTED_VALUE"""),"CURE QUICK PHARMACEUTICALS")</f>
        <v>CURE QUICK PHARMACEUTICALS</v>
      </c>
    </row>
    <row r="736">
      <c r="H736" s="5" t="str">
        <f>IFERROR(__xludf.DUMMYFUNCTION("""COMPUTED_VALUE"""),"CUREALL LIFE SCIENCES")</f>
        <v>CUREALL LIFE SCIENCES</v>
      </c>
    </row>
    <row r="737">
      <c r="H737" s="5" t="str">
        <f>IFERROR(__xludf.DUMMYFUNCTION("""COMPUTED_VALUE"""),"CUREMAX")</f>
        <v>CUREMAX</v>
      </c>
    </row>
    <row r="738">
      <c r="H738" s="5" t="str">
        <f>IFERROR(__xludf.DUMMYFUNCTION("""COMPUTED_VALUE"""),"CURETECH SKINCARE")</f>
        <v>CURETECH SKINCARE</v>
      </c>
    </row>
    <row r="739">
      <c r="H739" s="5" t="str">
        <f>IFERROR(__xludf.DUMMYFUNCTION("""COMPUTED_VALUE"""),"CUREWELL AURVEDA")</f>
        <v>CUREWELL AURVEDA</v>
      </c>
    </row>
    <row r="740">
      <c r="H740" s="5" t="str">
        <f>IFERROR(__xludf.DUMMYFUNCTION("""COMPUTED_VALUE"""),"Curewell Drugs &amp; Pharmaceuticals Pvt. Ltd.")</f>
        <v>Curewell Drugs &amp; Pharmaceuticals Pvt. Ltd.</v>
      </c>
    </row>
    <row r="741">
      <c r="H741" s="5" t="str">
        <f>IFERROR(__xludf.DUMMYFUNCTION("""COMPUTED_VALUE"""),"CUREWIN HYLICO PVT LTD")</f>
        <v>CUREWIN HYLICO PVT LTD</v>
      </c>
    </row>
    <row r="742">
      <c r="H742" s="5" t="str">
        <f>IFERROR(__xludf.DUMMYFUNCTION("""COMPUTED_VALUE"""),"CURIOUS BIOTECH")</f>
        <v>CURIOUS BIOTECH</v>
      </c>
    </row>
    <row r="743">
      <c r="H743" s="5" t="str">
        <f>IFERROR(__xludf.DUMMYFUNCTION("""COMPUTED_VALUE"""),"CUROSIS PHARMACEUTICALS")</f>
        <v>CUROSIS PHARMACEUTICALS</v>
      </c>
    </row>
    <row r="744">
      <c r="H744" s="5" t="str">
        <f>IFERROR(__xludf.DUMMYFUNCTION("""COMPUTED_VALUE"""),"Cutis Derma Care - Intra Life")</f>
        <v>Cutis Derma Care - Intra Life</v>
      </c>
    </row>
    <row r="745">
      <c r="H745" s="5" t="str">
        <f>IFERROR(__xludf.DUMMYFUNCTION("""COMPUTED_VALUE"""),"CVS BIOTECH (FARLEX)")</f>
        <v>CVS BIOTECH (FARLEX)</v>
      </c>
    </row>
    <row r="746">
      <c r="H746" s="5" t="str">
        <f>IFERROR(__xludf.DUMMYFUNCTION("""COMPUTED_VALUE"""),"CYMER PHARMA")</f>
        <v>CYMER PHARMA</v>
      </c>
    </row>
    <row r="747">
      <c r="H747" s="5" t="str">
        <f>IFERROR(__xludf.DUMMYFUNCTION("""COMPUTED_VALUE"""),"D D Pharmaceuticals")</f>
        <v>D D Pharmaceuticals</v>
      </c>
    </row>
    <row r="748">
      <c r="H748" s="5" t="str">
        <f>IFERROR(__xludf.DUMMYFUNCTION("""COMPUTED_VALUE"""),"D R JOHN'S LAB PHARMA")</f>
        <v>D R JOHN'S LAB PHARMA</v>
      </c>
    </row>
    <row r="749">
      <c r="H749" s="5" t="str">
        <f>IFERROR(__xludf.DUMMYFUNCTION("""COMPUTED_VALUE"""),"Dabur India Ltd")</f>
        <v>Dabur India Ltd</v>
      </c>
    </row>
    <row r="750">
      <c r="H750" s="5" t="str">
        <f>IFERROR(__xludf.DUMMYFUNCTION("""COMPUTED_VALUE"""),"Dabur Pharmaceuticals Ltd.")</f>
        <v>Dabur Pharmaceuticals Ltd.</v>
      </c>
    </row>
    <row r="751">
      <c r="H751" s="5" t="str">
        <f>IFERROR(__xludf.DUMMYFUNCTION("""COMPUTED_VALUE"""),"DAFFOHILS LABORATORIES")</f>
        <v>DAFFOHILS LABORATORIES</v>
      </c>
    </row>
    <row r="752">
      <c r="H752" s="5" t="str">
        <f>IFERROR(__xludf.DUMMYFUNCTION("""COMPUTED_VALUE"""),"DAGNAL PHARMACUTICALS")</f>
        <v>DAGNAL PHARMACUTICALS</v>
      </c>
    </row>
    <row r="753">
      <c r="H753" s="5" t="str">
        <f>IFERROR(__xludf.DUMMYFUNCTION("""COMPUTED_VALUE"""),"Dakshinamurti Pharma Pvt Ltd")</f>
        <v>Dakshinamurti Pharma Pvt Ltd</v>
      </c>
    </row>
    <row r="754">
      <c r="H754" s="5" t="str">
        <f>IFERROR(__xludf.DUMMYFUNCTION("""COMPUTED_VALUE"""),"DALIY WEAR")</f>
        <v>DALIY WEAR</v>
      </c>
    </row>
    <row r="755">
      <c r="H755" s="5" t="str">
        <f>IFERROR(__xludf.DUMMYFUNCTION("""COMPUTED_VALUE"""),"DANIEL PASTEUR")</f>
        <v>DANIEL PASTEUR</v>
      </c>
    </row>
    <row r="756">
      <c r="H756" s="5" t="str">
        <f>IFERROR(__xludf.DUMMYFUNCTION("""COMPUTED_VALUE"""),"DANISH HEALTHCARE")</f>
        <v>DANISH HEALTHCARE</v>
      </c>
    </row>
    <row r="757">
      <c r="H757" s="5" t="str">
        <f>IFERROR(__xludf.DUMMYFUNCTION("""COMPUTED_VALUE"""),"DARA PHARMACEUTICALS")</f>
        <v>DARA PHARMACEUTICALS</v>
      </c>
    </row>
    <row r="758">
      <c r="H758" s="5" t="str">
        <f>IFERROR(__xludf.DUMMYFUNCTION("""COMPUTED_VALUE"""),"DASAMAPS 50MG")</f>
        <v>DASAMAPS 50MG</v>
      </c>
    </row>
    <row r="759">
      <c r="H759" s="5" t="str">
        <f>IFERROR(__xludf.DUMMYFUNCTION("""COMPUTED_VALUE"""),"DASAMPAS 70MG")</f>
        <v>DASAMPAS 70MG</v>
      </c>
    </row>
    <row r="760">
      <c r="H760" s="5" t="str">
        <f>IFERROR(__xludf.DUMMYFUNCTION("""COMPUTED_VALUE"""),"DASSO PHARMACEUTICALS")</f>
        <v>DASSO PHARMACEUTICALS</v>
      </c>
    </row>
    <row r="761">
      <c r="H761" s="5" t="str">
        <f>IFERROR(__xludf.DUMMYFUNCTION("""COMPUTED_VALUE"""),"DATA SAILANI AYURVEDIC SANSTHA")</f>
        <v>DATA SAILANI AYURVEDIC SANSTHA</v>
      </c>
    </row>
    <row r="762">
      <c r="H762" s="5" t="str">
        <f>IFERROR(__xludf.DUMMYFUNCTION("""COMPUTED_VALUE"""),"DATTATRAYA SEVASHRAM")</f>
        <v>DATTATRAYA SEVASHRAM</v>
      </c>
    </row>
    <row r="763">
      <c r="H763" s="5" t="str">
        <f>IFERROR(__xludf.DUMMYFUNCTION("""COMPUTED_VALUE"""),"DAWCHEM PHARMACEUTICALS P LTD")</f>
        <v>DAWCHEM PHARMACEUTICALS P LTD</v>
      </c>
    </row>
    <row r="764">
      <c r="H764" s="5" t="str">
        <f>IFERROR(__xludf.DUMMYFUNCTION("""COMPUTED_VALUE"""),"DAWN &amp; COMPANY")</f>
        <v>DAWN &amp; COMPANY</v>
      </c>
    </row>
    <row r="765">
      <c r="H765" s="5" t="str">
        <f>IFERROR(__xludf.DUMMYFUNCTION("""COMPUTED_VALUE"""),"DD Nutritions")</f>
        <v>DD Nutritions</v>
      </c>
    </row>
    <row r="766">
      <c r="H766" s="5" t="str">
        <f>IFERROR(__xludf.DUMMYFUNCTION("""COMPUTED_VALUE"""),"DEE INDIA HERBALS")</f>
        <v>DEE INDIA HERBALS</v>
      </c>
    </row>
    <row r="767">
      <c r="H767" s="5" t="str">
        <f>IFERROR(__xludf.DUMMYFUNCTION("""COMPUTED_VALUE"""),"DEFENCE HEALTHCARE")</f>
        <v>DEFENCE HEALTHCARE</v>
      </c>
    </row>
    <row r="768">
      <c r="H768" s="5" t="str">
        <f>IFERROR(__xludf.DUMMYFUNCTION("""COMPUTED_VALUE"""),"Delcure Life Sciences")</f>
        <v>Delcure Life Sciences</v>
      </c>
    </row>
    <row r="769">
      <c r="H769" s="5" t="str">
        <f>IFERROR(__xludf.DUMMYFUNCTION("""COMPUTED_VALUE"""),"DELTAS PHARMA")</f>
        <v>DELTAS PHARMA</v>
      </c>
    </row>
    <row r="770">
      <c r="H770" s="5" t="str">
        <f>IFERROR(__xludf.DUMMYFUNCTION("""COMPUTED_VALUE"""),"Delvin Formulations Pvt Ltd")</f>
        <v>Delvin Formulations Pvt Ltd</v>
      </c>
    </row>
    <row r="771">
      <c r="H771" s="5" t="str">
        <f>IFERROR(__xludf.DUMMYFUNCTION("""COMPUTED_VALUE"""),"DELWIS HEALTHCARE")</f>
        <v>DELWIS HEALTHCARE</v>
      </c>
    </row>
    <row r="772">
      <c r="H772" s="5" t="str">
        <f>IFERROR(__xludf.DUMMYFUNCTION("""COMPUTED_VALUE"""),"Depsons Pharma")</f>
        <v>Depsons Pharma</v>
      </c>
    </row>
    <row r="773">
      <c r="H773" s="5" t="str">
        <f>IFERROR(__xludf.DUMMYFUNCTION("""COMPUTED_VALUE"""),"DERMA TOPICS HEALTHCARE")</f>
        <v>DERMA TOPICS HEALTHCARE</v>
      </c>
    </row>
    <row r="774">
      <c r="H774" s="5" t="str">
        <f>IFERROR(__xludf.DUMMYFUNCTION("""COMPUTED_VALUE"""),"DERMAKARE PHARMACEUTICALS PVT LTD")</f>
        <v>DERMAKARE PHARMACEUTICALS PVT LTD</v>
      </c>
    </row>
    <row r="775">
      <c r="H775" s="5" t="str">
        <f>IFERROR(__xludf.DUMMYFUNCTION("""COMPUTED_VALUE"""),"DERMASIL LABS")</f>
        <v>DERMASIL LABS</v>
      </c>
    </row>
    <row r="776">
      <c r="H776" s="5" t="str">
        <f>IFERROR(__xludf.DUMMYFUNCTION("""COMPUTED_VALUE"""),"DERMAWIN PHARMA")</f>
        <v>DERMAWIN PHARMA</v>
      </c>
    </row>
    <row r="777">
      <c r="H777" s="5" t="str">
        <f>IFERROR(__xludf.DUMMYFUNCTION("""COMPUTED_VALUE"""),"Dermawiz Laboratories Pvt Ltd")</f>
        <v>Dermawiz Laboratories Pvt Ltd</v>
      </c>
    </row>
    <row r="778">
      <c r="H778" s="5" t="str">
        <f>IFERROR(__xludf.DUMMYFUNCTION("""COMPUTED_VALUE"""),"DERMIA CONTICARE")</f>
        <v>DERMIA CONTICARE</v>
      </c>
    </row>
    <row r="779">
      <c r="H779" s="5" t="str">
        <f>IFERROR(__xludf.DUMMYFUNCTION("""COMPUTED_VALUE"""),"Dermo Care Laboratories")</f>
        <v>Dermo Care Laboratories</v>
      </c>
    </row>
    <row r="780">
      <c r="H780" s="5" t="str">
        <f>IFERROR(__xludf.DUMMYFUNCTION("""COMPUTED_VALUE"""),"DERMO GLOW")</f>
        <v>DERMO GLOW</v>
      </c>
    </row>
    <row r="781">
      <c r="H781" s="5" t="str">
        <f>IFERROR(__xludf.DUMMYFUNCTION("""COMPUTED_VALUE"""),"DERMOGRACE")</f>
        <v>DERMOGRACE</v>
      </c>
    </row>
    <row r="782">
      <c r="H782" s="5" t="str">
        <f>IFERROR(__xludf.DUMMYFUNCTION("""COMPUTED_VALUE"""),"DERMOS")</f>
        <v>DERMOS</v>
      </c>
    </row>
    <row r="783">
      <c r="H783" s="5" t="str">
        <f>IFERROR(__xludf.DUMMYFUNCTION("""COMPUTED_VALUE"""),"DEV PHARMACY")</f>
        <v>DEV PHARMACY</v>
      </c>
    </row>
    <row r="784">
      <c r="H784" s="5" t="str">
        <f>IFERROR(__xludf.DUMMYFUNCTION("""COMPUTED_VALUE"""),"DEWCARE CONCEPT P LTD")</f>
        <v>DEWCARE CONCEPT P LTD</v>
      </c>
    </row>
    <row r="785">
      <c r="H785" s="5" t="str">
        <f>IFERROR(__xludf.DUMMYFUNCTION("""COMPUTED_VALUE"""),"Dexter Labratories")</f>
        <v>Dexter Labratories</v>
      </c>
    </row>
    <row r="786">
      <c r="H786" s="5" t="str">
        <f>IFERROR(__xludf.DUMMYFUNCTION("""COMPUTED_VALUE"""),"Dey's Medical Stores (Mfg) Ltd")</f>
        <v>Dey's Medical Stores (Mfg) Ltd</v>
      </c>
    </row>
    <row r="787">
      <c r="H787" s="5" t="str">
        <f>IFERROR(__xludf.DUMMYFUNCTION("""COMPUTED_VALUE"""),"Deys Medical")</f>
        <v>Deys Medical</v>
      </c>
    </row>
    <row r="788">
      <c r="H788" s="5" t="str">
        <f>IFERROR(__xludf.DUMMYFUNCTION("""COMPUTED_VALUE"""),"DHANSINGH AYURVED BHAWAN")</f>
        <v>DHANSINGH AYURVED BHAWAN</v>
      </c>
    </row>
    <row r="789">
      <c r="H789" s="5" t="str">
        <f>IFERROR(__xludf.DUMMYFUNCTION("""COMPUTED_VALUE"""),"DHANVANTARI AYURVEDIC RESEARCH")</f>
        <v>DHANVANTARI AYURVEDIC RESEARCH</v>
      </c>
    </row>
    <row r="790">
      <c r="H790" s="5" t="str">
        <f>IFERROR(__xludf.DUMMYFUNCTION("""COMPUTED_VALUE"""),"DHANVANTRI GUJ HERBS")</f>
        <v>DHANVANTRI GUJ HERBS</v>
      </c>
    </row>
    <row r="791">
      <c r="H791" s="5" t="str">
        <f>IFERROR(__xludf.DUMMYFUNCTION("""COMPUTED_VALUE"""),"DHOOTPAPESHWAR")</f>
        <v>DHOOTPAPESHWAR</v>
      </c>
    </row>
    <row r="792">
      <c r="H792" s="5" t="str">
        <f>IFERROR(__xludf.DUMMYFUNCTION("""COMPUTED_VALUE"""),"DHUTAPAPESHAVAR (SOLUMIKS)")</f>
        <v>DHUTAPAPESHAVAR (SOLUMIKS)</v>
      </c>
    </row>
    <row r="793">
      <c r="H793" s="5" t="str">
        <f>IFERROR(__xludf.DUMMYFUNCTION("""COMPUTED_VALUE"""),"DIAL PHARMA")</f>
        <v>DIAL PHARMA</v>
      </c>
    </row>
    <row r="794">
      <c r="H794" s="5" t="str">
        <f>IFERROR(__xludf.DUMMYFUNCTION("""COMPUTED_VALUE"""),"DIAMOND BIOTECH")</f>
        <v>DIAMOND BIOTECH</v>
      </c>
    </row>
    <row r="795">
      <c r="H795" s="5" t="str">
        <f>IFERROR(__xludf.DUMMYFUNCTION("""COMPUTED_VALUE"""),"DIGITAL VISION SIRMOUR")</f>
        <v>DIGITAL VISION SIRMOUR</v>
      </c>
    </row>
    <row r="796">
      <c r="H796" s="5" t="str">
        <f>IFERROR(__xludf.DUMMYFUNCTION("""COMPUTED_VALUE"""),"DILL PHARMACEUTICALS")</f>
        <v>DILL PHARMACEUTICALS</v>
      </c>
    </row>
    <row r="797">
      <c r="H797" s="5" t="str">
        <f>IFERROR(__xludf.DUMMYFUNCTION("""COMPUTED_VALUE"""),"DINDAYAL")</f>
        <v>DINDAYAL</v>
      </c>
    </row>
    <row r="798">
      <c r="H798" s="5" t="str">
        <f>IFERROR(__xludf.DUMMYFUNCTION("""COMPUTED_VALUE"""),"DIOSMA LIFE SCIENCES")</f>
        <v>DIOSMA LIFE SCIENCES</v>
      </c>
    </row>
    <row r="799">
      <c r="H799" s="5" t="str">
        <f>IFERROR(__xludf.DUMMYFUNCTION("""COMPUTED_VALUE"""),"DIVERGENT LIFESCIENCES")</f>
        <v>DIVERGENT LIFESCIENCES</v>
      </c>
    </row>
    <row r="800">
      <c r="H800" s="5" t="str">
        <f>IFERROR(__xludf.DUMMYFUNCTION("""COMPUTED_VALUE"""),"DIVISA")</f>
        <v>DIVISA</v>
      </c>
    </row>
    <row r="801">
      <c r="H801" s="5" t="str">
        <f>IFERROR(__xludf.DUMMYFUNCTION("""COMPUTED_VALUE"""),"DIVIT NUTRACEUTICAL P LTD")</f>
        <v>DIVIT NUTRACEUTICAL P LTD</v>
      </c>
    </row>
    <row r="802">
      <c r="H802" s="5" t="str">
        <f>IFERROR(__xludf.DUMMYFUNCTION("""COMPUTED_VALUE"""),"Divya Pharmacy")</f>
        <v>Divya Pharmacy</v>
      </c>
    </row>
    <row r="803">
      <c r="H803" s="5" t="str">
        <f>IFERROR(__xludf.DUMMYFUNCTION("""COMPUTED_VALUE"""),"DKT India Ltd")</f>
        <v>DKT India Ltd</v>
      </c>
    </row>
    <row r="804">
      <c r="H804" s="5" t="str">
        <f>IFERROR(__xludf.DUMMYFUNCTION("""COMPUTED_VALUE"""),"DLS PHARMA")</f>
        <v>DLS PHARMA</v>
      </c>
    </row>
    <row r="805">
      <c r="H805" s="5" t="str">
        <f>IFERROR(__xludf.DUMMYFUNCTION("""COMPUTED_VALUE"""),"DM PHARMA")</f>
        <v>DM PHARMA</v>
      </c>
    </row>
    <row r="806">
      <c r="H806" s="5" t="str">
        <f>IFERROR(__xludf.DUMMYFUNCTION("""COMPUTED_VALUE"""),"DO NOT ADD")</f>
        <v>DO NOT ADD</v>
      </c>
    </row>
    <row r="807">
      <c r="H807" s="5" t="str">
        <f>IFERROR(__xludf.DUMMYFUNCTION("""COMPUTED_VALUE"""),"DOCEMAPS 20")</f>
        <v>DOCEMAPS 20</v>
      </c>
    </row>
    <row r="808">
      <c r="H808" s="5" t="str">
        <f>IFERROR(__xludf.DUMMYFUNCTION("""COMPUTED_VALUE"""),"DOCEMAPS 80")</f>
        <v>DOCEMAPS 80</v>
      </c>
    </row>
    <row r="809">
      <c r="H809" s="5" t="str">
        <f>IFERROR(__xludf.DUMMYFUNCTION("""COMPUTED_VALUE"""),"DOCTOR")</f>
        <v>DOCTOR</v>
      </c>
    </row>
    <row r="810">
      <c r="H810" s="5" t="str">
        <f>IFERROR(__xludf.DUMMYFUNCTION("""COMPUTED_VALUE"""),"DOCTOR MOREPEN LIMITED")</f>
        <v>DOCTOR MOREPEN LIMITED</v>
      </c>
    </row>
    <row r="811">
      <c r="H811" s="5" t="str">
        <f>IFERROR(__xludf.DUMMYFUNCTION("""COMPUTED_VALUE"""),"DOKCARE LIFESCIENCES")</f>
        <v>DOKCARE LIFESCIENCES</v>
      </c>
    </row>
    <row r="812">
      <c r="H812" s="5" t="str">
        <f>IFERROR(__xludf.DUMMYFUNCTION("""COMPUTED_VALUE"""),"DOLLAR COMPANY")</f>
        <v>DOLLAR COMPANY</v>
      </c>
    </row>
    <row r="813">
      <c r="H813" s="5" t="str">
        <f>IFERROR(__xludf.DUMMYFUNCTION("""COMPUTED_VALUE"""),"DOLPHIN PHARMACEUTICALS")</f>
        <v>DOLPHIN PHARMACEUTICALS</v>
      </c>
    </row>
    <row r="814">
      <c r="H814" s="5" t="str">
        <f>IFERROR(__xludf.DUMMYFUNCTION("""COMPUTED_VALUE"""),"DR GROVER [EYE] HOSPITAL")</f>
        <v>DR GROVER [EYE] HOSPITAL</v>
      </c>
    </row>
    <row r="815">
      <c r="H815" s="5" t="str">
        <f>IFERROR(__xludf.DUMMYFUNCTION("""COMPUTED_VALUE"""),"Dr JRK Siddha Research and Pharmaceuticals Pvt Ltd")</f>
        <v>Dr JRK Siddha Research and Pharmaceuticals Pvt Ltd</v>
      </c>
    </row>
    <row r="816">
      <c r="H816" s="5" t="str">
        <f>IFERROR(__xludf.DUMMYFUNCTION("""COMPUTED_VALUE"""),"DR LOONAWAT RESEARCH LAB")</f>
        <v>DR LOONAWAT RESEARCH LAB</v>
      </c>
    </row>
    <row r="817">
      <c r="H817" s="5" t="str">
        <f>IFERROR(__xludf.DUMMYFUNCTION("""COMPUTED_VALUE"""),"DR LORMANS")</f>
        <v>DR LORMANS</v>
      </c>
    </row>
    <row r="818">
      <c r="H818" s="5" t="str">
        <f>IFERROR(__xludf.DUMMYFUNCTION("""COMPUTED_VALUE"""),"DR MOREPEN (GENERIC)")</f>
        <v>DR MOREPEN (GENERIC)</v>
      </c>
    </row>
    <row r="819">
      <c r="H819" s="5" t="str">
        <f>IFERROR(__xludf.DUMMYFUNCTION("""COMPUTED_VALUE"""),"DR MOREPEN DEVICES")</f>
        <v>DR MOREPEN DEVICES</v>
      </c>
    </row>
    <row r="820">
      <c r="H820" s="5" t="str">
        <f>IFERROR(__xludf.DUMMYFUNCTION("""COMPUTED_VALUE"""),"DR NAVEEN")</f>
        <v>DR NAVEEN</v>
      </c>
    </row>
    <row r="821">
      <c r="H821" s="5" t="str">
        <f>IFERROR(__xludf.DUMMYFUNCTION("""COMPUTED_VALUE"""),"DR PALEP'S")</f>
        <v>DR PALEP'S</v>
      </c>
    </row>
    <row r="822">
      <c r="H822" s="5" t="str">
        <f>IFERROR(__xludf.DUMMYFUNCTION("""COMPUTED_VALUE"""),"DR REDDY'S (DENTAL)")</f>
        <v>DR REDDY'S (DENTAL)</v>
      </c>
    </row>
    <row r="823">
      <c r="H823" s="5" t="str">
        <f>IFERROR(__xludf.DUMMYFUNCTION("""COMPUTED_VALUE"""),"Dr Reddy's Lab (AQURA-2)")</f>
        <v>Dr Reddy's Lab (AQURA-2)</v>
      </c>
    </row>
    <row r="824">
      <c r="H824" s="5" t="str">
        <f>IFERROR(__xludf.DUMMYFUNCTION("""COMPUTED_VALUE"""),"Dr Reddy's Lab (AQURA)")</f>
        <v>Dr Reddy's Lab (AQURA)</v>
      </c>
    </row>
    <row r="825">
      <c r="H825" s="5" t="str">
        <f>IFERROR(__xludf.DUMMYFUNCTION("""COMPUTED_VALUE"""),"Dr Reddy's Lab (ASPIRA)")</f>
        <v>Dr Reddy's Lab (ASPIRA)</v>
      </c>
    </row>
    <row r="826">
      <c r="H826" s="5" t="str">
        <f>IFERROR(__xludf.DUMMYFUNCTION("""COMPUTED_VALUE"""),"Dr Reddy's Lab (DERMA C)")</f>
        <v>Dr Reddy's Lab (DERMA C)</v>
      </c>
    </row>
    <row r="827">
      <c r="H827" s="5" t="str">
        <f>IFERROR(__xludf.DUMMYFUNCTION("""COMPUTED_VALUE"""),"Dr Reddy's Lab (DERMA-2)")</f>
        <v>Dr Reddy's Lab (DERMA-2)</v>
      </c>
    </row>
    <row r="828">
      <c r="H828" s="5" t="str">
        <f>IFERROR(__xludf.DUMMYFUNCTION("""COMPUTED_VALUE"""),"Dr Reddy's Lab (DERMA)")</f>
        <v>Dr Reddy's Lab (DERMA)</v>
      </c>
    </row>
    <row r="829">
      <c r="H829" s="5" t="str">
        <f>IFERROR(__xludf.DUMMYFUNCTION("""COMPUTED_VALUE"""),"Dr Reddy's Lab (FUTURA MAX)")</f>
        <v>Dr Reddy's Lab (FUTURA MAX)</v>
      </c>
    </row>
    <row r="830">
      <c r="H830" s="5" t="str">
        <f>IFERROR(__xludf.DUMMYFUNCTION("""COMPUTED_VALUE"""),"Dr Reddy's Lab (FUTURA)")</f>
        <v>Dr Reddy's Lab (FUTURA)</v>
      </c>
    </row>
    <row r="831">
      <c r="H831" s="5" t="str">
        <f>IFERROR(__xludf.DUMMYFUNCTION("""COMPUTED_VALUE"""),"Dr Reddy's Lab (GRAND ERA)")</f>
        <v>Dr Reddy's Lab (GRAND ERA)</v>
      </c>
    </row>
    <row r="832">
      <c r="H832" s="5" t="str">
        <f>IFERROR(__xludf.DUMMYFUNCTION("""COMPUTED_VALUE"""),"Dr Reddy's Lab (INDURA)")</f>
        <v>Dr Reddy's Lab (INDURA)</v>
      </c>
    </row>
    <row r="833">
      <c r="H833" s="5" t="str">
        <f>IFERROR(__xludf.DUMMYFUNCTION("""COMPUTED_VALUE"""),"Dr Reddy's Lab (MERIND)")</f>
        <v>Dr Reddy's Lab (MERIND)</v>
      </c>
    </row>
    <row r="834">
      <c r="H834" s="5" t="str">
        <f>IFERROR(__xludf.DUMMYFUNCTION("""COMPUTED_VALUE"""),"Dr Reddy's Lab (ORION)")</f>
        <v>Dr Reddy's Lab (ORION)</v>
      </c>
    </row>
    <row r="835">
      <c r="H835" s="5" t="str">
        <f>IFERROR(__xludf.DUMMYFUNCTION("""COMPUTED_VALUE"""),"Dr Reddy's Lab (PTF)")</f>
        <v>Dr Reddy's Lab (PTF)</v>
      </c>
    </row>
    <row r="836">
      <c r="H836" s="5" t="str">
        <f>IFERROR(__xludf.DUMMYFUNCTION("""COMPUTED_VALUE"""),"Dr Reddy's Lab (RECURA ACE)")</f>
        <v>Dr Reddy's Lab (RECURA ACE)</v>
      </c>
    </row>
    <row r="837">
      <c r="H837" s="5" t="str">
        <f>IFERROR(__xludf.DUMMYFUNCTION("""COMPUTED_VALUE"""),"Dr Reddy's Lab (RECURA)")</f>
        <v>Dr Reddy's Lab (RECURA)</v>
      </c>
    </row>
    <row r="838">
      <c r="H838" s="5" t="str">
        <f>IFERROR(__xludf.DUMMYFUNCTION("""COMPUTED_VALUE"""),"Dr Reddy's Lab (RHEUMATOLOGY)")</f>
        <v>Dr Reddy's Lab (RHEUMATOLOGY)</v>
      </c>
    </row>
    <row r="839">
      <c r="H839" s="5" t="str">
        <f>IFERROR(__xludf.DUMMYFUNCTION("""COMPUTED_VALUE"""),"Dr Reddy's Lab (SPECTRA)")</f>
        <v>Dr Reddy's Lab (SPECTRA)</v>
      </c>
    </row>
    <row r="840">
      <c r="H840" s="5" t="str">
        <f>IFERROR(__xludf.DUMMYFUNCTION("""COMPUTED_VALUE"""),"Dr Reddy's Lab (WINTURA)")</f>
        <v>Dr Reddy's Lab (WINTURA)</v>
      </c>
    </row>
    <row r="841">
      <c r="H841" s="5" t="str">
        <f>IFERROR(__xludf.DUMMYFUNCTION("""COMPUTED_VALUE"""),"Dr Reddy's Lab (XENURA-1)")</f>
        <v>Dr Reddy's Lab (XENURA-1)</v>
      </c>
    </row>
    <row r="842">
      <c r="H842" s="5" t="str">
        <f>IFERROR(__xludf.DUMMYFUNCTION("""COMPUTED_VALUE"""),"Dr Reddy's Lab (XENURA-3)")</f>
        <v>Dr Reddy's Lab (XENURA-3)</v>
      </c>
    </row>
    <row r="843">
      <c r="H843" s="5" t="str">
        <f>IFERROR(__xludf.DUMMYFUNCTION("""COMPUTED_VALUE"""),"Dr Reddy's Lab (XENURA)")</f>
        <v>Dr Reddy's Lab (XENURA)</v>
      </c>
    </row>
    <row r="844">
      <c r="H844" s="5" t="str">
        <f>IFERROR(__xludf.DUMMYFUNCTION("""COMPUTED_VALUE"""),"Dr Reddy's Laboratories Ltd")</f>
        <v>Dr Reddy's Laboratories Ltd</v>
      </c>
    </row>
    <row r="845">
      <c r="H845" s="5" t="str">
        <f>IFERROR(__xludf.DUMMYFUNCTION("""COMPUTED_VALUE"""),"Dr Reddy's Laboratories Ltd (SPECIALITY)")</f>
        <v>Dr Reddy's Laboratories Ltd (SPECIALITY)</v>
      </c>
    </row>
    <row r="846">
      <c r="H846" s="5" t="str">
        <f>IFERROR(__xludf.DUMMYFUNCTION("""COMPUTED_VALUE"""),"DR SENT REMEDIES PVT LTD")</f>
        <v>DR SENT REMEDIES PVT LTD</v>
      </c>
    </row>
    <row r="847">
      <c r="H847" s="5" t="str">
        <f>IFERROR(__xludf.DUMMYFUNCTION("""COMPUTED_VALUE"""),"DR SMITH'S HERBAL LABORATORIES")</f>
        <v>DR SMITH'S HERBAL LABORATORIES</v>
      </c>
    </row>
    <row r="848">
      <c r="H848" s="5" t="str">
        <f>IFERROR(__xludf.DUMMYFUNCTION("""COMPUTED_VALUE"""),"DR VEDA")</f>
        <v>DR VEDA</v>
      </c>
    </row>
    <row r="849">
      <c r="H849" s="5" t="str">
        <f>IFERROR(__xludf.DUMMYFUNCTION("""COMPUTED_VALUE"""),"DR WILLMAR SCHWABE INDIA PVT LTD")</f>
        <v>DR WILLMAR SCHWABE INDIA PVT LTD</v>
      </c>
    </row>
    <row r="850">
      <c r="H850" s="5" t="str">
        <f>IFERROR(__xludf.DUMMYFUNCTION("""COMPUTED_VALUE"""),"Dr. Johns Laboratories Pvt Ltd")</f>
        <v>Dr. Johns Laboratories Pvt Ltd</v>
      </c>
    </row>
    <row r="851">
      <c r="H851" s="5" t="str">
        <f>IFERROR(__xludf.DUMMYFUNCTION("""COMPUTED_VALUE"""),"DR. SURGICAL")</f>
        <v>DR. SURGICAL</v>
      </c>
    </row>
    <row r="852">
      <c r="H852" s="5" t="str">
        <f>IFERROR(__xludf.DUMMYFUNCTION("""COMPUTED_VALUE"""),"DRS CHOICE HEALTHCARE")</f>
        <v>DRS CHOICE HEALTHCARE</v>
      </c>
    </row>
    <row r="853">
      <c r="H853" s="5" t="str">
        <f>IFERROR(__xludf.DUMMYFUNCTION("""COMPUTED_VALUE"""),"DRUG INDIA")</f>
        <v>DRUG INDIA</v>
      </c>
    </row>
    <row r="854">
      <c r="H854" s="5" t="str">
        <f>IFERROR(__xludf.DUMMYFUNCTION("""COMPUTED_VALUE"""),"Dupen Laboratories Pvt Ltd")</f>
        <v>Dupen Laboratories Pvt Ltd</v>
      </c>
    </row>
    <row r="855">
      <c r="H855" s="5" t="str">
        <f>IFERROR(__xludf.DUMMYFUNCTION("""COMPUTED_VALUE"""),"DUPHA")</f>
        <v>DUPHA</v>
      </c>
    </row>
    <row r="856">
      <c r="H856" s="5" t="str">
        <f>IFERROR(__xludf.DUMMYFUNCTION("""COMPUTED_VALUE"""),"Duphar")</f>
        <v>Duphar</v>
      </c>
    </row>
    <row r="857">
      <c r="H857" s="5" t="str">
        <f>IFERROR(__xludf.DUMMYFUNCTION("""COMPUTED_VALUE"""),"DUPONT ORGANICS")</f>
        <v>DUPONT ORGANICS</v>
      </c>
    </row>
    <row r="858">
      <c r="H858" s="5" t="str">
        <f>IFERROR(__xludf.DUMMYFUNCTION("""COMPUTED_VALUE"""),"DUTT SURGICAL")</f>
        <v>DUTT SURGICAL</v>
      </c>
    </row>
    <row r="859">
      <c r="H859" s="5" t="str">
        <f>IFERROR(__xludf.DUMMYFUNCTION("""COMPUTED_VALUE"""),"DWD PHARMA (PRIME)")</f>
        <v>DWD PHARMA (PRIME)</v>
      </c>
    </row>
    <row r="860">
      <c r="H860" s="5" t="str">
        <f>IFERROR(__xludf.DUMMYFUNCTION("""COMPUTED_VALUE"""),"DWD PHARMA (SUPREME)")</f>
        <v>DWD PHARMA (SUPREME)</v>
      </c>
    </row>
    <row r="861">
      <c r="H861" s="5" t="str">
        <f>IFERROR(__xludf.DUMMYFUNCTION("""COMPUTED_VALUE"""),"DWD Pharmaceuticals Ltd")</f>
        <v>DWD Pharmaceuticals Ltd</v>
      </c>
    </row>
    <row r="862">
      <c r="H862" s="5" t="str">
        <f>IFERROR(__xludf.DUMMYFUNCTION("""COMPUTED_VALUE"""),"Dycine Pharmaceuticals Ltd")</f>
        <v>Dycine Pharmaceuticals Ltd</v>
      </c>
    </row>
    <row r="863">
      <c r="H863" s="5" t="str">
        <f>IFERROR(__xludf.DUMMYFUNCTION("""COMPUTED_VALUE"""),"DYMIX PHARMACEUTICALS PVT LTD")</f>
        <v>DYMIX PHARMACEUTICALS PVT LTD</v>
      </c>
    </row>
    <row r="864">
      <c r="H864" s="5" t="str">
        <f>IFERROR(__xludf.DUMMYFUNCTION("""COMPUTED_VALUE"""),"DYRICH CAPSULE")</f>
        <v>DYRICH CAPSULE</v>
      </c>
    </row>
    <row r="865">
      <c r="H865" s="5" t="str">
        <f>IFERROR(__xludf.DUMMYFUNCTION("""COMPUTED_VALUE"""),"DYRICH PLUS CAPSULE")</f>
        <v>DYRICH PLUS CAPSULE</v>
      </c>
    </row>
    <row r="866">
      <c r="H866" s="5" t="str">
        <f>IFERROR(__xludf.DUMMYFUNCTION("""COMPUTED_VALUE"""),"DYRICH SYP")</f>
        <v>DYRICH SYP</v>
      </c>
    </row>
    <row r="867">
      <c r="H867" s="5" t="str">
        <f>IFERROR(__xludf.DUMMYFUNCTION("""COMPUTED_VALUE"""),"E DERMA")</f>
        <v>E DERMA</v>
      </c>
    </row>
    <row r="868">
      <c r="H868" s="5" t="str">
        <f>IFERROR(__xludf.DUMMYFUNCTION("""COMPUTED_VALUE"""),"EAMON DRUGS PVT LTD")</f>
        <v>EAMON DRUGS PVT LTD</v>
      </c>
    </row>
    <row r="869">
      <c r="H869" s="5" t="str">
        <f>IFERROR(__xludf.DUMMYFUNCTION("""COMPUTED_VALUE"""),"East India Pharmaceutical Works Ltd")</f>
        <v>East India Pharmaceutical Works Ltd</v>
      </c>
    </row>
    <row r="870">
      <c r="H870" s="5" t="str">
        <f>IFERROR(__xludf.DUMMYFUNCTION("""COMPUTED_VALUE"""),"East West Pharma")</f>
        <v>East West Pharma</v>
      </c>
    </row>
    <row r="871">
      <c r="H871" s="5" t="str">
        <f>IFERROR(__xludf.DUMMYFUNCTION("""COMPUTED_VALUE"""),"EASTERN HEALTH CARE")</f>
        <v>EASTERN HEALTH CARE</v>
      </c>
    </row>
    <row r="872">
      <c r="H872" s="5" t="str">
        <f>IFERROR(__xludf.DUMMYFUNCTION("""COMPUTED_VALUE"""),"ECLIPSER PHARMACEUTICALS")</f>
        <v>ECLIPSER PHARMACEUTICALS</v>
      </c>
    </row>
    <row r="873">
      <c r="H873" s="5" t="str">
        <f>IFERROR(__xludf.DUMMYFUNCTION("""COMPUTED_VALUE"""),"ECLIPTA PHARMACEUTICAL PVT LTD")</f>
        <v>ECLIPTA PHARMACEUTICAL PVT LTD</v>
      </c>
    </row>
    <row r="874">
      <c r="H874" s="5" t="str">
        <f>IFERROR(__xludf.DUMMYFUNCTION("""COMPUTED_VALUE"""),"ECLIPTA PHARMACEUTICAL PVT LTD")</f>
        <v>ECLIPTA PHARMACEUTICAL PVT LTD</v>
      </c>
    </row>
    <row r="875">
      <c r="H875" s="5" t="str">
        <f>IFERROR(__xludf.DUMMYFUNCTION("""COMPUTED_VALUE"""),"ECOMED")</f>
        <v>ECOMED</v>
      </c>
    </row>
    <row r="876">
      <c r="H876" s="5" t="str">
        <f>IFERROR(__xludf.DUMMYFUNCTION("""COMPUTED_VALUE"""),"EDDONA LIFE SCIENCES")</f>
        <v>EDDONA LIFE SCIENCES</v>
      </c>
    </row>
    <row r="877">
      <c r="H877" s="5" t="str">
        <f>IFERROR(__xludf.DUMMYFUNCTION("""COMPUTED_VALUE"""),"EDEN HEALTHCARE")</f>
        <v>EDEN HEALTHCARE</v>
      </c>
    </row>
    <row r="878">
      <c r="H878" s="5" t="str">
        <f>IFERROR(__xludf.DUMMYFUNCTION("""COMPUTED_VALUE"""),"EDICO LAB")</f>
        <v>EDICO LAB</v>
      </c>
    </row>
    <row r="879">
      <c r="H879" s="5" t="str">
        <f>IFERROR(__xludf.DUMMYFUNCTION("""COMPUTED_VALUE"""),"EDISON ORGANICS PHARMACEUTICALS")</f>
        <v>EDISON ORGANICS PHARMACEUTICALS</v>
      </c>
    </row>
    <row r="880">
      <c r="H880" s="5" t="str">
        <f>IFERROR(__xludf.DUMMYFUNCTION("""COMPUTED_VALUE"""),"Edrant pharmaceuticals")</f>
        <v>Edrant pharmaceuticals</v>
      </c>
    </row>
    <row r="881">
      <c r="H881" s="5" t="str">
        <f>IFERROR(__xludf.DUMMYFUNCTION("""COMPUTED_VALUE"""),"Eisai Pharmaceuticals India Pvt Ltd")</f>
        <v>Eisai Pharmaceuticals India Pvt Ltd</v>
      </c>
    </row>
    <row r="882">
      <c r="H882" s="5" t="str">
        <f>IFERROR(__xludf.DUMMYFUNCTION("""COMPUTED_VALUE"""),"EISEN PHARMA")</f>
        <v>EISEN PHARMA</v>
      </c>
    </row>
    <row r="883">
      <c r="H883" s="5" t="str">
        <f>IFERROR(__xludf.DUMMYFUNCTION("""COMPUTED_VALUE"""),"EKMAY")</f>
        <v>EKMAY</v>
      </c>
    </row>
    <row r="884">
      <c r="H884" s="5" t="str">
        <f>IFERROR(__xludf.DUMMYFUNCTION("""COMPUTED_VALUE"""),"Elan Pharma India Pvt Ltd")</f>
        <v>Elan Pharma India Pvt Ltd</v>
      </c>
    </row>
    <row r="885">
      <c r="H885" s="5" t="str">
        <f>IFERROR(__xludf.DUMMYFUNCTION("""COMPUTED_VALUE"""),"ELANCER PHARMACEUTICALS")</f>
        <v>ELANCER PHARMACEUTICALS</v>
      </c>
    </row>
    <row r="886">
      <c r="H886" s="5" t="str">
        <f>IFERROR(__xludf.DUMMYFUNCTION("""COMPUTED_VALUE"""),"ELAXIM PHARMA")</f>
        <v>ELAXIM PHARMA</v>
      </c>
    </row>
    <row r="887">
      <c r="H887" s="5" t="str">
        <f>IFERROR(__xludf.DUMMYFUNCTION("""COMPUTED_VALUE"""),"ELCLIF FORMULATION")</f>
        <v>ELCLIF FORMULATION</v>
      </c>
    </row>
    <row r="888">
      <c r="H888" s="5" t="str">
        <f>IFERROR(__xludf.DUMMYFUNCTION("""COMPUTED_VALUE"""),"ELCURE BIOTEC")</f>
        <v>ELCURE BIOTEC</v>
      </c>
    </row>
    <row r="889">
      <c r="H889" s="5" t="str">
        <f>IFERROR(__xludf.DUMMYFUNCTION("""COMPUTED_VALUE"""),"ELDER (A)")</f>
        <v>ELDER (A)</v>
      </c>
    </row>
    <row r="890">
      <c r="H890" s="5" t="str">
        <f>IFERROR(__xludf.DUMMYFUNCTION("""COMPUTED_VALUE"""),"ELDER (ADVENTT)")</f>
        <v>ELDER (ADVENTT)</v>
      </c>
    </row>
    <row r="891">
      <c r="H891" s="5" t="str">
        <f>IFERROR(__xludf.DUMMYFUNCTION("""COMPUTED_VALUE"""),"ELDER (ADVENTUS)")</f>
        <v>ELDER (ADVENTUS)</v>
      </c>
    </row>
    <row r="892">
      <c r="H892" s="5" t="str">
        <f>IFERROR(__xludf.DUMMYFUNCTION("""COMPUTED_VALUE"""),"ELDER (B-SPECIALITIES)")</f>
        <v>ELDER (B-SPECIALITIES)</v>
      </c>
    </row>
    <row r="893">
      <c r="H893" s="5" t="str">
        <f>IFERROR(__xludf.DUMMYFUNCTION("""COMPUTED_VALUE"""),"ELDER (B)")</f>
        <v>ELDER (B)</v>
      </c>
    </row>
    <row r="894">
      <c r="H894" s="5" t="str">
        <f>IFERROR(__xludf.DUMMYFUNCTION("""COMPUTED_VALUE"""),"ELDER (ELNOVA)")</f>
        <v>ELDER (ELNOVA)</v>
      </c>
    </row>
    <row r="895">
      <c r="H895" s="5" t="str">
        <f>IFERROR(__xludf.DUMMYFUNCTION("""COMPUTED_VALUE"""),"ELDER (ELVISTA)")</f>
        <v>ELDER (ELVISTA)</v>
      </c>
    </row>
    <row r="896">
      <c r="H896" s="5" t="str">
        <f>IFERROR(__xludf.DUMMYFUNCTION("""COMPUTED_VALUE"""),"ELDER (GENERIC)")</f>
        <v>ELDER (GENERIC)</v>
      </c>
    </row>
    <row r="897">
      <c r="H897" s="5" t="str">
        <f>IFERROR(__xludf.DUMMYFUNCTION("""COMPUTED_VALUE"""),"ELDER (MIS)")</f>
        <v>ELDER (MIS)</v>
      </c>
    </row>
    <row r="898">
      <c r="H898" s="5" t="str">
        <f>IFERROR(__xludf.DUMMYFUNCTION("""COMPUTED_VALUE"""),"Elder Pharmaceuticals Ltd")</f>
        <v>Elder Pharmaceuticals Ltd</v>
      </c>
    </row>
    <row r="899">
      <c r="H899" s="5" t="str">
        <f>IFERROR(__xludf.DUMMYFUNCTION("""COMPUTED_VALUE"""),"ELDORA HEALTHCARE")</f>
        <v>ELDORA HEALTHCARE</v>
      </c>
    </row>
    <row r="900">
      <c r="H900" s="5" t="str">
        <f>IFERROR(__xludf.DUMMYFUNCTION("""COMPUTED_VALUE"""),"ELEMENSIS LIFESCIENCES PVT LTD")</f>
        <v>ELEMENSIS LIFESCIENCES PVT LTD</v>
      </c>
    </row>
    <row r="901">
      <c r="H901" s="5" t="str">
        <f>IFERROR(__xludf.DUMMYFUNCTION("""COMPUTED_VALUE"""),"ELEMENTS WELLNESS")</f>
        <v>ELEMENTS WELLNESS</v>
      </c>
    </row>
    <row r="902">
      <c r="H902" s="5" t="str">
        <f>IFERROR(__xludf.DUMMYFUNCTION("""COMPUTED_VALUE"""),"ELENOR HEALTHCARE")</f>
        <v>ELENOR HEALTHCARE</v>
      </c>
    </row>
    <row r="903">
      <c r="H903" s="5" t="str">
        <f>IFERROR(__xludf.DUMMYFUNCTION("""COMPUTED_VALUE"""),"ELFIN PHARMA P LTD")</f>
        <v>ELFIN PHARMA P LTD</v>
      </c>
    </row>
    <row r="904">
      <c r="H904" s="5" t="str">
        <f>IFERROR(__xludf.DUMMYFUNCTION("""COMPUTED_VALUE"""),"Eli Lilly and Company India Pvt Ltd")</f>
        <v>Eli Lilly and Company India Pvt Ltd</v>
      </c>
    </row>
    <row r="905">
      <c r="H905" s="5" t="str">
        <f>IFERROR(__xludf.DUMMYFUNCTION("""COMPUTED_VALUE"""),"ELI PHARMACEUTICALS")</f>
        <v>ELI PHARMACEUTICALS</v>
      </c>
    </row>
    <row r="906">
      <c r="H906" s="5" t="str">
        <f>IFERROR(__xludf.DUMMYFUNCTION("""COMPUTED_VALUE"""),"ELION HEALTHCARE PVT LTD")</f>
        <v>ELION HEALTHCARE PVT LTD</v>
      </c>
    </row>
    <row r="907">
      <c r="H907" s="5" t="str">
        <f>IFERROR(__xludf.DUMMYFUNCTION("""COMPUTED_VALUE"""),"ELIXIR LIFE CARE")</f>
        <v>ELIXIR LIFE CARE</v>
      </c>
    </row>
    <row r="908">
      <c r="H908" s="5" t="str">
        <f>IFERROR(__xludf.DUMMYFUNCTION("""COMPUTED_VALUE"""),"ELIXIR LIFE CARE (ACCELENT)")</f>
        <v>ELIXIR LIFE CARE (ACCELENT)</v>
      </c>
    </row>
    <row r="909">
      <c r="H909" s="5" t="str">
        <f>IFERROR(__xludf.DUMMYFUNCTION("""COMPUTED_VALUE"""),"ELIXIR MEDISERVE P LTD")</f>
        <v>ELIXIR MEDISERVE P LTD</v>
      </c>
    </row>
    <row r="910">
      <c r="H910" s="5" t="str">
        <f>IFERROR(__xludf.DUMMYFUNCTION("""COMPUTED_VALUE"""),"ELKOS HEALTHCARE P LTD")</f>
        <v>ELKOS HEALTHCARE P LTD</v>
      </c>
    </row>
    <row r="911">
      <c r="H911" s="5" t="str">
        <f>IFERROR(__xludf.DUMMYFUNCTION("""COMPUTED_VALUE"""),"ELLINOR LIFESCIENCES")</f>
        <v>ELLINOR LIFESCIENCES</v>
      </c>
    </row>
    <row r="912">
      <c r="H912" s="5" t="str">
        <f>IFERROR(__xludf.DUMMYFUNCTION("""COMPUTED_VALUE"""),"ELLIOT BIOTECH")</f>
        <v>ELLIOT BIOTECH</v>
      </c>
    </row>
    <row r="913">
      <c r="H913" s="5" t="str">
        <f>IFERROR(__xludf.DUMMYFUNCTION("""COMPUTED_VALUE"""),"ELNOVA PHARMA SIRMOUR")</f>
        <v>ELNOVA PHARMA SIRMOUR</v>
      </c>
    </row>
    <row r="914">
      <c r="H914" s="5" t="str">
        <f>IFERROR(__xludf.DUMMYFUNCTION("""COMPUTED_VALUE"""),"ELVIA")</f>
        <v>ELVIA</v>
      </c>
    </row>
    <row r="915">
      <c r="H915" s="5" t="str">
        <f>IFERROR(__xludf.DUMMYFUNCTION("""COMPUTED_VALUE"""),"Emami Ltd")</f>
        <v>Emami Ltd</v>
      </c>
    </row>
    <row r="916">
      <c r="H916" s="5" t="str">
        <f>IFERROR(__xludf.DUMMYFUNCTION("""COMPUTED_VALUE"""),"EMBARK LIFESCIENCE PVT LTD")</f>
        <v>EMBARK LIFESCIENCE PVT LTD</v>
      </c>
    </row>
    <row r="917">
      <c r="H917" s="5" t="str">
        <f>IFERROR(__xludf.DUMMYFUNCTION("""COMPUTED_VALUE"""),"EMCURE (EMCUTIX)")</f>
        <v>EMCURE (EMCUTIX)</v>
      </c>
    </row>
    <row r="918">
      <c r="H918" s="5" t="str">
        <f>IFERROR(__xludf.DUMMYFUNCTION("""COMPUTED_VALUE"""),"EMCURE (GENNOVA)")</f>
        <v>EMCURE (GENNOVA)</v>
      </c>
    </row>
    <row r="919">
      <c r="H919" s="5" t="str">
        <f>IFERROR(__xludf.DUMMYFUNCTION("""COMPUTED_VALUE"""),"EMCURE PHARMA (CD)")</f>
        <v>EMCURE PHARMA (CD)</v>
      </c>
    </row>
    <row r="920">
      <c r="H920" s="5" t="str">
        <f>IFERROR(__xludf.DUMMYFUNCTION("""COMPUTED_VALUE"""),"EMCURE PHARMA (CRIANTE)")</f>
        <v>EMCURE PHARMA (CRIANTE)</v>
      </c>
    </row>
    <row r="921">
      <c r="H921" s="5" t="str">
        <f>IFERROR(__xludf.DUMMYFUNCTION("""COMPUTED_VALUE"""),"EMCURE PHARMA (IMPETUS)")</f>
        <v>EMCURE PHARMA (IMPETUS)</v>
      </c>
    </row>
    <row r="922">
      <c r="H922" s="5" t="str">
        <f>IFERROR(__xludf.DUMMYFUNCTION("""COMPUTED_VALUE"""),"EMCURE PHARMA (INFIUS)")</f>
        <v>EMCURE PHARMA (INFIUS)</v>
      </c>
    </row>
    <row r="923">
      <c r="H923" s="5" t="str">
        <f>IFERROR(__xludf.DUMMYFUNCTION("""COMPUTED_VALUE"""),"EMCURE PHARMA (INVENTIA)")</f>
        <v>EMCURE PHARMA (INVENTIA)</v>
      </c>
    </row>
    <row r="924">
      <c r="H924" s="5" t="str">
        <f>IFERROR(__xludf.DUMMYFUNCTION("""COMPUTED_VALUE"""),"EMCURE PHARMA (KONKER)")</f>
        <v>EMCURE PHARMA (KONKER)</v>
      </c>
    </row>
    <row r="925">
      <c r="H925" s="5" t="str">
        <f>IFERROR(__xludf.DUMMYFUNCTION("""COMPUTED_VALUE"""),"EMCURE PHARMA (NEPHRO)")</f>
        <v>EMCURE PHARMA (NEPHRO)</v>
      </c>
    </row>
    <row r="926">
      <c r="H926" s="5" t="str">
        <f>IFERROR(__xludf.DUMMYFUNCTION("""COMPUTED_VALUE"""),"EMCURE PHARMA (NUCRON CV)")</f>
        <v>EMCURE PHARMA (NUCRON CV)</v>
      </c>
    </row>
    <row r="927">
      <c r="H927" s="5" t="str">
        <f>IFERROR(__xludf.DUMMYFUNCTION("""COMPUTED_VALUE"""),"EMCURE PHARMA (NUCRON)")</f>
        <v>EMCURE PHARMA (NUCRON)</v>
      </c>
    </row>
    <row r="928">
      <c r="H928" s="5" t="str">
        <f>IFERROR(__xludf.DUMMYFUNCTION("""COMPUTED_VALUE"""),"EMCURE PHARMA (PHARMA)")</f>
        <v>EMCURE PHARMA (PHARMA)</v>
      </c>
    </row>
    <row r="929">
      <c r="H929" s="5" t="str">
        <f>IFERROR(__xludf.DUMMYFUNCTION("""COMPUTED_VALUE"""),"EMCURE PHARMA (URO)")</f>
        <v>EMCURE PHARMA (URO)</v>
      </c>
    </row>
    <row r="930">
      <c r="H930" s="5" t="str">
        <f>IFERROR(__xludf.DUMMYFUNCTION("""COMPUTED_VALUE"""),"EMCURE PHARMA (VIROLOGY)")</f>
        <v>EMCURE PHARMA (VIROLOGY)</v>
      </c>
    </row>
    <row r="931">
      <c r="H931" s="5" t="str">
        <f>IFERROR(__xludf.DUMMYFUNCTION("""COMPUTED_VALUE"""),"EMCURE PHARMA (XENNEX)")</f>
        <v>EMCURE PHARMA (XENNEX)</v>
      </c>
    </row>
    <row r="932">
      <c r="H932" s="5" t="str">
        <f>IFERROR(__xludf.DUMMYFUNCTION("""COMPUTED_VALUE"""),"EMCURE PHARMA (ZEMCURE)")</f>
        <v>EMCURE PHARMA (ZEMCURE)</v>
      </c>
    </row>
    <row r="933">
      <c r="H933" s="5" t="str">
        <f>IFERROR(__xludf.DUMMYFUNCTION("""COMPUTED_VALUE"""),"Emcure Pharmaceuticals Ltd")</f>
        <v>Emcure Pharmaceuticals Ltd</v>
      </c>
    </row>
    <row r="934">
      <c r="H934" s="5" t="str">
        <f>IFERROR(__xludf.DUMMYFUNCTION("""COMPUTED_VALUE"""),"EMENOX HEALTHCARE")</f>
        <v>EMENOX HEALTHCARE</v>
      </c>
    </row>
    <row r="935">
      <c r="H935" s="5" t="str">
        <f>IFERROR(__xludf.DUMMYFUNCTION("""COMPUTED_VALUE"""),"EMKEDY HEALTH CARE")</f>
        <v>EMKEDY HEALTH CARE</v>
      </c>
    </row>
    <row r="936">
      <c r="H936" s="5" t="str">
        <f>IFERROR(__xludf.DUMMYFUNCTION("""COMPUTED_VALUE"""),"EMMY PHARMACEUTICAL")</f>
        <v>EMMY PHARMACEUTICAL</v>
      </c>
    </row>
    <row r="937">
      <c r="H937" s="5" t="str">
        <f>IFERROR(__xludf.DUMMYFUNCTION("""COMPUTED_VALUE"""),"EMPHASIS PHARMA P LTD")</f>
        <v>EMPHASIS PHARMA P LTD</v>
      </c>
    </row>
    <row r="938">
      <c r="H938" s="5" t="str">
        <f>IFERROR(__xludf.DUMMYFUNCTION("""COMPUTED_VALUE"""),"Empiai Pharmaceuticals Pvt Ltd")</f>
        <v>Empiai Pharmaceuticals Pvt Ltd</v>
      </c>
    </row>
    <row r="939">
      <c r="H939" s="5" t="str">
        <f>IFERROR(__xludf.DUMMYFUNCTION("""COMPUTED_VALUE"""),"ENCORE HEALTHCARE PVT LTD")</f>
        <v>ENCORE HEALTHCARE PVT LTD</v>
      </c>
    </row>
    <row r="940">
      <c r="H940" s="5" t="str">
        <f>IFERROR(__xludf.DUMMYFUNCTION("""COMPUTED_VALUE"""),"Encore Pharmaceuticals Inc.")</f>
        <v>Encore Pharmaceuticals Inc.</v>
      </c>
    </row>
    <row r="941">
      <c r="H941" s="5" t="str">
        <f>IFERROR(__xludf.DUMMYFUNCTION("""COMPUTED_VALUE"""),"ENCYCLO HEATHCARE")</f>
        <v>ENCYCLO HEATHCARE</v>
      </c>
    </row>
    <row r="942">
      <c r="H942" s="5" t="str">
        <f>IFERROR(__xludf.DUMMYFUNCTION("""COMPUTED_VALUE"""),"ENDOLABS LTD")</f>
        <v>ENDOLABS LTD</v>
      </c>
    </row>
    <row r="943">
      <c r="H943" s="5" t="str">
        <f>IFERROR(__xludf.DUMMYFUNCTION("""COMPUTED_VALUE"""),"ENRICO PHARMA")</f>
        <v>ENRICO PHARMA</v>
      </c>
    </row>
    <row r="944">
      <c r="H944" s="5" t="str">
        <f>IFERROR(__xludf.DUMMYFUNCTION("""COMPUTED_VALUE"""),"Entod Pharmaceuticals Ltd")</f>
        <v>Entod Pharmaceuticals Ltd</v>
      </c>
    </row>
    <row r="945">
      <c r="H945" s="5" t="str">
        <f>IFERROR(__xludf.DUMMYFUNCTION("""COMPUTED_VALUE"""),"EOS DERMACEUTICALS")</f>
        <v>EOS DERMACEUTICALS</v>
      </c>
    </row>
    <row r="946">
      <c r="H946" s="5" t="str">
        <f>IFERROR(__xludf.DUMMYFUNCTION("""COMPUTED_VALUE"""),"EPIC LIFESCIENCE")</f>
        <v>EPIC LIFESCIENCE</v>
      </c>
    </row>
    <row r="947">
      <c r="H947" s="5" t="str">
        <f>IFERROR(__xludf.DUMMYFUNCTION("""COMPUTED_VALUE"""),"EPONA PHARMACEUTICALS")</f>
        <v>EPONA PHARMACEUTICALS</v>
      </c>
    </row>
    <row r="948">
      <c r="H948" s="5" t="str">
        <f>IFERROR(__xludf.DUMMYFUNCTION("""COMPUTED_VALUE"""),"Era Pharmaceuticals")</f>
        <v>Era Pharmaceuticals</v>
      </c>
    </row>
    <row r="949">
      <c r="H949" s="5" t="str">
        <f>IFERROR(__xludf.DUMMYFUNCTION("""COMPUTED_VALUE"""),"ERIDANUS HEALTHCARE")</f>
        <v>ERIDANUS HEALTHCARE</v>
      </c>
    </row>
    <row r="950">
      <c r="H950" s="5" t="str">
        <f>IFERROR(__xludf.DUMMYFUNCTION("""COMPUTED_VALUE"""),"ERIS (ADURA)")</f>
        <v>ERIS (ADURA)</v>
      </c>
    </row>
    <row r="951">
      <c r="H951" s="5" t="str">
        <f>IFERROR(__xludf.DUMMYFUNCTION("""COMPUTED_VALUE"""),"ERIS (ALTIZA)")</f>
        <v>ERIS (ALTIZA)</v>
      </c>
    </row>
    <row r="952">
      <c r="H952" s="5" t="str">
        <f>IFERROR(__xludf.DUMMYFUNCTION("""COMPUTED_VALUE"""),"ERIS (ASPIRE)")</f>
        <v>ERIS (ASPIRE)</v>
      </c>
    </row>
    <row r="953">
      <c r="H953" s="5" t="str">
        <f>IFERROR(__xludf.DUMMYFUNCTION("""COMPUTED_VALUE"""),"ERIS (ETERNA)")</f>
        <v>ERIS (ETERNA)</v>
      </c>
    </row>
    <row r="954">
      <c r="H954" s="5" t="str">
        <f>IFERROR(__xludf.DUMMYFUNCTION("""COMPUTED_VALUE"""),"ERIS (INSPIRA)")</f>
        <v>ERIS (INSPIRA)</v>
      </c>
    </row>
    <row r="955">
      <c r="H955" s="5" t="str">
        <f>IFERROR(__xludf.DUMMYFUNCTION("""COMPUTED_VALUE"""),"ERIS (LIFE-I)")</f>
        <v>ERIS (LIFE-I)</v>
      </c>
    </row>
    <row r="956">
      <c r="H956" s="5" t="str">
        <f>IFERROR(__xludf.DUMMYFUNCTION("""COMPUTED_VALUE"""),"ERIS (LIFE-II)")</f>
        <v>ERIS (LIFE-II)</v>
      </c>
    </row>
    <row r="957">
      <c r="H957" s="5" t="str">
        <f>IFERROR(__xludf.DUMMYFUNCTION("""COMPUTED_VALUE"""),"ERIS (MONTANA)")</f>
        <v>ERIS (MONTANA)</v>
      </c>
    </row>
    <row r="958">
      <c r="H958" s="5" t="str">
        <f>IFERROR(__xludf.DUMMYFUNCTION("""COMPUTED_VALUE"""),"ERIS (NIKKOS)")</f>
        <v>ERIS (NIKKOS)</v>
      </c>
    </row>
    <row r="959">
      <c r="H959" s="5" t="str">
        <f>IFERROR(__xludf.DUMMYFUNCTION("""COMPUTED_VALUE"""),"ERIS (ONE)")</f>
        <v>ERIS (ONE)</v>
      </c>
    </row>
    <row r="960">
      <c r="H960" s="5" t="str">
        <f>IFERROR(__xludf.DUMMYFUNCTION("""COMPUTED_VALUE"""),"ERIS (PHOENIX)")</f>
        <v>ERIS (PHOENIX)</v>
      </c>
    </row>
    <row r="961">
      <c r="H961" s="5" t="str">
        <f>IFERROR(__xludf.DUMMYFUNCTION("""COMPUTED_VALUE"""),"ERIS (TWO)")</f>
        <v>ERIS (TWO)</v>
      </c>
    </row>
    <row r="962">
      <c r="H962" s="5" t="str">
        <f>IFERROR(__xludf.DUMMYFUNCTION("""COMPUTED_VALUE"""),"ERIS (VICTUS)")</f>
        <v>ERIS (VICTUS)</v>
      </c>
    </row>
    <row r="963">
      <c r="H963" s="5" t="str">
        <f>IFERROR(__xludf.DUMMYFUNCTION("""COMPUTED_VALUE"""),"Eris Life Sciences Pvt Ltd")</f>
        <v>Eris Life Sciences Pvt Ltd</v>
      </c>
    </row>
    <row r="964">
      <c r="H964" s="5" t="str">
        <f>IFERROR(__xludf.DUMMYFUNCTION("""COMPUTED_VALUE"""),"ERIS LIFESCIENCES PVT LTD.")</f>
        <v>ERIS LIFESCIENCES PVT LTD.</v>
      </c>
    </row>
    <row r="965">
      <c r="H965" s="5" t="str">
        <f>IFERROR(__xludf.DUMMYFUNCTION("""COMPUTED_VALUE"""),"ERNST PHARMACIA")</f>
        <v>ERNST PHARMACIA</v>
      </c>
    </row>
    <row r="966">
      <c r="H966" s="5" t="str">
        <f>IFERROR(__xludf.DUMMYFUNCTION("""COMPUTED_VALUE"""),"EROSE PHARMACEUTICALS")</f>
        <v>EROSE PHARMACEUTICALS</v>
      </c>
    </row>
    <row r="967">
      <c r="H967" s="5" t="str">
        <f>IFERROR(__xludf.DUMMYFUNCTION("""COMPUTED_VALUE"""),"ERYX HEALTHCARE P LTD")</f>
        <v>ERYX HEALTHCARE P LTD</v>
      </c>
    </row>
    <row r="968">
      <c r="H968" s="5" t="str">
        <f>IFERROR(__xludf.DUMMYFUNCTION("""COMPUTED_VALUE"""),"ESKAG PHARMA")</f>
        <v>ESKAG PHARMA</v>
      </c>
    </row>
    <row r="969">
      <c r="H969" s="5" t="str">
        <f>IFERROR(__xludf.DUMMYFUNCTION("""COMPUTED_VALUE"""),"ESTRELLAS LIFESCIENCES")</f>
        <v>ESTRELLAS LIFESCIENCES</v>
      </c>
    </row>
    <row r="970">
      <c r="H970" s="5" t="str">
        <f>IFERROR(__xludf.DUMMYFUNCTION("""COMPUTED_VALUE"""),"Ethicare Pharma")</f>
        <v>Ethicare Pharma</v>
      </c>
    </row>
    <row r="971">
      <c r="H971" s="5" t="str">
        <f>IFERROR(__xludf.DUMMYFUNCTION("""COMPUTED_VALUE"""),"Ethicare Remedies")</f>
        <v>Ethicare Remedies</v>
      </c>
    </row>
    <row r="972">
      <c r="H972" s="5" t="str">
        <f>IFERROR(__xludf.DUMMYFUNCTION("""COMPUTED_VALUE"""),"Ethilexhealth Care Guj Ltd")</f>
        <v>Ethilexhealth Care Guj Ltd</v>
      </c>
    </row>
    <row r="973">
      <c r="H973" s="5" t="str">
        <f>IFERROR(__xludf.DUMMYFUNCTION("""COMPUTED_VALUE"""),"Ethinext Pharma")</f>
        <v>Ethinext Pharma</v>
      </c>
    </row>
    <row r="974">
      <c r="H974" s="5" t="str">
        <f>IFERROR(__xludf.DUMMYFUNCTION("""COMPUTED_VALUE"""),"EU GENIA BIOCARE INTERNATIONAL")</f>
        <v>EU GENIA BIOCARE INTERNATIONAL</v>
      </c>
    </row>
    <row r="975">
      <c r="H975" s="5" t="str">
        <f>IFERROR(__xludf.DUMMYFUNCTION("""COMPUTED_VALUE"""),"EUPHONY HEALTHCARE")</f>
        <v>EUPHONY HEALTHCARE</v>
      </c>
    </row>
    <row r="976">
      <c r="H976" s="5" t="str">
        <f>IFERROR(__xludf.DUMMYFUNCTION("""COMPUTED_VALUE"""),"EUPHORIA INDIA PHARMACEUTICALS")</f>
        <v>EUPHORIA INDIA PHARMACEUTICALS</v>
      </c>
    </row>
    <row r="977">
      <c r="H977" s="5" t="str">
        <f>IFERROR(__xludf.DUMMYFUNCTION("""COMPUTED_VALUE"""),"EURO BIOLOGICALS")</f>
        <v>EURO BIOLOGICALS</v>
      </c>
    </row>
    <row r="978">
      <c r="H978" s="5" t="str">
        <f>IFERROR(__xludf.DUMMYFUNCTION("""COMPUTED_VALUE"""),"EURO BIOTECH")</f>
        <v>EURO BIOTECH</v>
      </c>
    </row>
    <row r="979">
      <c r="H979" s="5" t="str">
        <f>IFERROR(__xludf.DUMMYFUNCTION("""COMPUTED_VALUE"""),"EURO HEALTH &amp; BIOSEARCH")</f>
        <v>EURO HEALTH &amp; BIOSEARCH</v>
      </c>
    </row>
    <row r="980">
      <c r="H980" s="5" t="str">
        <f>IFERROR(__xludf.DUMMYFUNCTION("""COMPUTED_VALUE"""),"EUROCARE")</f>
        <v>EUROCARE</v>
      </c>
    </row>
    <row r="981">
      <c r="H981" s="5" t="str">
        <f>IFERROR(__xludf.DUMMYFUNCTION("""COMPUTED_VALUE"""),"EUROPA HEALTH CARE")</f>
        <v>EUROPA HEALTH CARE</v>
      </c>
    </row>
    <row r="982">
      <c r="H982" s="5" t="str">
        <f>IFERROR(__xludf.DUMMYFUNCTION("""COMPUTED_VALUE"""),"EVANCE PHARMA")</f>
        <v>EVANCE PHARMA</v>
      </c>
    </row>
    <row r="983">
      <c r="H983" s="5" t="str">
        <f>IFERROR(__xludf.DUMMYFUNCTION("""COMPUTED_VALUE"""),"EVDOXIA LIFESCIENCES PVT LTD")</f>
        <v>EVDOXIA LIFESCIENCES PVT LTD</v>
      </c>
    </row>
    <row r="984">
      <c r="H984" s="5" t="str">
        <f>IFERROR(__xludf.DUMMYFUNCTION("""COMPUTED_VALUE"""),"EVERWELL PHARMA")</f>
        <v>EVERWELL PHARMA</v>
      </c>
    </row>
    <row r="985">
      <c r="H985" s="5" t="str">
        <f>IFERROR(__xludf.DUMMYFUNCTION("""COMPUTED_VALUE"""),"EVOK LIFESCIENCES PVT LTD")</f>
        <v>EVOK LIFESCIENCES PVT LTD</v>
      </c>
    </row>
    <row r="986">
      <c r="H986" s="5" t="str">
        <f>IFERROR(__xludf.DUMMYFUNCTION("""COMPUTED_VALUE"""),"EXAZAM MD")</f>
        <v>EXAZAM MD</v>
      </c>
    </row>
    <row r="987">
      <c r="H987" s="5" t="str">
        <f>IFERROR(__xludf.DUMMYFUNCTION("""COMPUTED_VALUE"""),"Eyekare Kilitch Limited")</f>
        <v>Eyekare Kilitch Limited</v>
      </c>
    </row>
    <row r="988">
      <c r="H988" s="5" t="str">
        <f>IFERROR(__xludf.DUMMYFUNCTION("""COMPUTED_VALUE"""),"EYEORA LIFESCIENCES")</f>
        <v>EYEORA LIFESCIENCES</v>
      </c>
    </row>
    <row r="989">
      <c r="H989" s="5" t="str">
        <f>IFERROR(__xludf.DUMMYFUNCTION("""COMPUTED_VALUE"""),"FAIR DERMA REMEDIES")</f>
        <v>FAIR DERMA REMEDIES</v>
      </c>
    </row>
    <row r="990">
      <c r="H990" s="5" t="str">
        <f>IFERROR(__xludf.DUMMYFUNCTION("""COMPUTED_VALUE"""),"FAMY CARE LTD")</f>
        <v>FAMY CARE LTD</v>
      </c>
    </row>
    <row r="991">
      <c r="H991" s="5" t="str">
        <f>IFERROR(__xludf.DUMMYFUNCTION("""COMPUTED_VALUE"""),"FARLEX PHARMACEUTICAL")</f>
        <v>FARLEX PHARMACEUTICAL</v>
      </c>
    </row>
    <row r="992">
      <c r="H992" s="5" t="str">
        <f>IFERROR(__xludf.DUMMYFUNCTION("""COMPUTED_VALUE"""),"FATEH PHARMACY")</f>
        <v>FATEH PHARMACY</v>
      </c>
    </row>
    <row r="993">
      <c r="H993" s="5" t="str">
        <f>IFERROR(__xludf.DUMMYFUNCTION("""COMPUTED_VALUE"""),"FATHER MULLER")</f>
        <v>FATHER MULLER</v>
      </c>
    </row>
    <row r="994">
      <c r="H994" s="5" t="str">
        <f>IFERROR(__xludf.DUMMYFUNCTION("""COMPUTED_VALUE"""),"FAWN PHARMA")</f>
        <v>FAWN PHARMA</v>
      </c>
    </row>
    <row r="995">
      <c r="H995" s="5" t="str">
        <f>IFERROR(__xludf.DUMMYFUNCTION("""COMPUTED_VALUE"""),"FDC Ltd")</f>
        <v>FDC Ltd</v>
      </c>
    </row>
    <row r="996">
      <c r="H996" s="5" t="str">
        <f>IFERROR(__xludf.DUMMYFUNCTION("""COMPUTED_VALUE"""),"FDC Ltd (DILSE)")</f>
        <v>FDC Ltd (DILSE)</v>
      </c>
    </row>
    <row r="997">
      <c r="H997" s="5" t="str">
        <f>IFERROR(__xludf.DUMMYFUNCTION("""COMPUTED_VALUE"""),"FDC Ltd (LUMINA)")</f>
        <v>FDC Ltd (LUMINA)</v>
      </c>
    </row>
    <row r="998">
      <c r="H998" s="5" t="str">
        <f>IFERROR(__xludf.DUMMYFUNCTION("""COMPUTED_VALUE"""),"FDC Ltd (PIXEL)")</f>
        <v>FDC Ltd (PIXEL)</v>
      </c>
    </row>
    <row r="999">
      <c r="H999" s="5" t="str">
        <f>IFERROR(__xludf.DUMMYFUNCTION("""COMPUTED_VALUE"""),"FDC Ltd (PROXIMA)")</f>
        <v>FDC Ltd (PROXIMA)</v>
      </c>
    </row>
    <row r="1000">
      <c r="H1000" s="5" t="str">
        <f>IFERROR(__xludf.DUMMYFUNCTION("""COMPUTED_VALUE"""),"FDC Ltd (SELECT)")</f>
        <v>FDC Ltd (SELECT)</v>
      </c>
    </row>
    <row r="1001">
      <c r="H1001" s="5" t="str">
        <f>IFERROR(__xludf.DUMMYFUNCTION("""COMPUTED_VALUE"""),"FDC Ltd (SPECTRA)")</f>
        <v>FDC Ltd (SPECTRA)</v>
      </c>
    </row>
    <row r="1002">
      <c r="H1002" s="5" t="str">
        <f>IFERROR(__xludf.DUMMYFUNCTION("""COMPUTED_VALUE"""),"FDC Ltd (VISTA)")</f>
        <v>FDC Ltd (VISTA)</v>
      </c>
    </row>
    <row r="1003">
      <c r="H1003" s="5" t="str">
        <f>IFERROR(__xludf.DUMMYFUNCTION("""COMPUTED_VALUE"""),"FDC LtdTED")</f>
        <v>FDC LtdTED</v>
      </c>
    </row>
    <row r="1004">
      <c r="H1004" s="5" t="str">
        <f>IFERROR(__xludf.DUMMYFUNCTION("""COMPUTED_VALUE"""),"FEDERAL BIOSCIENCES")</f>
        <v>FEDERAL BIOSCIENCES</v>
      </c>
    </row>
    <row r="1005">
      <c r="H1005" s="5" t="str">
        <f>IFERROR(__xludf.DUMMYFUNCTION("""COMPUTED_VALUE"""),"FEDERAL'S BIOS")</f>
        <v>FEDERAL'S BIOS</v>
      </c>
    </row>
    <row r="1006">
      <c r="H1006" s="5" t="str">
        <f>IFERROR(__xludf.DUMMYFUNCTION("""COMPUTED_VALUE"""),"Fem Care Pharma Ltd.")</f>
        <v>Fem Care Pharma Ltd.</v>
      </c>
    </row>
    <row r="1007">
      <c r="H1007" s="5" t="str">
        <f>IFERROR(__xludf.DUMMYFUNCTION("""COMPUTED_VALUE"""),"Ferring Pharmaceuticals")</f>
        <v>Ferring Pharmaceuticals</v>
      </c>
    </row>
    <row r="1008">
      <c r="H1008" s="5" t="str">
        <f>IFERROR(__xludf.DUMMYFUNCTION("""COMPUTED_VALUE"""),"Fiale Pharmaceuticals")</f>
        <v>Fiale Pharmaceuticals</v>
      </c>
    </row>
    <row r="1009">
      <c r="H1009" s="5" t="str">
        <f>IFERROR(__xludf.DUMMYFUNCTION("""COMPUTED_VALUE"""),"Fidalgo Laboratories Pvt Ltd")</f>
        <v>Fidalgo Laboratories Pvt Ltd</v>
      </c>
    </row>
    <row r="1010">
      <c r="H1010" s="5" t="str">
        <f>IFERROR(__xludf.DUMMYFUNCTION("""COMPUTED_VALUE"""),"FIDELITY LIFESCIENCES")</f>
        <v>FIDELITY LIFESCIENCES</v>
      </c>
    </row>
    <row r="1011">
      <c r="H1011" s="5" t="str">
        <f>IFERROR(__xludf.DUMMYFUNCTION("""COMPUTED_VALUE"""),"Figaro")</f>
        <v>Figaro</v>
      </c>
    </row>
    <row r="1012">
      <c r="H1012" s="5" t="str">
        <f>IFERROR(__xludf.DUMMYFUNCTION("""COMPUTED_VALUE"""),"FINECURE PHARMACEUTICAL INDORE")</f>
        <v>FINECURE PHARMACEUTICAL INDORE</v>
      </c>
    </row>
    <row r="1013">
      <c r="H1013" s="5" t="str">
        <f>IFERROR(__xludf.DUMMYFUNCTION("""COMPUTED_VALUE"""),"FITWEL PHARMACEUTICALS")</f>
        <v>FITWEL PHARMACEUTICALS</v>
      </c>
    </row>
    <row r="1014">
      <c r="H1014" s="5" t="str">
        <f>IFERROR(__xludf.DUMMYFUNCTION("""COMPUTED_VALUE"""),"FIXDERMA INDIA")</f>
        <v>FIXDERMA INDIA</v>
      </c>
    </row>
    <row r="1015">
      <c r="H1015" s="5" t="str">
        <f>IFERROR(__xludf.DUMMYFUNCTION("""COMPUTED_VALUE"""),"FIZARK HEALTHCARE")</f>
        <v>FIZARK HEALTHCARE</v>
      </c>
    </row>
    <row r="1016">
      <c r="H1016" s="5" t="str">
        <f>IFERROR(__xludf.DUMMYFUNCTION("""COMPUTED_VALUE"""),"FIZEN BIOSCIENCES")</f>
        <v>FIZEN BIOSCIENCES</v>
      </c>
    </row>
    <row r="1017">
      <c r="H1017" s="5" t="str">
        <f>IFERROR(__xludf.DUMMYFUNCTION("""COMPUTED_VALUE"""),"FLAMINGO PHARMACUTICALS LTD")</f>
        <v>FLAMINGO PHARMACUTICALS LTD</v>
      </c>
    </row>
    <row r="1018">
      <c r="H1018" s="5" t="str">
        <f>IFERROR(__xludf.DUMMYFUNCTION("""COMPUTED_VALUE"""),"FLANCA LIFE SCIENCES")</f>
        <v>FLANCA LIFE SCIENCES</v>
      </c>
    </row>
    <row r="1019">
      <c r="H1019" s="5" t="str">
        <f>IFERROR(__xludf.DUMMYFUNCTION("""COMPUTED_VALUE"""),"FONCER PHARMA P LTD")</f>
        <v>FONCER PHARMA P LTD</v>
      </c>
    </row>
    <row r="1020">
      <c r="H1020" s="5" t="str">
        <f>IFERROR(__xludf.DUMMYFUNCTION("""COMPUTED_VALUE"""),"FOREVER LIVING PRODUCTS INTERNATIONAL")</f>
        <v>FOREVER LIVING PRODUCTS INTERNATIONAL</v>
      </c>
    </row>
    <row r="1021">
      <c r="H1021" s="5" t="str">
        <f>IFERROR(__xludf.DUMMYFUNCTION("""COMPUTED_VALUE"""),"FOSSIL REMEDIES")</f>
        <v>FOSSIL REMEDIES</v>
      </c>
    </row>
    <row r="1022">
      <c r="H1022" s="5" t="str">
        <f>IFERROR(__xludf.DUMMYFUNCTION("""COMPUTED_VALUE"""),"Fountil Life Sciences Pvt Ltd")</f>
        <v>Fountil Life Sciences Pvt Ltd</v>
      </c>
    </row>
    <row r="1023">
      <c r="H1023" s="5" t="str">
        <f>IFERROR(__xludf.DUMMYFUNCTION("""COMPUTED_VALUE"""),"Fourrts India Laboratories Pvt Ltd")</f>
        <v>Fourrts India Laboratories Pvt Ltd</v>
      </c>
    </row>
    <row r="1024">
      <c r="H1024" s="5" t="str">
        <f>IFERROR(__xludf.DUMMYFUNCTION("""COMPUTED_VALUE"""),"FRAGRANCE")</f>
        <v>FRAGRANCE</v>
      </c>
    </row>
    <row r="1025">
      <c r="H1025" s="5" t="str">
        <f>IFERROR(__xludf.DUMMYFUNCTION("""COMPUTED_VALUE"""),"FRANCESCA PHARMA")</f>
        <v>FRANCESCA PHARMA</v>
      </c>
    </row>
    <row r="1026">
      <c r="H1026" s="5" t="str">
        <f>IFERROR(__xludf.DUMMYFUNCTION("""COMPUTED_VALUE"""),"Franco-Indian Pharmaceuticals")</f>
        <v>Franco-Indian Pharmaceuticals</v>
      </c>
    </row>
    <row r="1027">
      <c r="H1027" s="5" t="str">
        <f>IFERROR(__xludf.DUMMYFUNCTION("""COMPUTED_VALUE"""),"Franco-Indian Pharmaceuticals (DIABETIC)")</f>
        <v>Franco-Indian Pharmaceuticals (DIABETIC)</v>
      </c>
    </row>
    <row r="1028">
      <c r="H1028" s="5" t="str">
        <f>IFERROR(__xludf.DUMMYFUNCTION("""COMPUTED_VALUE"""),"Franco-Indian Pharmaceuticals (MAIN)")</f>
        <v>Franco-Indian Pharmaceuticals (MAIN)</v>
      </c>
    </row>
    <row r="1029">
      <c r="H1029" s="5" t="str">
        <f>IFERROR(__xludf.DUMMYFUNCTION("""COMPUTED_VALUE"""),"Franco-Indian Pharmaceuticals (ZINDA)")</f>
        <v>Franco-Indian Pharmaceuticals (ZINDA)</v>
      </c>
    </row>
    <row r="1030">
      <c r="H1030" s="5" t="str">
        <f>IFERROR(__xludf.DUMMYFUNCTION("""COMPUTED_VALUE"""),"Franklin Laboratories India Pvt Ltd")</f>
        <v>Franklin Laboratories India Pvt Ltd</v>
      </c>
    </row>
    <row r="1031">
      <c r="H1031" s="5" t="str">
        <f>IFERROR(__xludf.DUMMYFUNCTION("""COMPUTED_VALUE"""),"FREIA")</f>
        <v>FREIA</v>
      </c>
    </row>
    <row r="1032">
      <c r="H1032" s="5" t="str">
        <f>IFERROR(__xludf.DUMMYFUNCTION("""COMPUTED_VALUE"""),"Fresenius Kabi India Pvt Ltd")</f>
        <v>Fresenius Kabi India Pvt Ltd</v>
      </c>
    </row>
    <row r="1033">
      <c r="H1033" s="5" t="str">
        <f>IFERROR(__xludf.DUMMYFUNCTION("""COMPUTED_VALUE"""),"FRESENIUS KABI INDIA PVT LTD (NEPHRO)")</f>
        <v>FRESENIUS KABI INDIA PVT LTD (NEPHRO)</v>
      </c>
    </row>
    <row r="1034">
      <c r="H1034" s="5" t="str">
        <f>IFERROR(__xludf.DUMMYFUNCTION("""COMPUTED_VALUE"""),"FRIMLINE P LTD")</f>
        <v>FRIMLINE P LTD</v>
      </c>
    </row>
    <row r="1035">
      <c r="H1035" s="5" t="str">
        <f>IFERROR(__xludf.DUMMYFUNCTION("""COMPUTED_VALUE"""),"Fulford India Ltd")</f>
        <v>Fulford India Ltd</v>
      </c>
    </row>
    <row r="1036">
      <c r="H1036" s="5" t="str">
        <f>IFERROR(__xludf.DUMMYFUNCTION("""COMPUTED_VALUE"""),"FUSION HEALTHCARE PVT LTD")</f>
        <v>FUSION HEALTHCARE PVT LTD</v>
      </c>
    </row>
    <row r="1037">
      <c r="H1037" s="5" t="str">
        <f>IFERROR(__xludf.DUMMYFUNCTION("""COMPUTED_VALUE"""),"FUTURELIFE PHARMACEUTICALS PVT LTD")</f>
        <v>FUTURELIFE PHARMACEUTICALS PVT LTD</v>
      </c>
    </row>
    <row r="1038">
      <c r="H1038" s="5" t="str">
        <f>IFERROR(__xludf.DUMMYFUNCTION("""COMPUTED_VALUE"""),"G.S.K")</f>
        <v>G.S.K</v>
      </c>
    </row>
    <row r="1039">
      <c r="H1039" s="5" t="str">
        <f>IFERROR(__xludf.DUMMYFUNCTION("""COMPUTED_VALUE"""),"G&amp;G PHARMACY")</f>
        <v>G&amp;G PHARMACY</v>
      </c>
    </row>
    <row r="1040">
      <c r="H1040" s="5" t="str">
        <f>IFERROR(__xludf.DUMMYFUNCTION("""COMPUTED_VALUE"""),"GAHARWAR PHARMA")</f>
        <v>GAHARWAR PHARMA</v>
      </c>
    </row>
    <row r="1041">
      <c r="H1041" s="5" t="str">
        <f>IFERROR(__xludf.DUMMYFUNCTION("""COMPUTED_VALUE"""),"GALACUS HEALTHCARE")</f>
        <v>GALACUS HEALTHCARE</v>
      </c>
    </row>
    <row r="1042">
      <c r="H1042" s="5" t="str">
        <f>IFERROR(__xludf.DUMMYFUNCTION("""COMPUTED_VALUE"""),"Galcare Pharmaceutical Pvt Ltd")</f>
        <v>Galcare Pharmaceutical Pvt Ltd</v>
      </c>
    </row>
    <row r="1043">
      <c r="H1043" s="5" t="str">
        <f>IFERROR(__xludf.DUMMYFUNCTION("""COMPUTED_VALUE"""),"Galderma India Pvt Ltd")</f>
        <v>Galderma India Pvt Ltd</v>
      </c>
    </row>
    <row r="1044">
      <c r="H1044" s="5" t="str">
        <f>IFERROR(__xludf.DUMMYFUNCTION("""COMPUTED_VALUE"""),"Galpha Laboratories Ltd")</f>
        <v>Galpha Laboratories Ltd</v>
      </c>
    </row>
    <row r="1045">
      <c r="H1045" s="5" t="str">
        <f>IFERROR(__xludf.DUMMYFUNCTION("""COMPUTED_VALUE"""),"GALTON MEDICA")</f>
        <v>GALTON MEDICA</v>
      </c>
    </row>
    <row r="1046">
      <c r="H1046" s="5" t="str">
        <f>IFERROR(__xludf.DUMMYFUNCTION("""COMPUTED_VALUE"""),"GAMANOL 400")</f>
        <v>GAMANOL 400</v>
      </c>
    </row>
    <row r="1047">
      <c r="H1047" s="5" t="str">
        <f>IFERROR(__xludf.DUMMYFUNCTION("""COMPUTED_VALUE"""),"GAMBIA BIOTECH")</f>
        <v>GAMBIA BIOTECH</v>
      </c>
    </row>
    <row r="1048">
      <c r="H1048" s="5" t="str">
        <f>IFERROR(__xludf.DUMMYFUNCTION("""COMPUTED_VALUE"""),"GANDHI HERBAL PVT LTD")</f>
        <v>GANDHI HERBAL PVT LTD</v>
      </c>
    </row>
    <row r="1049">
      <c r="H1049" s="5" t="str">
        <f>IFERROR(__xludf.DUMMYFUNCTION("""COMPUTED_VALUE"""),"GARIMA HEALTHCARE")</f>
        <v>GARIMA HEALTHCARE</v>
      </c>
    </row>
    <row r="1050">
      <c r="H1050" s="5" t="str">
        <f>IFERROR(__xludf.DUMMYFUNCTION("""COMPUTED_VALUE"""),"Gary Pharmaceuticals Pvt Ltd")</f>
        <v>Gary Pharmaceuticals Pvt Ltd</v>
      </c>
    </row>
    <row r="1051">
      <c r="H1051" s="5" t="str">
        <f>IFERROR(__xludf.DUMMYFUNCTION("""COMPUTED_VALUE"""),"GATLE HEALTHCARE")</f>
        <v>GATLE HEALTHCARE</v>
      </c>
    </row>
    <row r="1052">
      <c r="H1052" s="5" t="str">
        <f>IFERROR(__xludf.DUMMYFUNCTION("""COMPUTED_VALUE"""),"GAURANG REMEDIES INDIA PVT LTD")</f>
        <v>GAURANG REMEDIES INDIA PVT LTD</v>
      </c>
    </row>
    <row r="1053">
      <c r="H1053" s="5" t="str">
        <f>IFERROR(__xludf.DUMMYFUNCTION("""COMPUTED_VALUE"""),"GAVIT")</f>
        <v>GAVIT</v>
      </c>
    </row>
    <row r="1054">
      <c r="H1054" s="5" t="str">
        <f>IFERROR(__xludf.DUMMYFUNCTION("""COMPUTED_VALUE"""),"GD PHRMACEUTICALS LTD")</f>
        <v>GD PHRMACEUTICALS LTD</v>
      </c>
    </row>
    <row r="1055">
      <c r="H1055" s="5" t="str">
        <f>IFERROR(__xludf.DUMMYFUNCTION("""COMPUTED_VALUE"""),"GE WIPRO")</f>
        <v>GE WIPRO</v>
      </c>
    </row>
    <row r="1056">
      <c r="H1056" s="5" t="str">
        <f>IFERROR(__xludf.DUMMYFUNCTION("""COMPUTED_VALUE"""),"GELNOVA LABORATORIES (INDIA) PVT LTD")</f>
        <v>GELNOVA LABORATORIES (INDIA) PVT LTD</v>
      </c>
    </row>
    <row r="1057">
      <c r="H1057" s="5" t="str">
        <f>IFERROR(__xludf.DUMMYFUNCTION("""COMPUTED_VALUE"""),"GELUK PHARMA P LTD")</f>
        <v>GELUK PHARMA P LTD</v>
      </c>
    </row>
    <row r="1058">
      <c r="H1058" s="5" t="str">
        <f>IFERROR(__xludf.DUMMYFUNCTION("""COMPUTED_VALUE"""),"GENESIS BIOTEC INC")</f>
        <v>GENESIS BIOTEC INC</v>
      </c>
    </row>
    <row r="1059">
      <c r="H1059" s="5" t="str">
        <f>IFERROR(__xludf.DUMMYFUNCTION("""COMPUTED_VALUE"""),"GENETIC PHARMA")</f>
        <v>GENETIC PHARMA</v>
      </c>
    </row>
    <row r="1060">
      <c r="H1060" s="5" t="str">
        <f>IFERROR(__xludf.DUMMYFUNCTION("""COMPUTED_VALUE"""),"GENEX PHARMA LIMITED")</f>
        <v>GENEX PHARMA LIMITED</v>
      </c>
    </row>
    <row r="1061">
      <c r="H1061" s="5" t="str">
        <f>IFERROR(__xludf.DUMMYFUNCTION("""COMPUTED_VALUE"""),"GENIAL HEALTHCARE")</f>
        <v>GENIAL HEALTHCARE</v>
      </c>
    </row>
    <row r="1062">
      <c r="H1062" s="5" t="str">
        <f>IFERROR(__xludf.DUMMYFUNCTION("""COMPUTED_VALUE"""),"GENIX PHARMA LTD")</f>
        <v>GENIX PHARMA LTD</v>
      </c>
    </row>
    <row r="1063">
      <c r="H1063" s="5" t="str">
        <f>IFERROR(__xludf.DUMMYFUNCTION("""COMPUTED_VALUE"""),"GENMAC")</f>
        <v>GENMAC</v>
      </c>
    </row>
    <row r="1064">
      <c r="H1064" s="5" t="str">
        <f>IFERROR(__xludf.DUMMYFUNCTION("""COMPUTED_VALUE"""),"Geno Pharmaceuticals Ltd")</f>
        <v>Geno Pharmaceuticals Ltd</v>
      </c>
    </row>
    <row r="1065">
      <c r="H1065" s="5" t="str">
        <f>IFERROR(__xludf.DUMMYFUNCTION("""COMPUTED_VALUE"""),"GENOTEK PHARMACEUTICALS")</f>
        <v>GENOTEK PHARMACEUTICALS</v>
      </c>
    </row>
    <row r="1066">
      <c r="H1066" s="5" t="str">
        <f>IFERROR(__xludf.DUMMYFUNCTION("""COMPUTED_VALUE"""),"GENZYME BIOSURGARY")</f>
        <v>GENZYME BIOSURGARY</v>
      </c>
    </row>
    <row r="1067">
      <c r="H1067" s="5" t="str">
        <f>IFERROR(__xludf.DUMMYFUNCTION("""COMPUTED_VALUE"""),"GEO LIFESCIENCES")</f>
        <v>GEO LIFESCIENCES</v>
      </c>
    </row>
    <row r="1068">
      <c r="H1068" s="5" t="str">
        <f>IFERROR(__xludf.DUMMYFUNCTION("""COMPUTED_VALUE"""),"Geo Pharma Pvt Ltd")</f>
        <v>Geo Pharma Pvt Ltd</v>
      </c>
    </row>
    <row r="1069">
      <c r="H1069" s="5" t="str">
        <f>IFERROR(__xludf.DUMMYFUNCTION("""COMPUTED_VALUE"""),"GEOFFROI LABS P LTD")</f>
        <v>GEOFFROI LABS P LTD</v>
      </c>
    </row>
    <row r="1070">
      <c r="H1070" s="5" t="str">
        <f>IFERROR(__xludf.DUMMYFUNCTION("""COMPUTED_VALUE"""),"GEOLIFE SCIENCES")</f>
        <v>GEOLIFE SCIENCES</v>
      </c>
    </row>
    <row r="1071">
      <c r="H1071" s="5" t="str">
        <f>IFERROR(__xludf.DUMMYFUNCTION("""COMPUTED_VALUE"""),"GERMAN HEALTHCARE PVT LTD")</f>
        <v>GERMAN HEALTHCARE PVT LTD</v>
      </c>
    </row>
    <row r="1072">
      <c r="H1072" s="5" t="str">
        <f>IFERROR(__xludf.DUMMYFUNCTION("""COMPUTED_VALUE"""),"German Remedies")</f>
        <v>German Remedies</v>
      </c>
    </row>
    <row r="1073">
      <c r="H1073" s="5" t="str">
        <f>IFERROR(__xludf.DUMMYFUNCTION("""COMPUTED_VALUE"""),"GERMAN REMEDIES (AEROFORCE)")</f>
        <v>GERMAN REMEDIES (AEROFORCE)</v>
      </c>
    </row>
    <row r="1074">
      <c r="H1074" s="5" t="str">
        <f>IFERROR(__xludf.DUMMYFUNCTION("""COMPUTED_VALUE"""),"GERMAN REMEDIES (GYNEXT)")</f>
        <v>GERMAN REMEDIES (GYNEXT)</v>
      </c>
    </row>
    <row r="1075">
      <c r="H1075" s="5" t="str">
        <f>IFERROR(__xludf.DUMMYFUNCTION("""COMPUTED_VALUE"""),"GERMAN REMEDIES (GYNOVA)")</f>
        <v>GERMAN REMEDIES (GYNOVA)</v>
      </c>
    </row>
    <row r="1076">
      <c r="H1076" s="5" t="str">
        <f>IFERROR(__xludf.DUMMYFUNCTION("""COMPUTED_VALUE"""),"GERMAN REMEDIES (MAIN)")</f>
        <v>GERMAN REMEDIES (MAIN)</v>
      </c>
    </row>
    <row r="1077">
      <c r="H1077" s="5" t="str">
        <f>IFERROR(__xludf.DUMMYFUNCTION("""COMPUTED_VALUE"""),"GERMAN REMEDIES (RESPICARE)")</f>
        <v>GERMAN REMEDIES (RESPICARE)</v>
      </c>
    </row>
    <row r="1078">
      <c r="H1078" s="5" t="str">
        <f>IFERROR(__xludf.DUMMYFUNCTION("""COMPUTED_VALUE"""),"GERMAN REMEDIES (ZESPIRA)")</f>
        <v>GERMAN REMEDIES (ZESPIRA)</v>
      </c>
    </row>
    <row r="1079">
      <c r="H1079" s="5" t="str">
        <f>IFERROR(__xludf.DUMMYFUNCTION("""COMPUTED_VALUE"""),"Gerrysun Pharmaceuticals Pvt Ltd")</f>
        <v>Gerrysun Pharmaceuticals Pvt Ltd</v>
      </c>
    </row>
    <row r="1080">
      <c r="H1080" s="5" t="str">
        <f>IFERROR(__xludf.DUMMYFUNCTION("""COMPUTED_VALUE"""),"GETRON PHARMACEUTICAL")</f>
        <v>GETRON PHARMACEUTICAL</v>
      </c>
    </row>
    <row r="1081">
      <c r="H1081" s="5" t="str">
        <f>IFERROR(__xludf.DUMMYFUNCTION("""COMPUTED_VALUE"""),"GHANDHI JAIN KARYALAYA")</f>
        <v>GHANDHI JAIN KARYALAYA</v>
      </c>
    </row>
    <row r="1082">
      <c r="H1082" s="5" t="str">
        <f>IFERROR(__xludf.DUMMYFUNCTION("""COMPUTED_VALUE"""),"GHL")</f>
        <v>GHL</v>
      </c>
    </row>
    <row r="1083">
      <c r="H1083" s="5" t="str">
        <f>IFERROR(__xludf.DUMMYFUNCTION("""COMPUTED_VALUE"""),"GIOCON PHARMA LTD.")</f>
        <v>GIOCON PHARMA LTD.</v>
      </c>
    </row>
    <row r="1084">
      <c r="H1084" s="5" t="str">
        <f>IFERROR(__xludf.DUMMYFUNCTION("""COMPUTED_VALUE"""),"GK BURMAN HERBALS")</f>
        <v>GK BURMAN HERBALS</v>
      </c>
    </row>
    <row r="1085">
      <c r="H1085" s="5" t="str">
        <f>IFERROR(__xludf.DUMMYFUNCTION("""COMPUTED_VALUE"""),"GK ENTERPRISES")</f>
        <v>GK ENTERPRISES</v>
      </c>
    </row>
    <row r="1086">
      <c r="H1086" s="5" t="str">
        <f>IFERROR(__xludf.DUMMYFUNCTION("""COMPUTED_VALUE"""),"GLAMDERMA INDIA PHARMACEUTICAL PRIVATE LIMITED")</f>
        <v>GLAMDERMA INDIA PHARMACEUTICAL PRIVATE LIMITED</v>
      </c>
    </row>
    <row r="1087">
      <c r="H1087" s="5" t="str">
        <f>IFERROR(__xludf.DUMMYFUNCTION("""COMPUTED_VALUE"""),"GLANZ HEALTHCARE")</f>
        <v>GLANZ HEALTHCARE</v>
      </c>
    </row>
    <row r="1088">
      <c r="H1088" s="5" t="str">
        <f>IFERROR(__xludf.DUMMYFUNCTION("""COMPUTED_VALUE"""),"GLAXO (1)")</f>
        <v>GLAXO (1)</v>
      </c>
    </row>
    <row r="1089">
      <c r="H1089" s="5" t="str">
        <f>IFERROR(__xludf.DUMMYFUNCTION("""COMPUTED_VALUE"""),"GLAXO (2)")</f>
        <v>GLAXO (2)</v>
      </c>
    </row>
    <row r="1090">
      <c r="H1090" s="5" t="str">
        <f>IFERROR(__xludf.DUMMYFUNCTION("""COMPUTED_VALUE"""),"GLAXO (3)")</f>
        <v>GLAXO (3)</v>
      </c>
    </row>
    <row r="1091">
      <c r="H1091" s="5" t="str">
        <f>IFERROR(__xludf.DUMMYFUNCTION("""COMPUTED_VALUE"""),"GLAXO (4)")</f>
        <v>GLAXO (4)</v>
      </c>
    </row>
    <row r="1092">
      <c r="H1092" s="5" t="str">
        <f>IFERROR(__xludf.DUMMYFUNCTION("""COMPUTED_VALUE"""),"GLAXO (5)")</f>
        <v>GLAXO (5)</v>
      </c>
    </row>
    <row r="1093">
      <c r="H1093" s="5" t="str">
        <f>IFERROR(__xludf.DUMMYFUNCTION("""COMPUTED_VALUE"""),"GLAXO (6)")</f>
        <v>GLAXO (6)</v>
      </c>
    </row>
    <row r="1094">
      <c r="H1094" s="5" t="str">
        <f>IFERROR(__xludf.DUMMYFUNCTION("""COMPUTED_VALUE"""),"GLAXO (7)")</f>
        <v>GLAXO (7)</v>
      </c>
    </row>
    <row r="1095">
      <c r="H1095" s="5" t="str">
        <f>IFERROR(__xludf.DUMMYFUNCTION("""COMPUTED_VALUE"""),"GLAXO (8)")</f>
        <v>GLAXO (8)</v>
      </c>
    </row>
    <row r="1096">
      <c r="H1096" s="5" t="str">
        <f>IFERROR(__xludf.DUMMYFUNCTION("""COMPUTED_VALUE"""),"GLAXO (BEECHEM)")</f>
        <v>GLAXO (BEECHEM)</v>
      </c>
    </row>
    <row r="1097">
      <c r="H1097" s="5" t="str">
        <f>IFERROR(__xludf.DUMMYFUNCTION("""COMPUTED_VALUE"""),"GLAXO (CONSUMER)")</f>
        <v>GLAXO (CONSUMER)</v>
      </c>
    </row>
    <row r="1098">
      <c r="H1098" s="5" t="str">
        <f>IFERROR(__xludf.DUMMYFUNCTION("""COMPUTED_VALUE"""),"GLAXO (CTC)")</f>
        <v>GLAXO (CTC)</v>
      </c>
    </row>
    <row r="1099">
      <c r="H1099" s="5" t="str">
        <f>IFERROR(__xludf.DUMMYFUNCTION("""COMPUTED_VALUE"""),"GLAXO (FORTIOR)")</f>
        <v>GLAXO (FORTIOR)</v>
      </c>
    </row>
    <row r="1100">
      <c r="H1100" s="5" t="str">
        <f>IFERROR(__xludf.DUMMYFUNCTION("""COMPUTED_VALUE"""),"GLAXO (NEUROSCIENCES)")</f>
        <v>GLAXO (NEUROSCIENCES)</v>
      </c>
    </row>
    <row r="1101">
      <c r="H1101" s="5" t="str">
        <f>IFERROR(__xludf.DUMMYFUNCTION("""COMPUTED_VALUE"""),"GLAXO (VACCINE)")</f>
        <v>GLAXO (VACCINE)</v>
      </c>
    </row>
    <row r="1102">
      <c r="H1102" s="5" t="str">
        <f>IFERROR(__xludf.DUMMYFUNCTION("""COMPUTED_VALUE"""),"Glaxo SmithKline Pharmaceuticals Ltd")</f>
        <v>Glaxo SmithKline Pharmaceuticals Ltd</v>
      </c>
    </row>
    <row r="1103">
      <c r="H1103" s="5" t="str">
        <f>IFERROR(__xludf.DUMMYFUNCTION("""COMPUTED_VALUE"""),"GLENMARK (CCD)")</f>
        <v>GLENMARK (CCD)</v>
      </c>
    </row>
    <row r="1104">
      <c r="H1104" s="5" t="str">
        <f>IFERROR(__xludf.DUMMYFUNCTION("""COMPUTED_VALUE"""),"GLENMARK (COSMOCARE)")</f>
        <v>GLENMARK (COSMOCARE)</v>
      </c>
    </row>
    <row r="1105">
      <c r="H1105" s="5" t="str">
        <f>IFERROR(__xludf.DUMMYFUNCTION("""COMPUTED_VALUE"""),"GLENMARK (CRITICAL CARE)")</f>
        <v>GLENMARK (CRITICAL CARE)</v>
      </c>
    </row>
    <row r="1106">
      <c r="H1106" s="5" t="str">
        <f>IFERROR(__xludf.DUMMYFUNCTION("""COMPUTED_VALUE"""),"GLENMARK (CV)")</f>
        <v>GLENMARK (CV)</v>
      </c>
    </row>
    <row r="1107">
      <c r="H1107" s="5" t="str">
        <f>IFERROR(__xludf.DUMMYFUNCTION("""COMPUTED_VALUE"""),"GLENMARK (DERMAX)")</f>
        <v>GLENMARK (DERMAX)</v>
      </c>
    </row>
    <row r="1108">
      <c r="H1108" s="5" t="str">
        <f>IFERROR(__xludf.DUMMYFUNCTION("""COMPUTED_VALUE"""),"GLENMARK (G&amp;G)")</f>
        <v>GLENMARK (G&amp;G)</v>
      </c>
    </row>
    <row r="1109">
      <c r="H1109" s="5" t="str">
        <f>IFERROR(__xludf.DUMMYFUNCTION("""COMPUTED_VALUE"""),"GLENMARK (GRACEWELL-SPECIALITIY)")</f>
        <v>GLENMARK (GRACEWELL-SPECIALITIY)</v>
      </c>
    </row>
    <row r="1110">
      <c r="H1110" s="5" t="str">
        <f>IFERROR(__xludf.DUMMYFUNCTION("""COMPUTED_VALUE"""),"GLENMARK (GRACEWELL)")</f>
        <v>GLENMARK (GRACEWELL)</v>
      </c>
    </row>
    <row r="1111">
      <c r="H1111" s="5" t="str">
        <f>IFERROR(__xludf.DUMMYFUNCTION("""COMPUTED_VALUE"""),"GLENMARK (HEALTHEON)")</f>
        <v>GLENMARK (HEALTHEON)</v>
      </c>
    </row>
    <row r="1112">
      <c r="H1112" s="5" t="str">
        <f>IFERROR(__xludf.DUMMYFUNCTION("""COMPUTED_VALUE"""),"GLENMARK (INTIGRACE)")</f>
        <v>GLENMARK (INTIGRACE)</v>
      </c>
    </row>
    <row r="1113">
      <c r="H1113" s="5" t="str">
        <f>IFERROR(__xludf.DUMMYFUNCTION("""COMPUTED_VALUE"""),"GLENMARK (MAGESTA)")</f>
        <v>GLENMARK (MAGESTA)</v>
      </c>
    </row>
    <row r="1114">
      <c r="H1114" s="5" t="str">
        <f>IFERROR(__xludf.DUMMYFUNCTION("""COMPUTED_VALUE"""),"GLENMARK (MILLIOUS)")</f>
        <v>GLENMARK (MILLIOUS)</v>
      </c>
    </row>
    <row r="1115">
      <c r="H1115" s="5" t="str">
        <f>IFERROR(__xludf.DUMMYFUNCTION("""COMPUTED_VALUE"""),"GLENMARK (PHARMA)")</f>
        <v>GLENMARK (PHARMA)</v>
      </c>
    </row>
    <row r="1116">
      <c r="H1116" s="5" t="str">
        <f>IFERROR(__xludf.DUMMYFUNCTION("""COMPUTED_VALUE"""),"GLENMARK (RESPICARE)")</f>
        <v>GLENMARK (RESPICARE)</v>
      </c>
    </row>
    <row r="1117">
      <c r="H1117" s="5" t="str">
        <f>IFERROR(__xludf.DUMMYFUNCTION("""COMPUTED_VALUE"""),"GLENMARK (RESPIRATORY)")</f>
        <v>GLENMARK (RESPIRATORY)</v>
      </c>
    </row>
    <row r="1118">
      <c r="H1118" s="5" t="str">
        <f>IFERROR(__xludf.DUMMYFUNCTION("""COMPUTED_VALUE"""),"GLENMARK (SKINNORA)")</f>
        <v>GLENMARK (SKINNORA)</v>
      </c>
    </row>
    <row r="1119">
      <c r="H1119" s="5" t="str">
        <f>IFERROR(__xludf.DUMMYFUNCTION("""COMPUTED_VALUE"""),"GLENMARK (ZOLTAN CARE)")</f>
        <v>GLENMARK (ZOLTAN CARE)</v>
      </c>
    </row>
    <row r="1120">
      <c r="H1120" s="5" t="str">
        <f>IFERROR(__xludf.DUMMYFUNCTION("""COMPUTED_VALUE"""),"GLENMARK (ZOLTAN)")</f>
        <v>GLENMARK (ZOLTAN)</v>
      </c>
    </row>
    <row r="1121">
      <c r="H1121" s="5" t="str">
        <f>IFERROR(__xludf.DUMMYFUNCTION("""COMPUTED_VALUE"""),"Glenmark Pharmaceuticals Ltd")</f>
        <v>Glenmark Pharmaceuticals Ltd</v>
      </c>
    </row>
    <row r="1122">
      <c r="H1122" s="5" t="str">
        <f>IFERROR(__xludf.DUMMYFUNCTION("""COMPUTED_VALUE"""),"Glenmark Pharmaceuticals Ltd (GENERIC)")</f>
        <v>Glenmark Pharmaceuticals Ltd (GENERIC)</v>
      </c>
    </row>
    <row r="1123">
      <c r="H1123" s="5" t="str">
        <f>IFERROR(__xludf.DUMMYFUNCTION("""COMPUTED_VALUE"""),"Glenmark Pharmaceuticals Ltd (SPECIALITY)")</f>
        <v>Glenmark Pharmaceuticals Ltd (SPECIALITY)</v>
      </c>
    </row>
    <row r="1124">
      <c r="H1124" s="5" t="str">
        <f>IFERROR(__xludf.DUMMYFUNCTION("""COMPUTED_VALUE"""),"GLISTER PHARMACEUTICALS")</f>
        <v>GLISTER PHARMACEUTICALS</v>
      </c>
    </row>
    <row r="1125">
      <c r="H1125" s="5" t="str">
        <f>IFERROR(__xludf.DUMMYFUNCTION("""COMPUTED_VALUE"""),"GLOBAL PHARMAHERB CARE")</f>
        <v>GLOBAL PHARMAHERB CARE</v>
      </c>
    </row>
    <row r="1126">
      <c r="H1126" s="5" t="str">
        <f>IFERROR(__xludf.DUMMYFUNCTION("""COMPUTED_VALUE"""),"GLOBIN PHARMACEUTICALS P LTD")</f>
        <v>GLOBIN PHARMACEUTICALS P LTD</v>
      </c>
    </row>
    <row r="1127">
      <c r="H1127" s="5" t="str">
        <f>IFERROR(__xludf.DUMMYFUNCTION("""COMPUTED_VALUE"""),"GLORIOUS HEATHCAR")</f>
        <v>GLORIOUS HEATHCAR</v>
      </c>
    </row>
    <row r="1128">
      <c r="H1128" s="5" t="str">
        <f>IFERROR(__xludf.DUMMYFUNCTION("""COMPUTED_VALUE"""),"Glow")</f>
        <v>Glow</v>
      </c>
    </row>
    <row r="1129">
      <c r="H1129" s="5" t="str">
        <f>IFERROR(__xludf.DUMMYFUNCTION("""COMPUTED_VALUE"""),"Glowderma Labs Pvt Ltd")</f>
        <v>Glowderma Labs Pvt Ltd</v>
      </c>
    </row>
    <row r="1130">
      <c r="H1130" s="5" t="str">
        <f>IFERROR(__xludf.DUMMYFUNCTION("""COMPUTED_VALUE"""),"GLS PHARMA")</f>
        <v>GLS PHARMA</v>
      </c>
    </row>
    <row r="1131">
      <c r="H1131" s="5" t="str">
        <f>IFERROR(__xludf.DUMMYFUNCTION("""COMPUTED_VALUE"""),"Gluconate Health Ltd")</f>
        <v>Gluconate Health Ltd</v>
      </c>
    </row>
    <row r="1132">
      <c r="H1132" s="5" t="str">
        <f>IFERROR(__xludf.DUMMYFUNCTION("""COMPUTED_VALUE"""),"GLUE BIOTECH")</f>
        <v>GLUE BIOTECH</v>
      </c>
    </row>
    <row r="1133">
      <c r="H1133" s="5" t="str">
        <f>IFERROR(__xludf.DUMMYFUNCTION("""COMPUTED_VALUE"""),"Glyco Remedies")</f>
        <v>Glyco Remedies</v>
      </c>
    </row>
    <row r="1134">
      <c r="H1134" s="5" t="str">
        <f>IFERROR(__xludf.DUMMYFUNCTION("""COMPUTED_VALUE"""),"GMH LABORATORIES")</f>
        <v>GMH LABORATORIES</v>
      </c>
    </row>
    <row r="1135">
      <c r="H1135" s="5" t="str">
        <f>IFERROR(__xludf.DUMMYFUNCTION("""COMPUTED_VALUE"""),"GNESIS ORGANICS")</f>
        <v>GNESIS ORGANICS</v>
      </c>
    </row>
    <row r="1136">
      <c r="H1136" s="5" t="str">
        <f>IFERROR(__xludf.DUMMYFUNCTION("""COMPUTED_VALUE"""),"Gnext Lab Pvt Ltd")</f>
        <v>Gnext Lab Pvt Ltd</v>
      </c>
    </row>
    <row r="1137">
      <c r="H1137" s="5" t="str">
        <f>IFERROR(__xludf.DUMMYFUNCTION("""COMPUTED_VALUE"""),"GNOVA BIOTECH")</f>
        <v>GNOVA BIOTECH</v>
      </c>
    </row>
    <row r="1138">
      <c r="H1138" s="5" t="str">
        <f>IFERROR(__xludf.DUMMYFUNCTION("""COMPUTED_VALUE"""),"GO-ISH REMEDIES LTD SOLAN")</f>
        <v>GO-ISH REMEDIES LTD SOLAN</v>
      </c>
    </row>
    <row r="1139">
      <c r="H1139" s="5" t="str">
        <f>IFERROR(__xludf.DUMMYFUNCTION("""COMPUTED_VALUE"""),"Goddres Pharmaceuticals")</f>
        <v>Goddres Pharmaceuticals</v>
      </c>
    </row>
    <row r="1140">
      <c r="H1140" s="5" t="str">
        <f>IFERROR(__xludf.DUMMYFUNCTION("""COMPUTED_VALUE"""),"Gold Line")</f>
        <v>Gold Line</v>
      </c>
    </row>
    <row r="1141">
      <c r="H1141" s="5" t="str">
        <f>IFERROR(__xludf.DUMMYFUNCTION("""COMPUTED_VALUE"""),"GOMTESH LABORATORIES")</f>
        <v>GOMTESH LABORATORIES</v>
      </c>
    </row>
    <row r="1142">
      <c r="H1142" s="5" t="str">
        <f>IFERROR(__xludf.DUMMYFUNCTION("""COMPUTED_VALUE"""),"GOOD HEALTH PVT LTD")</f>
        <v>GOOD HEALTH PVT LTD</v>
      </c>
    </row>
    <row r="1143">
      <c r="H1143" s="5" t="str">
        <f>IFERROR(__xludf.DUMMYFUNCTION("""COMPUTED_VALUE"""),"GOOD HEALTH PVT LTD")</f>
        <v>GOOD HEALTH PVT LTD</v>
      </c>
    </row>
    <row r="1144">
      <c r="H1144" s="5" t="str">
        <f>IFERROR(__xludf.DUMMYFUNCTION("""COMPUTED_VALUE"""),"GOPISH PHARMA LTD")</f>
        <v>GOPISH PHARMA LTD</v>
      </c>
    </row>
    <row r="1145">
      <c r="H1145" s="5" t="str">
        <f>IFERROR(__xludf.DUMMYFUNCTION("""COMPUTED_VALUE"""),"GPP PVT LTD")</f>
        <v>GPP PVT LTD</v>
      </c>
    </row>
    <row r="1146">
      <c r="H1146" s="5" t="str">
        <f>IFERROR(__xludf.DUMMYFUNCTION("""COMPUTED_VALUE"""),"GRACEDERMA HELATHCARE")</f>
        <v>GRACEDERMA HELATHCARE</v>
      </c>
    </row>
    <row r="1147">
      <c r="H1147" s="5" t="str">
        <f>IFERROR(__xludf.DUMMYFUNCTION("""COMPUTED_VALUE"""),"GRACEWELL HEALTHCARE")</f>
        <v>GRACEWELL HEALTHCARE</v>
      </c>
    </row>
    <row r="1148">
      <c r="H1148" s="5" t="str">
        <f>IFERROR(__xludf.DUMMYFUNCTION("""COMPUTED_VALUE"""),"GRAF Laboratories Pvt Ltd")</f>
        <v>GRAF Laboratories Pvt Ltd</v>
      </c>
    </row>
    <row r="1149">
      <c r="H1149" s="5" t="str">
        <f>IFERROR(__xludf.DUMMYFUNCTION("""COMPUTED_VALUE"""),"GRANDIX PHARMACEUTICAL")</f>
        <v>GRANDIX PHARMACEUTICAL</v>
      </c>
    </row>
    <row r="1150">
      <c r="H1150" s="5" t="str">
        <f>IFERROR(__xludf.DUMMYFUNCTION("""COMPUTED_VALUE"""),"GRAPSUM HEALTHCARE P LTD")</f>
        <v>GRAPSUM HEALTHCARE P LTD</v>
      </c>
    </row>
    <row r="1151">
      <c r="H1151" s="5" t="str">
        <f>IFERROR(__xludf.DUMMYFUNCTION("""COMPUTED_VALUE"""),"GRIFCON LIFE SCIENCES")</f>
        <v>GRIFCON LIFE SCIENCES</v>
      </c>
    </row>
    <row r="1152">
      <c r="H1152" s="5" t="str">
        <f>IFERROR(__xludf.DUMMYFUNCTION("""COMPUTED_VALUE"""),"GRINOLIFE CARE P LTD")</f>
        <v>GRINOLIFE CARE P LTD</v>
      </c>
    </row>
    <row r="1153">
      <c r="H1153" s="5" t="str">
        <f>IFERROR(__xludf.DUMMYFUNCTION("""COMPUTED_VALUE"""),"GRL GYNEXT")</f>
        <v>GRL GYNEXT</v>
      </c>
    </row>
    <row r="1154">
      <c r="H1154" s="5" t="str">
        <f>IFERROR(__xludf.DUMMYFUNCTION("""COMPUTED_VALUE"""),"GROUP PHARMA (DENTAL CARE)")</f>
        <v>GROUP PHARMA (DENTAL CARE)</v>
      </c>
    </row>
    <row r="1155">
      <c r="H1155" s="5" t="str">
        <f>IFERROR(__xludf.DUMMYFUNCTION("""COMPUTED_VALUE"""),"GROUP PHARMA (HEALTHCARE)")</f>
        <v>GROUP PHARMA (HEALTHCARE)</v>
      </c>
    </row>
    <row r="1156">
      <c r="H1156" s="5" t="str">
        <f>IFERROR(__xludf.DUMMYFUNCTION("""COMPUTED_VALUE"""),"Group Pharmaceuticals Ltd")</f>
        <v>Group Pharmaceuticals Ltd</v>
      </c>
    </row>
    <row r="1157">
      <c r="H1157" s="5" t="str">
        <f>IFERROR(__xludf.DUMMYFUNCTION("""COMPUTED_VALUE"""),"GROWELL VISION")</f>
        <v>GROWELL VISION</v>
      </c>
    </row>
    <row r="1158">
      <c r="H1158" s="5" t="str">
        <f>IFERROR(__xludf.DUMMYFUNCTION("""COMPUTED_VALUE"""),"GUFIC (CRITICARE)")</f>
        <v>GUFIC (CRITICARE)</v>
      </c>
    </row>
    <row r="1159">
      <c r="H1159" s="5" t="str">
        <f>IFERROR(__xludf.DUMMYFUNCTION("""COMPUTED_VALUE"""),"Gufic Bioscience Ltd")</f>
        <v>Gufic Bioscience Ltd</v>
      </c>
    </row>
    <row r="1160">
      <c r="H1160" s="5" t="str">
        <f>IFERROR(__xludf.DUMMYFUNCTION("""COMPUTED_VALUE"""),"GUJARAT LIQUI PHARMACAPS")</f>
        <v>GUJARAT LIQUI PHARMACAPS</v>
      </c>
    </row>
    <row r="1161">
      <c r="H1161" s="5" t="str">
        <f>IFERROR(__xludf.DUMMYFUNCTION("""COMPUTED_VALUE"""),"GUJARAT PHARMALAB PVT LTD")</f>
        <v>GUJARAT PHARMALAB PVT LTD</v>
      </c>
    </row>
    <row r="1162">
      <c r="H1162" s="5" t="str">
        <f>IFERROR(__xludf.DUMMYFUNCTION("""COMPUTED_VALUE"""),"Gujarat Terce Laboratories Ltd")</f>
        <v>Gujarat Terce Laboratories Ltd</v>
      </c>
    </row>
    <row r="1163">
      <c r="H1163" s="5" t="str">
        <f>IFERROR(__xludf.DUMMYFUNCTION("""COMPUTED_VALUE"""),"GURUKRIPA CONSUMER CARE")</f>
        <v>GURUKRIPA CONSUMER CARE</v>
      </c>
    </row>
    <row r="1164">
      <c r="H1164" s="5" t="str">
        <f>IFERROR(__xludf.DUMMYFUNCTION("""COMPUTED_VALUE"""),"GURUKUL KANGDI PHARMACY")</f>
        <v>GURUKUL KANGDI PHARMACY</v>
      </c>
    </row>
    <row r="1165">
      <c r="H1165" s="5" t="str">
        <f>IFERROR(__xludf.DUMMYFUNCTION("""COMPUTED_VALUE"""),"GYMEX PHARMACEUTICALS")</f>
        <v>GYMEX PHARMACEUTICALS</v>
      </c>
    </row>
    <row r="1166">
      <c r="H1166" s="5" t="str">
        <f>IFERROR(__xludf.DUMMYFUNCTION("""COMPUTED_VALUE"""),"GYNOFEM HEALTHCARE (CAREON)")</f>
        <v>GYNOFEM HEALTHCARE (CAREON)</v>
      </c>
    </row>
    <row r="1167">
      <c r="H1167" s="5" t="str">
        <f>IFERROR(__xludf.DUMMYFUNCTION("""COMPUTED_VALUE"""),"GYNOFEM HEALTHCARE PVT LTD")</f>
        <v>GYNOFEM HEALTHCARE PVT LTD</v>
      </c>
    </row>
    <row r="1168">
      <c r="H1168" s="5" t="str">
        <f>IFERROR(__xludf.DUMMYFUNCTION("""COMPUTED_VALUE"""),"GYNORAMA HEALTHCARE PVT LTD")</f>
        <v>GYNORAMA HEALTHCARE PVT LTD</v>
      </c>
    </row>
    <row r="1169">
      <c r="H1169" s="5" t="str">
        <f>IFERROR(__xludf.DUMMYFUNCTION("""COMPUTED_VALUE"""),"H&amp;B")</f>
        <v>H&amp;B</v>
      </c>
    </row>
    <row r="1170">
      <c r="H1170" s="5" t="str">
        <f>IFERROR(__xludf.DUMMYFUNCTION("""COMPUTED_VALUE"""),"H&amp;H (Hegde and Hegde) (COSMECEUTICAL)")</f>
        <v>H&amp;H (Hegde and Hegde) (COSMECEUTICAL)</v>
      </c>
    </row>
    <row r="1171">
      <c r="H1171" s="5" t="str">
        <f>IFERROR(__xludf.DUMMYFUNCTION("""COMPUTED_VALUE"""),"H&amp;H (Hegde and Hegde) (DERMATOLOGY)")</f>
        <v>H&amp;H (Hegde and Hegde) (DERMATOLOGY)</v>
      </c>
    </row>
    <row r="1172">
      <c r="H1172" s="5" t="str">
        <f>IFERROR(__xludf.DUMMYFUNCTION("""COMPUTED_VALUE"""),"H&amp;H (Hegde and Hegde) (Pharmaceutical)")</f>
        <v>H&amp;H (Hegde and Hegde) (Pharmaceutical)</v>
      </c>
    </row>
    <row r="1173">
      <c r="H1173" s="5" t="str">
        <f>IFERROR(__xludf.DUMMYFUNCTION("""COMPUTED_VALUE"""),"H&amp;H (Hegde and Hegde) (WELLNESS)")</f>
        <v>H&amp;H (Hegde and Hegde) (WELLNESS)</v>
      </c>
    </row>
    <row r="1174">
      <c r="H1174" s="5" t="str">
        <f>IFERROR(__xludf.DUMMYFUNCTION("""COMPUTED_VALUE"""),"Hacks &amp; Slacks Healthcare")</f>
        <v>Hacks &amp; Slacks Healthcare</v>
      </c>
    </row>
    <row r="1175">
      <c r="H1175" s="5" t="str">
        <f>IFERROR(__xludf.DUMMYFUNCTION("""COMPUTED_VALUE"""),"HAITH PHARMACEUTICALS")</f>
        <v>HAITH PHARMACEUTICALS</v>
      </c>
    </row>
    <row r="1176">
      <c r="H1176" s="5" t="str">
        <f>IFERROR(__xludf.DUMMYFUNCTION("""COMPUTED_VALUE"""),"HALEDEW REMEDIES")</f>
        <v>HALEDEW REMEDIES</v>
      </c>
    </row>
    <row r="1177">
      <c r="H1177" s="5" t="str">
        <f>IFERROR(__xludf.DUMMYFUNCTION("""COMPUTED_VALUE"""),"HALEWOOD LABORATORIES PVT LTD")</f>
        <v>HALEWOOD LABORATORIES PVT LTD</v>
      </c>
    </row>
    <row r="1178">
      <c r="H1178" s="5" t="str">
        <f>IFERROR(__xludf.DUMMYFUNCTION("""COMPUTED_VALUE"""),"Hamdard Laboratories India")</f>
        <v>Hamdard Laboratories India</v>
      </c>
    </row>
    <row r="1179">
      <c r="H1179" s="5" t="str">
        <f>IFERROR(__xludf.DUMMYFUNCTION("""COMPUTED_VALUE"""),"HANNOR PHARMA PVT LTD")</f>
        <v>HANNOR PHARMA PVT LTD</v>
      </c>
    </row>
    <row r="1180">
      <c r="H1180" s="5" t="str">
        <f>IFERROR(__xludf.DUMMYFUNCTION("""COMPUTED_VALUE"""),"HANS CHEMICALS")</f>
        <v>HANS CHEMICALS</v>
      </c>
    </row>
    <row r="1181">
      <c r="H1181" s="5" t="str">
        <f>IFERROR(__xludf.DUMMYFUNCTION("""COMPUTED_VALUE"""),"HAPDCO")</f>
        <v>HAPDCO</v>
      </c>
    </row>
    <row r="1182">
      <c r="H1182" s="5" t="str">
        <f>IFERROR(__xludf.DUMMYFUNCTION("""COMPUTED_VALUE"""),"HAPPY PHARMA")</f>
        <v>HAPPY PHARMA</v>
      </c>
    </row>
    <row r="1183">
      <c r="H1183" s="5" t="str">
        <f>IFERROR(__xludf.DUMMYFUNCTION("""COMPUTED_VALUE"""),"HARBANSHRAM BHAGWANDAS")</f>
        <v>HARBANSHRAM BHAGWANDAS</v>
      </c>
    </row>
    <row r="1184">
      <c r="H1184" s="5" t="str">
        <f>IFERROR(__xludf.DUMMYFUNCTION("""COMPUTED_VALUE"""),"HARMATTAN LIFE SCIENCE")</f>
        <v>HARMATTAN LIFE SCIENCE</v>
      </c>
    </row>
    <row r="1185">
      <c r="H1185" s="5" t="str">
        <f>IFERROR(__xludf.DUMMYFUNCTION("""COMPUTED_VALUE"""),"HARMONY PHARMA (GYN)")</f>
        <v>HARMONY PHARMA (GYN)</v>
      </c>
    </row>
    <row r="1186">
      <c r="H1186" s="5" t="str">
        <f>IFERROR(__xludf.DUMMYFUNCTION("""COMPUTED_VALUE"""),"HARSH AYURVED BHAVAN")</f>
        <v>HARSH AYURVED BHAVAN</v>
      </c>
    </row>
    <row r="1187">
      <c r="H1187" s="5" t="str">
        <f>IFERROR(__xludf.DUMMYFUNCTION("""COMPUTED_VALUE"""),"HARSON LABORATORIES P LTD")</f>
        <v>HARSON LABORATORIES P LTD</v>
      </c>
    </row>
    <row r="1188">
      <c r="H1188" s="5" t="str">
        <f>IFERROR(__xludf.DUMMYFUNCTION("""COMPUTED_VALUE"""),"HAUZ PHARMA P LTD")</f>
        <v>HAUZ PHARMA P LTD</v>
      </c>
    </row>
    <row r="1189">
      <c r="H1189" s="5" t="str">
        <f>IFERROR(__xludf.DUMMYFUNCTION("""COMPUTED_VALUE"""),"HAWABAN HARDE DEPOT")</f>
        <v>HAWABAN HARDE DEPOT</v>
      </c>
    </row>
    <row r="1190">
      <c r="H1190" s="5" t="str">
        <f>IFERROR(__xludf.DUMMYFUNCTION("""COMPUTED_VALUE"""),"HBC (ATRIA)")</f>
        <v>HBC (ATRIA)</v>
      </c>
    </row>
    <row r="1191">
      <c r="H1191" s="5" t="str">
        <f>IFERROR(__xludf.DUMMYFUNCTION("""COMPUTED_VALUE"""),"HBC (CARDIO)")</f>
        <v>HBC (CARDIO)</v>
      </c>
    </row>
    <row r="1192">
      <c r="H1192" s="5" t="str">
        <f>IFERROR(__xludf.DUMMYFUNCTION("""COMPUTED_VALUE"""),"HBC (DERMA)")</f>
        <v>HBC (DERMA)</v>
      </c>
    </row>
    <row r="1193">
      <c r="H1193" s="5" t="str">
        <f>IFERROR(__xludf.DUMMYFUNCTION("""COMPUTED_VALUE"""),"HBC (QURA)")</f>
        <v>HBC (QURA)</v>
      </c>
    </row>
    <row r="1194">
      <c r="H1194" s="5" t="str">
        <f>IFERROR(__xludf.DUMMYFUNCTION("""COMPUTED_VALUE"""),"HBC Lifesciences Pvt Ltd")</f>
        <v>HBC Lifesciences Pvt Ltd</v>
      </c>
    </row>
    <row r="1195">
      <c r="H1195" s="5" t="str">
        <f>IFERROR(__xludf.DUMMYFUNCTION("""COMPUTED_VALUE"""),"HEAL ALL PHARMACETICALS")</f>
        <v>HEAL ALL PHARMACETICALS</v>
      </c>
    </row>
    <row r="1196">
      <c r="H1196" s="5" t="str">
        <f>IFERROR(__xludf.DUMMYFUNCTION("""COMPUTED_VALUE"""),"Heal India Laboratories")</f>
        <v>Heal India Laboratories</v>
      </c>
    </row>
    <row r="1197">
      <c r="H1197" s="5" t="str">
        <f>IFERROR(__xludf.DUMMYFUNCTION("""COMPUTED_VALUE"""),"HEALING PHARMA INDIA PVT LTD")</f>
        <v>HEALING PHARMA INDIA PVT LTD</v>
      </c>
    </row>
    <row r="1198">
      <c r="H1198" s="5" t="str">
        <f>IFERROR(__xludf.DUMMYFUNCTION("""COMPUTED_VALUE"""),"HEALTH BIOLOGICS")</f>
        <v>HEALTH BIOLOGICS</v>
      </c>
    </row>
    <row r="1199">
      <c r="H1199" s="5" t="str">
        <f>IFERROR(__xludf.DUMMYFUNCTION("""COMPUTED_VALUE"""),"Health Biomed Pharma")</f>
        <v>Health Biomed Pharma</v>
      </c>
    </row>
    <row r="1200">
      <c r="H1200" s="5" t="str">
        <f>IFERROR(__xludf.DUMMYFUNCTION("""COMPUTED_VALUE"""),"HEALTH BIOTECH")</f>
        <v>HEALTH BIOTECH</v>
      </c>
    </row>
    <row r="1201">
      <c r="H1201" s="5" t="str">
        <f>IFERROR(__xludf.DUMMYFUNCTION("""COMPUTED_VALUE"""),"Health Biotech Pvt Ltd")</f>
        <v>Health Biotech Pvt Ltd</v>
      </c>
    </row>
    <row r="1202">
      <c r="H1202" s="5" t="str">
        <f>IFERROR(__xludf.DUMMYFUNCTION("""COMPUTED_VALUE"""),"Health Care Formulations Pvt Ltd")</f>
        <v>Health Care Formulations Pvt Ltd</v>
      </c>
    </row>
    <row r="1203">
      <c r="H1203" s="5" t="str">
        <f>IFERROR(__xludf.DUMMYFUNCTION("""COMPUTED_VALUE"""),"Health Care Formulations Pvt. Ltd.")</f>
        <v>Health Care Formulations Pvt. Ltd.</v>
      </c>
    </row>
    <row r="1204">
      <c r="H1204" s="5" t="str">
        <f>IFERROR(__xludf.DUMMYFUNCTION("""COMPUTED_VALUE"""),"Health Guard (I) Pvt. Ltd.")</f>
        <v>Health Guard (I) Pvt. Ltd.</v>
      </c>
    </row>
    <row r="1205">
      <c r="H1205" s="5" t="str">
        <f>IFERROR(__xludf.DUMMYFUNCTION("""COMPUTED_VALUE"""),"HEALTH N U THERAPEUTICS PVT LTD")</f>
        <v>HEALTH N U THERAPEUTICS PVT LTD</v>
      </c>
    </row>
    <row r="1206">
      <c r="H1206" s="5" t="str">
        <f>IFERROR(__xludf.DUMMYFUNCTION("""COMPUTED_VALUE"""),"Health Plan")</f>
        <v>Health Plan</v>
      </c>
    </row>
    <row r="1207">
      <c r="H1207" s="5" t="str">
        <f>IFERROR(__xludf.DUMMYFUNCTION("""COMPUTED_VALUE"""),"HEALTHCARE HERBAL")</f>
        <v>HEALTHCARE HERBAL</v>
      </c>
    </row>
    <row r="1208">
      <c r="H1208" s="5" t="str">
        <f>IFERROR(__xludf.DUMMYFUNCTION("""COMPUTED_VALUE"""),"Healthkind Labs Pvt. Ltd.")</f>
        <v>Healthkind Labs Pvt. Ltd.</v>
      </c>
    </row>
    <row r="1209">
      <c r="H1209" s="5" t="str">
        <f>IFERROR(__xludf.DUMMYFUNCTION("""COMPUTED_VALUE"""),"HEILMITTEL PHARMA")</f>
        <v>HEILMITTEL PHARMA</v>
      </c>
    </row>
    <row r="1210">
      <c r="H1210" s="5" t="str">
        <f>IFERROR(__xludf.DUMMYFUNCTION("""COMPUTED_VALUE"""),"Heinz India Pvt Ltd")</f>
        <v>Heinz India Pvt Ltd</v>
      </c>
    </row>
    <row r="1211">
      <c r="H1211" s="5" t="str">
        <f>IFERROR(__xludf.DUMMYFUNCTION("""COMPUTED_VALUE"""),"HELAX HEALTHCARE P LTD")</f>
        <v>HELAX HEALTHCARE P LTD</v>
      </c>
    </row>
    <row r="1212">
      <c r="H1212" s="5" t="str">
        <f>IFERROR(__xludf.DUMMYFUNCTION("""COMPUTED_VALUE"""),"HELBREDE HEALTHCARE LTD")</f>
        <v>HELBREDE HEALTHCARE LTD</v>
      </c>
    </row>
    <row r="1213">
      <c r="H1213" s="5" t="str">
        <f>IFERROR(__xludf.DUMMYFUNCTION("""COMPUTED_VALUE"""),"HELIK PHARMACEUTICAL")</f>
        <v>HELIK PHARMACEUTICAL</v>
      </c>
    </row>
    <row r="1214">
      <c r="H1214" s="5" t="str">
        <f>IFERROR(__xludf.DUMMYFUNCTION("""COMPUTED_VALUE"""),"Helios Pharmaceuticals (GENERIC)")</f>
        <v>Helios Pharmaceuticals (GENERIC)</v>
      </c>
    </row>
    <row r="1215">
      <c r="H1215" s="5" t="str">
        <f>IFERROR(__xludf.DUMMYFUNCTION("""COMPUTED_VALUE"""),"HELLOBABY PVT LTD")</f>
        <v>HELLOBABY PVT LTD</v>
      </c>
    </row>
    <row r="1216">
      <c r="H1216" s="5" t="str">
        <f>IFERROR(__xludf.DUMMYFUNCTION("""COMPUTED_VALUE"""),"HEMRUS THEREPATICS PVT LTD")</f>
        <v>HEMRUS THEREPATICS PVT LTD</v>
      </c>
    </row>
    <row r="1217">
      <c r="H1217" s="5" t="str">
        <f>IFERROR(__xludf.DUMMYFUNCTION("""COMPUTED_VALUE"""),"HEPTAGON LIFESCIENCES PVT LTD")</f>
        <v>HEPTAGON LIFESCIENCES PVT LTD</v>
      </c>
    </row>
    <row r="1218">
      <c r="H1218" s="5" t="str">
        <f>IFERROR(__xludf.DUMMYFUNCTION("""COMPUTED_VALUE"""),"HERB EDGE HEALTH CARE PVT LTD")</f>
        <v>HERB EDGE HEALTH CARE PVT LTD</v>
      </c>
    </row>
    <row r="1219">
      <c r="H1219" s="5" t="str">
        <f>IFERROR(__xludf.DUMMYFUNCTION("""COMPUTED_VALUE"""),"HERBAL AYURVEDA &amp; RESEARCH CENTRE")</f>
        <v>HERBAL AYURVEDA &amp; RESEARCH CENTRE</v>
      </c>
    </row>
    <row r="1220">
      <c r="H1220" s="5" t="str">
        <f>IFERROR(__xludf.DUMMYFUNCTION("""COMPUTED_VALUE"""),"HERBAL GANGA")</f>
        <v>HERBAL GANGA</v>
      </c>
    </row>
    <row r="1221">
      <c r="H1221" s="5" t="str">
        <f>IFERROR(__xludf.DUMMYFUNCTION("""COMPUTED_VALUE"""),"HERBO CHEM")</f>
        <v>HERBO CHEM</v>
      </c>
    </row>
    <row r="1222">
      <c r="H1222" s="5" t="str">
        <f>IFERROR(__xludf.DUMMYFUNCTION("""COMPUTED_VALUE"""),"HERTZ BIOTECH")</f>
        <v>HERTZ BIOTECH</v>
      </c>
    </row>
    <row r="1223">
      <c r="H1223" s="5" t="str">
        <f>IFERROR(__xludf.DUMMYFUNCTION("""COMPUTED_VALUE"""),"Hetero Drugs Ltd")</f>
        <v>Hetero Drugs Ltd</v>
      </c>
    </row>
    <row r="1224">
      <c r="H1224" s="5" t="str">
        <f>IFERROR(__xludf.DUMMYFUNCTION("""COMPUTED_VALUE"""),"Hetero Drugs Ltd (DIASPA)")</f>
        <v>Hetero Drugs Ltd (DIASPA)</v>
      </c>
    </row>
    <row r="1225">
      <c r="H1225" s="5" t="str">
        <f>IFERROR(__xludf.DUMMYFUNCTION("""COMPUTED_VALUE"""),"Hetero Drugs Ltd (GENIX -HIV)")</f>
        <v>Hetero Drugs Ltd (GENIX -HIV)</v>
      </c>
    </row>
    <row r="1226">
      <c r="H1226" s="5" t="str">
        <f>IFERROR(__xludf.DUMMYFUNCTION("""COMPUTED_VALUE"""),"Hetero Drugs Ltd (GENIX)")</f>
        <v>Hetero Drugs Ltd (GENIX)</v>
      </c>
    </row>
    <row r="1227">
      <c r="H1227" s="5" t="str">
        <f>IFERROR(__xludf.DUMMYFUNCTION("""COMPUTED_VALUE"""),"Hetero Drugs Ltd (KRIS)")</f>
        <v>Hetero Drugs Ltd (KRIS)</v>
      </c>
    </row>
    <row r="1228">
      <c r="H1228" s="5" t="str">
        <f>IFERROR(__xludf.DUMMYFUNCTION("""COMPUTED_VALUE"""),"Hetero Drugs Ltd (MAIN)")</f>
        <v>Hetero Drugs Ltd (MAIN)</v>
      </c>
    </row>
    <row r="1229">
      <c r="H1229" s="5" t="str">
        <f>IFERROR(__xludf.DUMMYFUNCTION("""COMPUTED_VALUE"""),"Hetero Drugs Ltd (NEURO)")</f>
        <v>Hetero Drugs Ltd (NEURO)</v>
      </c>
    </row>
    <row r="1230">
      <c r="H1230" s="5" t="str">
        <f>IFERROR(__xludf.DUMMYFUNCTION("""COMPUTED_VALUE"""),"Hetero Drugs Ltd (SPECIALITY)")</f>
        <v>Hetero Drugs Ltd (SPECIALITY)</v>
      </c>
    </row>
    <row r="1231">
      <c r="H1231" s="5" t="str">
        <f>IFERROR(__xludf.DUMMYFUNCTION("""COMPUTED_VALUE"""),"Hetero Drugs Ltd (VIROLOGY)")</f>
        <v>Hetero Drugs Ltd (VIROLOGY)</v>
      </c>
    </row>
    <row r="1232">
      <c r="H1232" s="5" t="str">
        <f>IFERROR(__xludf.DUMMYFUNCTION("""COMPUTED_VALUE"""),"HETRO (FRENZA)")</f>
        <v>HETRO (FRENZA)</v>
      </c>
    </row>
    <row r="1233">
      <c r="H1233" s="5" t="str">
        <f>IFERROR(__xludf.DUMMYFUNCTION("""COMPUTED_VALUE"""),"HEXAGON NUTRITION")</f>
        <v>HEXAGON NUTRITION</v>
      </c>
    </row>
    <row r="1234">
      <c r="H1234" s="5" t="str">
        <f>IFERROR(__xludf.DUMMYFUNCTION("""COMPUTED_VALUE"""),"Hexagon Nutrition Pvt Ltd")</f>
        <v>Hexagon Nutrition Pvt Ltd</v>
      </c>
    </row>
    <row r="1235">
      <c r="H1235" s="5" t="str">
        <f>IFERROR(__xludf.DUMMYFUNCTION("""COMPUTED_VALUE"""),"Hi Tech Pharmaceuticals Pvt Ltd")</f>
        <v>Hi Tech Pharmaceuticals Pvt Ltd</v>
      </c>
    </row>
    <row r="1236">
      <c r="H1236" s="5" t="str">
        <f>IFERROR(__xludf.DUMMYFUNCTION("""COMPUTED_VALUE"""),"Hicare Pharma")</f>
        <v>Hicare Pharma</v>
      </c>
    </row>
    <row r="1237">
      <c r="H1237" s="5" t="str">
        <f>IFERROR(__xludf.DUMMYFUNCTION("""COMPUTED_VALUE"""),"HICKS")</f>
        <v>HICKS</v>
      </c>
    </row>
    <row r="1238">
      <c r="H1238" s="5" t="str">
        <f>IFERROR(__xludf.DUMMYFUNCTION("""COMPUTED_VALUE"""),"HIDUSTAN REMEDIES")</f>
        <v>HIDUSTAN REMEDIES</v>
      </c>
    </row>
    <row r="1239">
      <c r="H1239" s="5" t="str">
        <f>IFERROR(__xludf.DUMMYFUNCTION("""COMPUTED_VALUE"""),"HIGLANCE LABORATORIES")</f>
        <v>HIGLANCE LABORATORIES</v>
      </c>
    </row>
    <row r="1240">
      <c r="H1240" s="5" t="str">
        <f>IFERROR(__xludf.DUMMYFUNCTION("""COMPUTED_VALUE"""),"HIMALAYA (BABY CARE)")</f>
        <v>HIMALAYA (BABY CARE)</v>
      </c>
    </row>
    <row r="1241">
      <c r="H1241" s="5" t="str">
        <f>IFERROR(__xludf.DUMMYFUNCTION("""COMPUTED_VALUE"""),"HIMALAYA (PET CARE)")</f>
        <v>HIMALAYA (PET CARE)</v>
      </c>
    </row>
    <row r="1242">
      <c r="H1242" s="5" t="str">
        <f>IFERROR(__xludf.DUMMYFUNCTION("""COMPUTED_VALUE"""),"Himalaya Drug Company")</f>
        <v>Himalaya Drug Company</v>
      </c>
    </row>
    <row r="1243">
      <c r="H1243" s="5" t="str">
        <f>IFERROR(__xludf.DUMMYFUNCTION("""COMPUTED_VALUE"""),"HIMALAYAN MEDICARE PVT LTD")</f>
        <v>HIMALAYAN MEDICARE PVT LTD</v>
      </c>
    </row>
    <row r="1244">
      <c r="H1244" s="5" t="str">
        <f>IFERROR(__xludf.DUMMYFUNCTION("""COMPUTED_VALUE"""),"HIMANI")</f>
        <v>HIMANI</v>
      </c>
    </row>
    <row r="1245">
      <c r="H1245" s="5" t="str">
        <f>IFERROR(__xludf.DUMMYFUNCTION("""COMPUTED_VALUE"""),"HIMANSHU PHARMACEUTICALS P LTD")</f>
        <v>HIMANSHU PHARMACEUTICALS P LTD</v>
      </c>
    </row>
    <row r="1246">
      <c r="H1246" s="5" t="str">
        <f>IFERROR(__xludf.DUMMYFUNCTION("""COMPUTED_VALUE"""),"HIMEROS PHARMA")</f>
        <v>HIMEROS PHARMA</v>
      </c>
    </row>
    <row r="1247">
      <c r="H1247" s="5" t="str">
        <f>IFERROR(__xludf.DUMMYFUNCTION("""COMPUTED_VALUE"""),"HIND C&amp;C WORKS")</f>
        <v>HIND C&amp;C WORKS</v>
      </c>
    </row>
    <row r="1248">
      <c r="H1248" s="5" t="str">
        <f>IFERROR(__xludf.DUMMYFUNCTION("""COMPUTED_VALUE"""),"HIND CHEMICALS")</f>
        <v>HIND CHEMICALS</v>
      </c>
    </row>
    <row r="1249">
      <c r="H1249" s="5" t="str">
        <f>IFERROR(__xludf.DUMMYFUNCTION("""COMPUTED_VALUE"""),"HINDUKUSH BIOPRODUCTS PVT LTD (EMAAR)")</f>
        <v>HINDUKUSH BIOPRODUCTS PVT LTD (EMAAR)</v>
      </c>
    </row>
    <row r="1250">
      <c r="H1250" s="5" t="str">
        <f>IFERROR(__xludf.DUMMYFUNCTION("""COMPUTED_VALUE"""),"HINDUSTAN LATEX FAMILY PLANNING PROMOTION TRUST (HLFPPT)")</f>
        <v>HINDUSTAN LATEX FAMILY PLANNING PROMOTION TRUST (HLFPPT)</v>
      </c>
    </row>
    <row r="1251">
      <c r="H1251" s="5" t="str">
        <f>IFERROR(__xludf.DUMMYFUNCTION("""COMPUTED_VALUE"""),"Hindustan Latex Ltd")</f>
        <v>Hindustan Latex Ltd</v>
      </c>
    </row>
    <row r="1252">
      <c r="H1252" s="5" t="str">
        <f>IFERROR(__xludf.DUMMYFUNCTION("""COMPUTED_VALUE"""),"HINDUSTAN LIFESCIENCES")</f>
        <v>HINDUSTAN LIFESCIENCES</v>
      </c>
    </row>
    <row r="1253">
      <c r="H1253" s="5" t="str">
        <f>IFERROR(__xludf.DUMMYFUNCTION("""COMPUTED_VALUE"""),"HINDUSTAN MEDICARE")</f>
        <v>HINDUSTAN MEDICARE</v>
      </c>
    </row>
    <row r="1254">
      <c r="H1254" s="5" t="str">
        <f>IFERROR(__xludf.DUMMYFUNCTION("""COMPUTED_VALUE"""),"HINDUSTAN PHARMA")</f>
        <v>HINDUSTAN PHARMA</v>
      </c>
    </row>
    <row r="1255">
      <c r="H1255" s="5" t="str">
        <f>IFERROR(__xludf.DUMMYFUNCTION("""COMPUTED_VALUE"""),"HINDUSTAN SYRINGES AND MEDICAL DEVICES")</f>
        <v>HINDUSTAN SYRINGES AND MEDICAL DEVICES</v>
      </c>
    </row>
    <row r="1256">
      <c r="H1256" s="5" t="str">
        <f>IFERROR(__xludf.DUMMYFUNCTION("""COMPUTED_VALUE"""),"HINDUSTAN UNILEVER")</f>
        <v>HINDUSTAN UNILEVER</v>
      </c>
    </row>
    <row r="1257">
      <c r="H1257" s="5" t="str">
        <f>IFERROR(__xludf.DUMMYFUNCTION("""COMPUTED_VALUE"""),"Hindustan Unilever Ltd")</f>
        <v>Hindustan Unilever Ltd</v>
      </c>
    </row>
    <row r="1258">
      <c r="H1258" s="5" t="str">
        <f>IFERROR(__xludf.DUMMYFUNCTION("""COMPUTED_VALUE"""),"HINIKAM DRUGS AND PHARMACEUTICALS")</f>
        <v>HINIKAM DRUGS AND PHARMACEUTICALS</v>
      </c>
    </row>
    <row r="1259">
      <c r="H1259" s="5" t="str">
        <f>IFERROR(__xludf.DUMMYFUNCTION("""COMPUTED_VALUE"""),"HL")</f>
        <v>HL</v>
      </c>
    </row>
    <row r="1260">
      <c r="H1260" s="5" t="str">
        <f>IFERROR(__xludf.DUMMYFUNCTION("""COMPUTED_VALUE"""),"HL HEALTHCARE")</f>
        <v>HL HEALTHCARE</v>
      </c>
    </row>
    <row r="1261">
      <c r="H1261" s="5" t="str">
        <f>IFERROR(__xludf.DUMMYFUNCTION("""COMPUTED_VALUE"""),"HLL Lifecare Ltd")</f>
        <v>HLL Lifecare Ltd</v>
      </c>
    </row>
    <row r="1262">
      <c r="H1262" s="5" t="str">
        <f>IFERROR(__xludf.DUMMYFUNCTION("""COMPUTED_VALUE"""),"HMD LTD")</f>
        <v>HMD LTD</v>
      </c>
    </row>
    <row r="1263">
      <c r="H1263" s="5" t="str">
        <f>IFERROR(__xludf.DUMMYFUNCTION("""COMPUTED_VALUE"""),"HOECHEST")</f>
        <v>HOECHEST</v>
      </c>
    </row>
    <row r="1264">
      <c r="H1264" s="5" t="str">
        <f>IFERROR(__xludf.DUMMYFUNCTION("""COMPUTED_VALUE"""),"HOME REMEDIES")</f>
        <v>HOME REMEDIES</v>
      </c>
    </row>
    <row r="1265">
      <c r="H1265" s="5" t="str">
        <f>IFERROR(__xludf.DUMMYFUNCTION("""COMPUTED_VALUE"""),"HORIZON MEDICAMENT")</f>
        <v>HORIZON MEDICAMENT</v>
      </c>
    </row>
    <row r="1266">
      <c r="H1266" s="5" t="str">
        <f>IFERROR(__xludf.DUMMYFUNCTION("""COMPUTED_VALUE"""),"HORIZON PHARMACEUTICALS")</f>
        <v>HORIZON PHARMACEUTICALS</v>
      </c>
    </row>
    <row r="1267">
      <c r="H1267" s="5" t="str">
        <f>IFERROR(__xludf.DUMMYFUNCTION("""COMPUTED_VALUE"""),"HORWEIZ PHARMACEUTICAL")</f>
        <v>HORWEIZ PHARMACEUTICAL</v>
      </c>
    </row>
    <row r="1268">
      <c r="H1268" s="5" t="str">
        <f>IFERROR(__xludf.DUMMYFUNCTION("""COMPUTED_VALUE"""),"HOYA LENS INDIA")</f>
        <v>HOYA LENS INDIA</v>
      </c>
    </row>
    <row r="1269">
      <c r="H1269" s="5" t="str">
        <f>IFERROR(__xludf.DUMMYFUNCTION("""COMPUTED_VALUE"""),"HP")</f>
        <v>HP</v>
      </c>
    </row>
    <row r="1270">
      <c r="H1270" s="5" t="str">
        <f>IFERROR(__xludf.DUMMYFUNCTION("""COMPUTED_VALUE"""),"HRI HEALTHCARE")</f>
        <v>HRI HEALTHCARE</v>
      </c>
    </row>
    <row r="1271">
      <c r="H1271" s="5" t="str">
        <f>IFERROR(__xludf.DUMMYFUNCTION("""COMPUTED_VALUE"""),"HSL")</f>
        <v>HSL</v>
      </c>
    </row>
    <row r="1272">
      <c r="H1272" s="5" t="str">
        <f>IFERROR(__xludf.DUMMYFUNCTION("""COMPUTED_VALUE"""),"HUMAN BIO ORGANIC")</f>
        <v>HUMAN BIO ORGANIC</v>
      </c>
    </row>
    <row r="1273">
      <c r="H1273" s="5" t="str">
        <f>IFERROR(__xludf.DUMMYFUNCTION("""COMPUTED_VALUE"""),"HUMAN HEALTH CARE")</f>
        <v>HUMAN HEALTH CARE</v>
      </c>
    </row>
    <row r="1274">
      <c r="H1274" s="5" t="str">
        <f>IFERROR(__xludf.DUMMYFUNCTION("""COMPUTED_VALUE"""),"HUMANBIO-LOGICAL PVT LTD")</f>
        <v>HUMANBIO-LOGICAL PVT LTD</v>
      </c>
    </row>
    <row r="1275">
      <c r="H1275" s="5" t="str">
        <f>IFERROR(__xludf.DUMMYFUNCTION("""COMPUTED_VALUE"""),"HUMMOCK PHARMACEUTICALS PVT LTD")</f>
        <v>HUMMOCK PHARMACEUTICALS PVT LTD</v>
      </c>
    </row>
    <row r="1276">
      <c r="H1276" s="5" t="str">
        <f>IFERROR(__xludf.DUMMYFUNCTION("""COMPUTED_VALUE"""),"HUMPS INDIA PVT LTD")</f>
        <v>HUMPS INDIA PVT LTD</v>
      </c>
    </row>
    <row r="1277">
      <c r="H1277" s="5" t="str">
        <f>IFERROR(__xludf.DUMMYFUNCTION("""COMPUTED_VALUE"""),"HYGEIA LABS")</f>
        <v>HYGEIA LABS</v>
      </c>
    </row>
    <row r="1278">
      <c r="H1278" s="5" t="str">
        <f>IFERROR(__xludf.DUMMYFUNCTION("""COMPUTED_VALUE"""),"HYGEIA LABS (H)")</f>
        <v>HYGEIA LABS (H)</v>
      </c>
    </row>
    <row r="1279">
      <c r="H1279" s="5" t="str">
        <f>IFERROR(__xludf.DUMMYFUNCTION("""COMPUTED_VALUE"""),"HYGIENIC RESEARCH INSTITUTE")</f>
        <v>HYGIENIC RESEARCH INSTITUTE</v>
      </c>
    </row>
    <row r="1280">
      <c r="H1280" s="5" t="str">
        <f>IFERROR(__xludf.DUMMYFUNCTION("""COMPUTED_VALUE"""),"HYMAX HEALTHCARE P LTD")</f>
        <v>HYMAX HEALTHCARE P LTD</v>
      </c>
    </row>
    <row r="1281">
      <c r="H1281" s="5" t="str">
        <f>IFERROR(__xludf.DUMMYFUNCTION("""COMPUTED_VALUE"""),"HYPOLIN")</f>
        <v>HYPOLIN</v>
      </c>
    </row>
    <row r="1282">
      <c r="H1282" s="5" t="str">
        <f>IFERROR(__xludf.DUMMYFUNCTION("""COMPUTED_VALUE"""),"I CONNECT")</f>
        <v>I CONNECT</v>
      </c>
    </row>
    <row r="1283">
      <c r="H1283" s="5" t="str">
        <f>IFERROR(__xludf.DUMMYFUNCTION("""COMPUTED_VALUE"""),"IBLUE (GENERIC)")</f>
        <v>IBLUE (GENERIC)</v>
      </c>
    </row>
    <row r="1284">
      <c r="H1284" s="5" t="str">
        <f>IFERROR(__xludf.DUMMYFUNCTION("""COMPUTED_VALUE"""),"ICON HEALTH CARE")</f>
        <v>ICON HEALTH CARE</v>
      </c>
    </row>
    <row r="1285">
      <c r="H1285" s="5" t="str">
        <f>IFERROR(__xludf.DUMMYFUNCTION("""COMPUTED_VALUE"""),"Icon Life Sciences")</f>
        <v>Icon Life Sciences</v>
      </c>
    </row>
    <row r="1286">
      <c r="H1286" s="5" t="str">
        <f>IFERROR(__xludf.DUMMYFUNCTION("""COMPUTED_VALUE"""),"Icon Pharma &amp; Surgicals Pvt Ltd")</f>
        <v>Icon Pharma &amp; Surgicals Pvt Ltd</v>
      </c>
    </row>
    <row r="1287">
      <c r="H1287" s="5" t="str">
        <f>IFERROR(__xludf.DUMMYFUNCTION("""COMPUTED_VALUE"""),"Icpa Health Products Ltd")</f>
        <v>Icpa Health Products Ltd</v>
      </c>
    </row>
    <row r="1288">
      <c r="H1288" s="5" t="str">
        <f>IFERROR(__xludf.DUMMYFUNCTION("""COMPUTED_VALUE"""),"IIFA HEALTHCARE")</f>
        <v>IIFA HEALTHCARE</v>
      </c>
    </row>
    <row r="1289">
      <c r="H1289" s="5" t="str">
        <f>IFERROR(__xludf.DUMMYFUNCTION("""COMPUTED_VALUE"""),"Ikon Pharmachem Pvt Ltd")</f>
        <v>Ikon Pharmachem Pvt Ltd</v>
      </c>
    </row>
    <row r="1290">
      <c r="H1290" s="5" t="str">
        <f>IFERROR(__xludf.DUMMYFUNCTION("""COMPUTED_VALUE"""),"IKON REMEDIES")</f>
        <v>IKON REMEDIES</v>
      </c>
    </row>
    <row r="1291">
      <c r="H1291" s="5" t="str">
        <f>IFERROR(__xludf.DUMMYFUNCTION("""COMPUTED_VALUE"""),"IKON REMEDIES (GENERIC)")</f>
        <v>IKON REMEDIES (GENERIC)</v>
      </c>
    </row>
    <row r="1292">
      <c r="H1292" s="5" t="str">
        <f>IFERROR(__xludf.DUMMYFUNCTION("""COMPUTED_VALUE"""),"INAVARS BIOLOGICALS INC")</f>
        <v>INAVARS BIOLOGICALS INC</v>
      </c>
    </row>
    <row r="1293">
      <c r="H1293" s="5" t="str">
        <f>IFERROR(__xludf.DUMMYFUNCTION("""COMPUTED_VALUE"""),"INCIPE PHARMACEUTICAL")</f>
        <v>INCIPE PHARMACEUTICAL</v>
      </c>
    </row>
    <row r="1294">
      <c r="H1294" s="5" t="str">
        <f>IFERROR(__xludf.DUMMYFUNCTION("""COMPUTED_VALUE"""),"IND RUSSIAN")</f>
        <v>IND RUSSIAN</v>
      </c>
    </row>
    <row r="1295">
      <c r="H1295" s="5" t="str">
        <f>IFERROR(__xludf.DUMMYFUNCTION("""COMPUTED_VALUE"""),"Ind Swift (CARDIOSWIFT)")</f>
        <v>Ind Swift (CARDIOSWIFT)</v>
      </c>
    </row>
    <row r="1296">
      <c r="H1296" s="5" t="str">
        <f>IFERROR(__xludf.DUMMYFUNCTION("""COMPUTED_VALUE"""),"Ind Swift (GYANOSWIFT)")</f>
        <v>Ind Swift (GYANOSWIFT)</v>
      </c>
    </row>
    <row r="1297">
      <c r="H1297" s="5" t="str">
        <f>IFERROR(__xludf.DUMMYFUNCTION("""COMPUTED_VALUE"""),"Ind Swift (MEGASWIFT)")</f>
        <v>Ind Swift (MEGASWIFT)</v>
      </c>
    </row>
    <row r="1298">
      <c r="H1298" s="5" t="str">
        <f>IFERROR(__xludf.DUMMYFUNCTION("""COMPUTED_VALUE"""),"Ind Swift (NEUTRAMATRIX)")</f>
        <v>Ind Swift (NEUTRAMATRIX)</v>
      </c>
    </row>
    <row r="1299">
      <c r="H1299" s="5" t="str">
        <f>IFERROR(__xludf.DUMMYFUNCTION("""COMPUTED_VALUE"""),"Ind Swift Laboratories (GENERIC)")</f>
        <v>Ind Swift Laboratories (GENERIC)</v>
      </c>
    </row>
    <row r="1300">
      <c r="H1300" s="5" t="str">
        <f>IFERROR(__xludf.DUMMYFUNCTION("""COMPUTED_VALUE"""),"Ind Swift Laboratories Ltd")</f>
        <v>Ind Swift Laboratories Ltd</v>
      </c>
    </row>
    <row r="1301">
      <c r="H1301" s="5" t="str">
        <f>IFERROR(__xludf.DUMMYFUNCTION("""COMPUTED_VALUE"""),"Indchemi Health Specialies Pvt Ltd")</f>
        <v>Indchemi Health Specialies Pvt Ltd</v>
      </c>
    </row>
    <row r="1302">
      <c r="H1302" s="5" t="str">
        <f>IFERROR(__xludf.DUMMYFUNCTION("""COMPUTED_VALUE"""),"Indi Pharma")</f>
        <v>Indi Pharma</v>
      </c>
    </row>
    <row r="1303">
      <c r="H1303" s="5" t="str">
        <f>IFERROR(__xludf.DUMMYFUNCTION("""COMPUTED_VALUE"""),"INDIABULLS (CRITICA)")</f>
        <v>INDIABULLS (CRITICA)</v>
      </c>
    </row>
    <row r="1304">
      <c r="H1304" s="5" t="str">
        <f>IFERROR(__xludf.DUMMYFUNCTION("""COMPUTED_VALUE"""),"INDIABULLS (CVD)")</f>
        <v>INDIABULLS (CVD)</v>
      </c>
    </row>
    <row r="1305">
      <c r="H1305" s="5" t="str">
        <f>IFERROR(__xludf.DUMMYFUNCTION("""COMPUTED_VALUE"""),"INDIABULLS (DERMANEX 1)")</f>
        <v>INDIABULLS (DERMANEX 1)</v>
      </c>
    </row>
    <row r="1306">
      <c r="H1306" s="5" t="str">
        <f>IFERROR(__xludf.DUMMYFUNCTION("""COMPUTED_VALUE"""),"INDIABULLS (DERMANEX 3)")</f>
        <v>INDIABULLS (DERMANEX 3)</v>
      </c>
    </row>
    <row r="1307">
      <c r="H1307" s="5" t="str">
        <f>IFERROR(__xludf.DUMMYFUNCTION("""COMPUTED_VALUE"""),"INDIABULLS (FEMINEX)")</f>
        <v>INDIABULLS (FEMINEX)</v>
      </c>
    </row>
    <row r="1308">
      <c r="H1308" s="5" t="str">
        <f>IFERROR(__xludf.DUMMYFUNCTION("""COMPUTED_VALUE"""),"INDIABULLS (INVICTA)")</f>
        <v>INDIABULLS (INVICTA)</v>
      </c>
    </row>
    <row r="1309">
      <c r="H1309" s="5" t="str">
        <f>IFERROR(__xludf.DUMMYFUNCTION("""COMPUTED_VALUE"""),"INDIABULLS (NEXPIRA)")</f>
        <v>INDIABULLS (NEXPIRA)</v>
      </c>
    </row>
    <row r="1310">
      <c r="H1310" s="5" t="str">
        <f>IFERROR(__xludf.DUMMYFUNCTION("""COMPUTED_VALUE"""),"INDIABULLS (PEDIA)")</f>
        <v>INDIABULLS (PEDIA)</v>
      </c>
    </row>
    <row r="1311">
      <c r="H1311" s="5" t="str">
        <f>IFERROR(__xludf.DUMMYFUNCTION("""COMPUTED_VALUE"""),"INDIABULLS (PHARMACEUTICAL)")</f>
        <v>INDIABULLS (PHARMACEUTICAL)</v>
      </c>
    </row>
    <row r="1312">
      <c r="H1312" s="5" t="str">
        <f>IFERROR(__xludf.DUMMYFUNCTION("""COMPUTED_VALUE"""),"INDIABULLS (PRIMA)")</f>
        <v>INDIABULLS (PRIMA)</v>
      </c>
    </row>
    <row r="1313">
      <c r="H1313" s="5" t="str">
        <f>IFERROR(__xludf.DUMMYFUNCTION("""COMPUTED_VALUE"""),"INDIABULLS (VESTA)")</f>
        <v>INDIABULLS (VESTA)</v>
      </c>
    </row>
    <row r="1314">
      <c r="H1314" s="5" t="str">
        <f>IFERROR(__xludf.DUMMYFUNCTION("""COMPUTED_VALUE"""),"INDIABULLS PHARMACEUTICAL")</f>
        <v>INDIABULLS PHARMACEUTICAL</v>
      </c>
    </row>
    <row r="1315">
      <c r="H1315" s="5" t="str">
        <f>IFERROR(__xludf.DUMMYFUNCTION("""COMPUTED_VALUE"""),"INDIAN CHEMICAL WORKS")</f>
        <v>INDIAN CHEMICAL WORKS</v>
      </c>
    </row>
    <row r="1316">
      <c r="H1316" s="5" t="str">
        <f>IFERROR(__xludf.DUMMYFUNCTION("""COMPUTED_VALUE"""),"Indian Immunologicals Ltd")</f>
        <v>Indian Immunologicals Ltd</v>
      </c>
    </row>
    <row r="1317">
      <c r="H1317" s="5" t="str">
        <f>IFERROR(__xludf.DUMMYFUNCTION("""COMPUTED_VALUE"""),"INDIAN TRADERS (OEP)")</f>
        <v>INDIAN TRADERS (OEP)</v>
      </c>
    </row>
    <row r="1318">
      <c r="H1318" s="5" t="str">
        <f>IFERROR(__xludf.DUMMYFUNCTION("""COMPUTED_VALUE"""),"Indica Laboratories Pvt Ltd")</f>
        <v>Indica Laboratories Pvt Ltd</v>
      </c>
    </row>
    <row r="1319">
      <c r="H1319" s="5" t="str">
        <f>IFERROR(__xludf.DUMMYFUNCTION("""COMPUTED_VALUE"""),"INDILINA PHARMACEUTICALS")</f>
        <v>INDILINA PHARMACEUTICALS</v>
      </c>
    </row>
    <row r="1320">
      <c r="H1320" s="5" t="str">
        <f>IFERROR(__xludf.DUMMYFUNCTION("""COMPUTED_VALUE"""),"Indkus Drugs &amp; Pharma Pvt. Ltd")</f>
        <v>Indkus Drugs &amp; Pharma Pvt. Ltd</v>
      </c>
    </row>
    <row r="1321">
      <c r="H1321" s="5" t="str">
        <f>IFERROR(__xludf.DUMMYFUNCTION("""COMPUTED_VALUE"""),"Indkus Drugs &amp; Pharma Pvt. Ltd.")</f>
        <v>Indkus Drugs &amp; Pharma Pvt. Ltd.</v>
      </c>
    </row>
    <row r="1322">
      <c r="H1322" s="5" t="str">
        <f>IFERROR(__xludf.DUMMYFUNCTION("""COMPUTED_VALUE"""),"INDOCO REMEDIES (WARREN-EXEL)")</f>
        <v>INDOCO REMEDIES (WARREN-EXEL)</v>
      </c>
    </row>
    <row r="1323">
      <c r="H1323" s="5" t="str">
        <f>IFERROR(__xludf.DUMMYFUNCTION("""COMPUTED_VALUE"""),"INDOCO REMEDIES (WARREN)")</f>
        <v>INDOCO REMEDIES (WARREN)</v>
      </c>
    </row>
    <row r="1324">
      <c r="H1324" s="5" t="str">
        <f>IFERROR(__xludf.DUMMYFUNCTION("""COMPUTED_VALUE"""),"Indoco Remedies Ltd")</f>
        <v>Indoco Remedies Ltd</v>
      </c>
    </row>
    <row r="1325">
      <c r="H1325" s="5" t="str">
        <f>IFERROR(__xludf.DUMMYFUNCTION("""COMPUTED_VALUE"""),"INDON HEALTHCARE LTD.")</f>
        <v>INDON HEALTHCARE LTD.</v>
      </c>
    </row>
    <row r="1326">
      <c r="H1326" s="5" t="str">
        <f>IFERROR(__xludf.DUMMYFUNCTION("""COMPUTED_VALUE"""),"INDORE MEDICINE HOUSE (COMMON)")</f>
        <v>INDORE MEDICINE HOUSE (COMMON)</v>
      </c>
    </row>
    <row r="1327">
      <c r="H1327" s="5" t="str">
        <f>IFERROR(__xludf.DUMMYFUNCTION("""COMPUTED_VALUE"""),"INDORE MEDICINE HOUSE (VETERINARY)")</f>
        <v>INDORE MEDICINE HOUSE (VETERINARY)</v>
      </c>
    </row>
    <row r="1328">
      <c r="H1328" s="5" t="str">
        <f>IFERROR(__xludf.DUMMYFUNCTION("""COMPUTED_VALUE"""),"INDOSS LIFE SCIENCES")</f>
        <v>INDOSS LIFE SCIENCES</v>
      </c>
    </row>
    <row r="1329">
      <c r="H1329" s="5" t="str">
        <f>IFERROR(__xludf.DUMMYFUNCTION("""COMPUTED_VALUE"""),"INDUS MEDITECH P LTD")</f>
        <v>INDUS MEDITECH P LTD</v>
      </c>
    </row>
    <row r="1330">
      <c r="H1330" s="5" t="str">
        <f>IFERROR(__xludf.DUMMYFUNCTION("""COMPUTED_VALUE"""),"INDUSKEN")</f>
        <v>INDUSKEN</v>
      </c>
    </row>
    <row r="1331">
      <c r="H1331" s="5" t="str">
        <f>IFERROR(__xludf.DUMMYFUNCTION("""COMPUTED_VALUE"""),"Infar (India) Ltd.")</f>
        <v>Infar (India) Ltd.</v>
      </c>
    </row>
    <row r="1332">
      <c r="H1332" s="5" t="str">
        <f>IFERROR(__xludf.DUMMYFUNCTION("""COMPUTED_VALUE"""),"INGA LABORATORIES")</f>
        <v>INGA LABORATORIES</v>
      </c>
    </row>
    <row r="1333">
      <c r="H1333" s="5" t="str">
        <f>IFERROR(__xludf.DUMMYFUNCTION("""COMPUTED_VALUE"""),"INGOLDSHIELD PHARMA")</f>
        <v>INGOLDSHIELD PHARMA</v>
      </c>
    </row>
    <row r="1334">
      <c r="H1334" s="5" t="str">
        <f>IFERROR(__xludf.DUMMYFUNCTION("""COMPUTED_VALUE"""),"INIZIA HEALTHCARE")</f>
        <v>INIZIA HEALTHCARE</v>
      </c>
    </row>
    <row r="1335">
      <c r="H1335" s="5" t="str">
        <f>IFERROR(__xludf.DUMMYFUNCTION("""COMPUTED_VALUE"""),"INIZIA HEALTHCARE (CENURA)")</f>
        <v>INIZIA HEALTHCARE (CENURA)</v>
      </c>
    </row>
    <row r="1336">
      <c r="H1336" s="5" t="str">
        <f>IFERROR(__xludf.DUMMYFUNCTION("""COMPUTED_VALUE"""),"INJAYS PHARMACEUTICALS P LTD")</f>
        <v>INJAYS PHARMACEUTICALS P LTD</v>
      </c>
    </row>
    <row r="1337">
      <c r="H1337" s="5" t="str">
        <f>IFERROR(__xludf.DUMMYFUNCTION("""COMPUTED_VALUE"""),"INJECT CARE PARENTERALS")</f>
        <v>INJECT CARE PARENTERALS</v>
      </c>
    </row>
    <row r="1338">
      <c r="H1338" s="5" t="str">
        <f>IFERROR(__xludf.DUMMYFUNCTION("""COMPUTED_VALUE"""),"INJECTO CAPTA PVT.LTD.")</f>
        <v>INJECTO CAPTA PVT.LTD.</v>
      </c>
    </row>
    <row r="1339">
      <c r="H1339" s="5" t="str">
        <f>IFERROR(__xludf.DUMMYFUNCTION("""COMPUTED_VALUE"""),"INNATE BIOTECH")</f>
        <v>INNATE BIOTECH</v>
      </c>
    </row>
    <row r="1340">
      <c r="H1340" s="5" t="str">
        <f>IFERROR(__xludf.DUMMYFUNCTION("""COMPUTED_VALUE"""),"INNOVA FORMULATION PVT LTD")</f>
        <v>INNOVA FORMULATION PVT LTD</v>
      </c>
    </row>
    <row r="1341">
      <c r="H1341" s="5" t="str">
        <f>IFERROR(__xludf.DUMMYFUNCTION("""COMPUTED_VALUE"""),"INNOVATIVE")</f>
        <v>INNOVATIVE</v>
      </c>
    </row>
    <row r="1342">
      <c r="H1342" s="5" t="str">
        <f>IFERROR(__xludf.DUMMYFUNCTION("""COMPUTED_VALUE"""),"Innovative Lifesciences")</f>
        <v>Innovative Lifesciences</v>
      </c>
    </row>
    <row r="1343">
      <c r="H1343" s="5" t="str">
        <f>IFERROR(__xludf.DUMMYFUNCTION("""COMPUTED_VALUE"""),"INNOVATIVE PHARMACEUTICALS (GENERIC)")</f>
        <v>INNOVATIVE PHARMACEUTICALS (GENERIC)</v>
      </c>
    </row>
    <row r="1344">
      <c r="H1344" s="5" t="str">
        <f>IFERROR(__xludf.DUMMYFUNCTION("""COMPUTED_VALUE"""),"INNOVCARE LIFESCIENCE (ALTIUS)")</f>
        <v>INNOVCARE LIFESCIENCE (ALTIUS)</v>
      </c>
    </row>
    <row r="1345">
      <c r="H1345" s="5" t="str">
        <f>IFERROR(__xludf.DUMMYFUNCTION("""COMPUTED_VALUE"""),"INNOVCARE LIFESCIENCES")</f>
        <v>INNOVCARE LIFESCIENCES</v>
      </c>
    </row>
    <row r="1346">
      <c r="H1346" s="5" t="str">
        <f>IFERROR(__xludf.DUMMYFUNCTION("""COMPUTED_VALUE"""),"INNOVEXIA LIFE SCIENCES")</f>
        <v>INNOVEXIA LIFE SCIENCES</v>
      </c>
    </row>
    <row r="1347">
      <c r="H1347" s="5" t="str">
        <f>IFERROR(__xludf.DUMMYFUNCTION("""COMPUTED_VALUE"""),"INNOVEXIA LIFE SCIENCES PVT LTD")</f>
        <v>INNOVEXIA LIFE SCIENCES PVT LTD</v>
      </c>
    </row>
    <row r="1348">
      <c r="H1348" s="5" t="str">
        <f>IFERROR(__xludf.DUMMYFUNCTION("""COMPUTED_VALUE"""),"INOWELL PHARMA (GYNEAC)")</f>
        <v>INOWELL PHARMA (GYNEAC)</v>
      </c>
    </row>
    <row r="1349">
      <c r="H1349" s="5" t="str">
        <f>IFERROR(__xludf.DUMMYFUNCTION("""COMPUTED_VALUE"""),"INSIGHT EYECARE")</f>
        <v>INSIGHT EYECARE</v>
      </c>
    </row>
    <row r="1350">
      <c r="H1350" s="5" t="str">
        <f>IFERROR(__xludf.DUMMYFUNCTION("""COMPUTED_VALUE"""),"INTAS (ADRINA)")</f>
        <v>INTAS (ADRINA)</v>
      </c>
    </row>
    <row r="1351">
      <c r="H1351" s="5" t="str">
        <f>IFERROR(__xludf.DUMMYFUNCTION("""COMPUTED_VALUE"""),"INTAS (ALAIRA)")</f>
        <v>INTAS (ALAIRA)</v>
      </c>
    </row>
    <row r="1352">
      <c r="H1352" s="5" t="str">
        <f>IFERROR(__xludf.DUMMYFUNCTION("""COMPUTED_VALUE"""),"INTAS (ALECTA)")</f>
        <v>INTAS (ALECTA)</v>
      </c>
    </row>
    <row r="1353">
      <c r="H1353" s="5" t="str">
        <f>IFERROR(__xludf.DUMMYFUNCTION("""COMPUTED_VALUE"""),"INTAS (ALERON)")</f>
        <v>INTAS (ALERON)</v>
      </c>
    </row>
    <row r="1354">
      <c r="H1354" s="5" t="str">
        <f>IFERROR(__xludf.DUMMYFUNCTION("""COMPUTED_VALUE"""),"INTAS (ALTIMA)")</f>
        <v>INTAS (ALTIMA)</v>
      </c>
    </row>
    <row r="1355">
      <c r="H1355" s="5" t="str">
        <f>IFERROR(__xludf.DUMMYFUNCTION("""COMPUTED_VALUE"""),"INTAS (ALTIS)")</f>
        <v>INTAS (ALTIS)</v>
      </c>
    </row>
    <row r="1356">
      <c r="H1356" s="5" t="str">
        <f>IFERROR(__xludf.DUMMYFUNCTION("""COMPUTED_VALUE"""),"INTAS (ANDRE)")</f>
        <v>INTAS (ANDRE)</v>
      </c>
    </row>
    <row r="1357">
      <c r="H1357" s="5" t="str">
        <f>IFERROR(__xludf.DUMMYFUNCTION("""COMPUTED_VALUE"""),"INTAS (AQUILA)")</f>
        <v>INTAS (AQUILA)</v>
      </c>
    </row>
    <row r="1358">
      <c r="H1358" s="5" t="str">
        <f>IFERROR(__xludf.DUMMYFUNCTION("""COMPUTED_VALUE"""),"INTAS (ARRON)")</f>
        <v>INTAS (ARRON)</v>
      </c>
    </row>
    <row r="1359">
      <c r="H1359" s="5" t="str">
        <f>IFERROR(__xludf.DUMMYFUNCTION("""COMPUTED_VALUE"""),"INTAS (ASPIRA)")</f>
        <v>INTAS (ASPIRA)</v>
      </c>
    </row>
    <row r="1360">
      <c r="H1360" s="5" t="str">
        <f>IFERROR(__xludf.DUMMYFUNCTION("""COMPUTED_VALUE"""),"INTAS (ASTERA)")</f>
        <v>INTAS (ASTERA)</v>
      </c>
    </row>
    <row r="1361">
      <c r="H1361" s="5" t="str">
        <f>IFERROR(__xludf.DUMMYFUNCTION("""COMPUTED_VALUE"""),"INTAS (AVANTA)")</f>
        <v>INTAS (AVANTA)</v>
      </c>
    </row>
    <row r="1362">
      <c r="H1362" s="5" t="str">
        <f>IFERROR(__xludf.DUMMYFUNCTION("""COMPUTED_VALUE"""),"INTAS (AVIOR)")</f>
        <v>INTAS (AVIOR)</v>
      </c>
    </row>
    <row r="1363">
      <c r="H1363" s="5" t="str">
        <f>IFERROR(__xludf.DUMMYFUNCTION("""COMPUTED_VALUE"""),"INTAS (AYOKKA)")</f>
        <v>INTAS (AYOKKA)</v>
      </c>
    </row>
    <row r="1364">
      <c r="H1364" s="5" t="str">
        <f>IFERROR(__xludf.DUMMYFUNCTION("""COMPUTED_VALUE"""),"INTAS (INARA)")</f>
        <v>INTAS (INARA)</v>
      </c>
    </row>
    <row r="1365">
      <c r="H1365" s="5" t="str">
        <f>IFERROR(__xludf.DUMMYFUNCTION("""COMPUTED_VALUE"""),"INTAS (NEPHROLOGY)")</f>
        <v>INTAS (NEPHROLOGY)</v>
      </c>
    </row>
    <row r="1366">
      <c r="H1366" s="5" t="str">
        <f>IFERROR(__xludf.DUMMYFUNCTION("""COMPUTED_VALUE"""),"INTAS (ONCOLOGY)")</f>
        <v>INTAS (ONCOLOGY)</v>
      </c>
    </row>
    <row r="1367">
      <c r="H1367" s="5" t="str">
        <f>IFERROR(__xludf.DUMMYFUNCTION("""COMPUTED_VALUE"""),"INTAS (OPTIMA)")</f>
        <v>INTAS (OPTIMA)</v>
      </c>
    </row>
    <row r="1368">
      <c r="H1368" s="5" t="str">
        <f>IFERROR(__xludf.DUMMYFUNCTION("""COMPUTED_VALUE"""),"INTAS (SPECIALITIES)")</f>
        <v>INTAS (SPECIALITIES)</v>
      </c>
    </row>
    <row r="1369">
      <c r="H1369" s="5" t="str">
        <f>IFERROR(__xludf.DUMMYFUNCTION("""COMPUTED_VALUE"""),"INTAS (SUPRIMA)")</f>
        <v>INTAS (SUPRIMA)</v>
      </c>
    </row>
    <row r="1370">
      <c r="H1370" s="5" t="str">
        <f>IFERROR(__xludf.DUMMYFUNCTION("""COMPUTED_VALUE"""),"INTAS (SURIVA)")</f>
        <v>INTAS (SURIVA)</v>
      </c>
    </row>
    <row r="1371">
      <c r="H1371" s="5" t="str">
        <f>IFERROR(__xludf.DUMMYFUNCTION("""COMPUTED_VALUE"""),"INTAS (SYBELLA)")</f>
        <v>INTAS (SYBELLA)</v>
      </c>
    </row>
    <row r="1372">
      <c r="H1372" s="5" t="str">
        <f>IFERROR(__xludf.DUMMYFUNCTION("""COMPUTED_VALUE"""),"INTAS (VECTOR)")</f>
        <v>INTAS (VECTOR)</v>
      </c>
    </row>
    <row r="1373">
      <c r="H1373" s="5" t="str">
        <f>IFERROR(__xludf.DUMMYFUNCTION("""COMPUTED_VALUE"""),"INTAS (VIVIA)")</f>
        <v>INTAS (VIVIA)</v>
      </c>
    </row>
    <row r="1374">
      <c r="H1374" s="5" t="str">
        <f>IFERROR(__xludf.DUMMYFUNCTION("""COMPUTED_VALUE"""),"INTAS (XENITH)")</f>
        <v>INTAS (XENITH)</v>
      </c>
    </row>
    <row r="1375">
      <c r="H1375" s="5" t="str">
        <f>IFERROR(__xludf.DUMMYFUNCTION("""COMPUTED_VALUE"""),"Intas Pharmaceuticals Ltd")</f>
        <v>Intas Pharmaceuticals Ltd</v>
      </c>
    </row>
    <row r="1376">
      <c r="H1376" s="5" t="str">
        <f>IFERROR(__xludf.DUMMYFUNCTION("""COMPUTED_VALUE"""),"Intas Pharmaceuticals Ltd (GENERIC)")</f>
        <v>Intas Pharmaceuticals Ltd (GENERIC)</v>
      </c>
    </row>
    <row r="1377">
      <c r="H1377" s="5" t="str">
        <f>IFERROR(__xludf.DUMMYFUNCTION("""COMPUTED_VALUE"""),"Integra Life Sciences (P) Ltd. (Alfa Igra Inc.)")</f>
        <v>Integra Life Sciences (P) Ltd. (Alfa Igra Inc.)</v>
      </c>
    </row>
    <row r="1378">
      <c r="H1378" s="5" t="str">
        <f>IFERROR(__xludf.DUMMYFUNCTION("""COMPUTED_VALUE"""),"Integra Life Sciences (P) Ltd. (Alfa Igra Inc.)
")</f>
        <v>Integra Life Sciences (P) Ltd. (Alfa Igra Inc.)
</v>
      </c>
    </row>
    <row r="1379">
      <c r="H1379" s="5" t="str">
        <f>IFERROR(__xludf.DUMMYFUNCTION("""COMPUTED_VALUE"""),"INTEGRAL LIFE SCIENCES")</f>
        <v>INTEGRAL LIFE SCIENCES</v>
      </c>
    </row>
    <row r="1380">
      <c r="H1380" s="5" t="str">
        <f>IFERROR(__xludf.DUMMYFUNCTION("""COMPUTED_VALUE"""),"INTEGRAL LIFE SCIENCES (SS)")</f>
        <v>INTEGRAL LIFE SCIENCES (SS)</v>
      </c>
    </row>
    <row r="1381">
      <c r="H1381" s="5" t="str">
        <f>IFERROR(__xludf.DUMMYFUNCTION("""COMPUTED_VALUE"""),"INTEGRATED LABORATORIES PVT LTD")</f>
        <v>INTEGRATED LABORATORIES PVT LTD</v>
      </c>
    </row>
    <row r="1382">
      <c r="H1382" s="5" t="str">
        <f>IFERROR(__xludf.DUMMYFUNCTION("""COMPUTED_VALUE"""),"INTELICURE LIFESCIENCES")</f>
        <v>INTELICURE LIFESCIENCES</v>
      </c>
    </row>
    <row r="1383">
      <c r="H1383" s="5" t="str">
        <f>IFERROR(__xludf.DUMMYFUNCTION("""COMPUTED_VALUE"""),"Intermed Pharma Pvt Ltd")</f>
        <v>Intermed Pharma Pvt Ltd</v>
      </c>
    </row>
    <row r="1384">
      <c r="H1384" s="5" t="str">
        <f>IFERROR(__xludf.DUMMYFUNCTION("""COMPUTED_VALUE"""),"Intra Labs India Pvt. Ltd")</f>
        <v>Intra Labs India Pvt. Ltd</v>
      </c>
    </row>
    <row r="1385">
      <c r="H1385" s="5" t="str">
        <f>IFERROR(__xludf.DUMMYFUNCTION("""COMPUTED_VALUE"""),"Intra Labs India Pvt. Ltd. (Intra Life)")</f>
        <v>Intra Labs India Pvt. Ltd. (Intra Life)</v>
      </c>
    </row>
    <row r="1386">
      <c r="H1386" s="5" t="str">
        <f>IFERROR(__xludf.DUMMYFUNCTION("""COMPUTED_VALUE"""),"Intra Labs India Pvt. Ltd. (Inventure)")</f>
        <v>Intra Labs India Pvt. Ltd. (Inventure)</v>
      </c>
    </row>
    <row r="1387">
      <c r="H1387" s="5" t="str">
        <f>IFERROR(__xludf.DUMMYFUNCTION("""COMPUTED_VALUE"""),"Intra Life (Doxis Laboratories)")</f>
        <v>Intra Life (Doxis Laboratories)</v>
      </c>
    </row>
    <row r="1388">
      <c r="H1388" s="5" t="str">
        <f>IFERROR(__xludf.DUMMYFUNCTION("""COMPUTED_VALUE"""),"INVEN PHARMACEUTICALS PVT LTD")</f>
        <v>INVEN PHARMACEUTICALS PVT LTD</v>
      </c>
    </row>
    <row r="1389">
      <c r="H1389" s="5" t="str">
        <f>IFERROR(__xludf.DUMMYFUNCTION("""COMPUTED_VALUE"""),"Invida India Pvt. Ltd.")</f>
        <v>Invida India Pvt. Ltd.</v>
      </c>
    </row>
    <row r="1390">
      <c r="H1390" s="5" t="str">
        <f>IFERROR(__xludf.DUMMYFUNCTION("""COMPUTED_VALUE"""),"INVISCUS LIFE SCIENCES")</f>
        <v>INVISCUS LIFE SCIENCES</v>
      </c>
    </row>
    <row r="1391">
      <c r="H1391" s="5" t="str">
        <f>IFERROR(__xludf.DUMMYFUNCTION("""COMPUTED_VALUE"""),"Invision Medi Sciences Pvt. Ltd")</f>
        <v>Invision Medi Sciences Pvt. Ltd</v>
      </c>
    </row>
    <row r="1392">
      <c r="H1392" s="5" t="str">
        <f>IFERROR(__xludf.DUMMYFUNCTION("""COMPUTED_VALUE"""),"Invomed Cotab Pvt. Ltd")</f>
        <v>Invomed Cotab Pvt. Ltd</v>
      </c>
    </row>
    <row r="1393">
      <c r="H1393" s="5" t="str">
        <f>IFERROR(__xludf.DUMMYFUNCTION("""COMPUTED_VALUE"""),"ION HEALTHCARE")</f>
        <v>ION HEALTHCARE</v>
      </c>
    </row>
    <row r="1394">
      <c r="H1394" s="5" t="str">
        <f>IFERROR(__xludf.DUMMYFUNCTION("""COMPUTED_VALUE"""),"IPCA (1)")</f>
        <v>IPCA (1)</v>
      </c>
    </row>
    <row r="1395">
      <c r="H1395" s="5" t="str">
        <f>IFERROR(__xludf.DUMMYFUNCTION("""COMPUTED_VALUE"""),"IPCA (2)")</f>
        <v>IPCA (2)</v>
      </c>
    </row>
    <row r="1396">
      <c r="H1396" s="5" t="str">
        <f>IFERROR(__xludf.DUMMYFUNCTION("""COMPUTED_VALUE"""),"IPCA (3C)")</f>
        <v>IPCA (3C)</v>
      </c>
    </row>
    <row r="1397">
      <c r="H1397" s="5" t="str">
        <f>IFERROR(__xludf.DUMMYFUNCTION("""COMPUTED_VALUE"""),"IPCA (3D)")</f>
        <v>IPCA (3D)</v>
      </c>
    </row>
    <row r="1398">
      <c r="H1398" s="5" t="str">
        <f>IFERROR(__xludf.DUMMYFUNCTION("""COMPUTED_VALUE"""),"IPCA (ACTIVA)")</f>
        <v>IPCA (ACTIVA)</v>
      </c>
    </row>
    <row r="1399">
      <c r="H1399" s="5" t="str">
        <f>IFERROR(__xludf.DUMMYFUNCTION("""COMPUTED_VALUE"""),"IPCA (BIONOVA  ACE)")</f>
        <v>IPCA (BIONOVA  ACE)</v>
      </c>
    </row>
    <row r="1400">
      <c r="H1400" s="5" t="str">
        <f>IFERROR(__xludf.DUMMYFUNCTION("""COMPUTED_VALUE"""),"IPCA (BIONOVA SPECIALITY)")</f>
        <v>IPCA (BIONOVA SPECIALITY)</v>
      </c>
    </row>
    <row r="1401">
      <c r="H1401" s="5" t="str">
        <f>IFERROR(__xludf.DUMMYFUNCTION("""COMPUTED_VALUE"""),"IPCA (BIONOVA)")</f>
        <v>IPCA (BIONOVA)</v>
      </c>
    </row>
    <row r="1402">
      <c r="H1402" s="5" t="str">
        <f>IFERROR(__xludf.DUMMYFUNCTION("""COMPUTED_VALUE"""),"IPCA (DYNAMIX)")</f>
        <v>IPCA (DYNAMIX)</v>
      </c>
    </row>
    <row r="1403">
      <c r="H1403" s="5" t="str">
        <f>IFERROR(__xludf.DUMMYFUNCTION("""COMPUTED_VALUE"""),"IPCA (HYQ)")</f>
        <v>IPCA (HYQ)</v>
      </c>
    </row>
    <row r="1404">
      <c r="H1404" s="5" t="str">
        <f>IFERROR(__xludf.DUMMYFUNCTION("""COMPUTED_VALUE"""),"IPCA (INNOVA)")</f>
        <v>IPCA (INNOVA)</v>
      </c>
    </row>
    <row r="1405">
      <c r="H1405" s="5" t="str">
        <f>IFERROR(__xludf.DUMMYFUNCTION("""COMPUTED_VALUE"""),"IPCA (INTIMA)")</f>
        <v>IPCA (INTIMA)</v>
      </c>
    </row>
    <row r="1406">
      <c r="H1406" s="5" t="str">
        <f>IFERROR(__xludf.DUMMYFUNCTION("""COMPUTED_VALUE"""),"IPCA (IPM)")</f>
        <v>IPCA (IPM)</v>
      </c>
    </row>
    <row r="1407">
      <c r="H1407" s="5" t="str">
        <f>IFERROR(__xludf.DUMMYFUNCTION("""COMPUTED_VALUE"""),"IPCA (OPTIMA)")</f>
        <v>IPCA (OPTIMA)</v>
      </c>
    </row>
    <row r="1408">
      <c r="H1408" s="5" t="str">
        <f>IFERROR(__xludf.DUMMYFUNCTION("""COMPUTED_VALUE"""),"IPCA (PHARMA NEXT)")</f>
        <v>IPCA (PHARMA NEXT)</v>
      </c>
    </row>
    <row r="1409">
      <c r="H1409" s="5" t="str">
        <f>IFERROR(__xludf.DUMMYFUNCTION("""COMPUTED_VALUE"""),"IPCA (PHARMA)")</f>
        <v>IPCA (PHARMA)</v>
      </c>
    </row>
    <row r="1410">
      <c r="H1410" s="5" t="str">
        <f>IFERROR(__xludf.DUMMYFUNCTION("""COMPUTED_VALUE"""),"IPCA (URO SPECIALITY)")</f>
        <v>IPCA (URO SPECIALITY)</v>
      </c>
    </row>
    <row r="1411">
      <c r="H1411" s="5" t="str">
        <f>IFERROR(__xludf.DUMMYFUNCTION("""COMPUTED_VALUE"""),"IPCA (URO)")</f>
        <v>IPCA (URO)</v>
      </c>
    </row>
    <row r="1412">
      <c r="H1412" s="5" t="str">
        <f>IFERROR(__xludf.DUMMYFUNCTION("""COMPUTED_VALUE"""),"Ipca Laboratories Ltd")</f>
        <v>Ipca Laboratories Ltd</v>
      </c>
    </row>
    <row r="1413">
      <c r="H1413" s="5" t="str">
        <f>IFERROR(__xludf.DUMMYFUNCTION("""COMPUTED_VALUE"""),"Ipsa Labs Pvt Ltd")</f>
        <v>Ipsa Labs Pvt Ltd</v>
      </c>
    </row>
    <row r="1414">
      <c r="H1414" s="5" t="str">
        <f>IFERROR(__xludf.DUMMYFUNCTION("""COMPUTED_VALUE"""),"IQL HEALTHCARE P LTD")</f>
        <v>IQL HEALTHCARE P LTD</v>
      </c>
    </row>
    <row r="1415">
      <c r="H1415" s="5" t="str">
        <f>IFERROR(__xludf.DUMMYFUNCTION("""COMPUTED_VALUE"""),"ISCON")</f>
        <v>ISCON</v>
      </c>
    </row>
    <row r="1416">
      <c r="H1416" s="5" t="str">
        <f>IFERROR(__xludf.DUMMYFUNCTION("""COMPUTED_VALUE"""),"ISCON LIFE SCIENCES")</f>
        <v>ISCON LIFE SCIENCES</v>
      </c>
    </row>
    <row r="1417">
      <c r="H1417" s="5" t="str">
        <f>IFERROR(__xludf.DUMMYFUNCTION("""COMPUTED_VALUE"""),"ISHAVARNI HEALTHCARE PVT LTD")</f>
        <v>ISHAVARNI HEALTHCARE PVT LTD</v>
      </c>
    </row>
    <row r="1418">
      <c r="H1418" s="5" t="str">
        <f>IFERROR(__xludf.DUMMYFUNCTION("""COMPUTED_VALUE"""),"ISIS Pharmaceuticals")</f>
        <v>ISIS Pharmaceuticals</v>
      </c>
    </row>
    <row r="1419">
      <c r="H1419" s="5" t="str">
        <f>IFERROR(__xludf.DUMMYFUNCTION("""COMPUTED_VALUE"""),"ISKON REMEDIES, SIRMOR")</f>
        <v>ISKON REMEDIES, SIRMOR</v>
      </c>
    </row>
    <row r="1420">
      <c r="H1420" s="5" t="str">
        <f>IFERROR(__xludf.DUMMYFUNCTION("""COMPUTED_VALUE"""),"ITC LIMITED")</f>
        <v>ITC LIMITED</v>
      </c>
    </row>
    <row r="1421">
      <c r="H1421" s="5" t="str">
        <f>IFERROR(__xludf.DUMMYFUNCTION("""COMPUTED_VALUE"""),"IZAR HEALTHCARE")</f>
        <v>IZAR HEALTHCARE</v>
      </c>
    </row>
    <row r="1422">
      <c r="H1422" s="5" t="str">
        <f>IFERROR(__xludf.DUMMYFUNCTION("""COMPUTED_VALUE"""),"J and J Dechane Pvt Ltd")</f>
        <v>J and J Dechane Pvt Ltd</v>
      </c>
    </row>
    <row r="1423">
      <c r="H1423" s="5" t="str">
        <f>IFERROR(__xludf.DUMMYFUNCTION("""COMPUTED_VALUE"""),"J L Morison India Ltd")</f>
        <v>J L Morison India Ltd</v>
      </c>
    </row>
    <row r="1424">
      <c r="H1424" s="5" t="str">
        <f>IFERROR(__xludf.DUMMYFUNCTION("""COMPUTED_VALUE"""),"J M REMEDIES SOLAN")</f>
        <v>J M REMEDIES SOLAN</v>
      </c>
    </row>
    <row r="1425">
      <c r="H1425" s="5" t="str">
        <f>IFERROR(__xludf.DUMMYFUNCTION("""COMPUTED_VALUE"""),"J&amp;J BABY")</f>
        <v>J&amp;J BABY</v>
      </c>
    </row>
    <row r="1426">
      <c r="H1426" s="5" t="str">
        <f>IFERROR(__xludf.DUMMYFUNCTION("""COMPUTED_VALUE"""),"JABS BIOTECH")</f>
        <v>JABS BIOTECH</v>
      </c>
    </row>
    <row r="1427">
      <c r="H1427" s="5" t="str">
        <f>IFERROR(__xludf.DUMMYFUNCTION("""COMPUTED_VALUE"""),"JAGAT PHARMA")</f>
        <v>JAGAT PHARMA</v>
      </c>
    </row>
    <row r="1428">
      <c r="H1428" s="5" t="str">
        <f>IFERROR(__xludf.DUMMYFUNCTION("""COMPUTED_VALUE"""),"Jagdale Lifesciences")</f>
        <v>Jagdale Lifesciences</v>
      </c>
    </row>
    <row r="1429">
      <c r="H1429" s="5" t="str">
        <f>IFERROR(__xludf.DUMMYFUNCTION("""COMPUTED_VALUE"""),"JAGRAVE HERBAL PRODUCTS")</f>
        <v>JAGRAVE HERBAL PRODUCTS</v>
      </c>
    </row>
    <row r="1430">
      <c r="H1430" s="5" t="str">
        <f>IFERROR(__xludf.DUMMYFUNCTION("""COMPUTED_VALUE"""),"Jagsonpal Pharmaceuticals Ltd")</f>
        <v>Jagsonpal Pharmaceuticals Ltd</v>
      </c>
    </row>
    <row r="1431">
      <c r="H1431" s="5" t="str">
        <f>IFERROR(__xludf.DUMMYFUNCTION("""COMPUTED_VALUE"""),"JAIN GROUP PHARMACEUTICALS")</f>
        <v>JAIN GROUP PHARMACEUTICALS</v>
      </c>
    </row>
    <row r="1432">
      <c r="H1432" s="5" t="str">
        <f>IFERROR(__xludf.DUMMYFUNCTION("""COMPUTED_VALUE"""),"JAINSON BIOTECH")</f>
        <v>JAINSON BIOTECH</v>
      </c>
    </row>
    <row r="1433">
      <c r="H1433" s="5" t="str">
        <f>IFERROR(__xludf.DUMMYFUNCTION("""COMPUTED_VALUE"""),"JAINSON CHEMICALS")</f>
        <v>JAINSON CHEMICALS</v>
      </c>
    </row>
    <row r="1434">
      <c r="H1434" s="5" t="str">
        <f>IFERROR(__xludf.DUMMYFUNCTION("""COMPUTED_VALUE"""),"JAIWIK BIOTEK")</f>
        <v>JAIWIK BIOTEK</v>
      </c>
    </row>
    <row r="1435">
      <c r="H1435" s="5" t="str">
        <f>IFERROR(__xludf.DUMMYFUNCTION("""COMPUTED_VALUE"""),"JAMNA PHARMACEUTICALS")</f>
        <v>JAMNA PHARMACEUTICALS</v>
      </c>
    </row>
    <row r="1436">
      <c r="H1436" s="5" t="str">
        <f>IFERROR(__xludf.DUMMYFUNCTION("""COMPUTED_VALUE"""),"JAMSONS LABORTORIES")</f>
        <v>JAMSONS LABORTORIES</v>
      </c>
    </row>
    <row r="1437">
      <c r="H1437" s="5" t="str">
        <f>IFERROR(__xludf.DUMMYFUNCTION("""COMPUTED_VALUE"""),"JAMUWAY PHARMACEUTICALS")</f>
        <v>JAMUWAY PHARMACEUTICALS</v>
      </c>
    </row>
    <row r="1438">
      <c r="H1438" s="5" t="str">
        <f>IFERROR(__xludf.DUMMYFUNCTION("""COMPUTED_VALUE"""),"JANKEM LIFE SCIENCE")</f>
        <v>JANKEM LIFE SCIENCE</v>
      </c>
    </row>
    <row r="1439">
      <c r="H1439" s="5" t="str">
        <f>IFERROR(__xludf.DUMMYFUNCTION("""COMPUTED_VALUE"""),"JANMARK PHARMA LTD")</f>
        <v>JANMARK PHARMA LTD</v>
      </c>
    </row>
    <row r="1440">
      <c r="H1440" s="5" t="str">
        <f>IFERROR(__xludf.DUMMYFUNCTION("""COMPUTED_VALUE"""),"JANMERCH")</f>
        <v>JANMERCH</v>
      </c>
    </row>
    <row r="1441">
      <c r="H1441" s="5" t="str">
        <f>IFERROR(__xludf.DUMMYFUNCTION("""COMPUTED_VALUE"""),"JANTEC PHARMA")</f>
        <v>JANTEC PHARMA</v>
      </c>
    </row>
    <row r="1442">
      <c r="H1442" s="5" t="str">
        <f>IFERROR(__xludf.DUMMYFUNCTION("""COMPUTED_VALUE"""),"JANUS BIOTECH P LTD")</f>
        <v>JANUS BIOTECH P LTD</v>
      </c>
    </row>
    <row r="1443">
      <c r="H1443" s="5" t="str">
        <f>IFERROR(__xludf.DUMMYFUNCTION("""COMPUTED_VALUE"""),"JARUN PHARMACEUTICALS")</f>
        <v>JARUN PHARMACEUTICALS</v>
      </c>
    </row>
    <row r="1444">
      <c r="H1444" s="5" t="str">
        <f>IFERROR(__xludf.DUMMYFUNCTION("""COMPUTED_VALUE"""),"JASCO NUTRI FOODS")</f>
        <v>JASCO NUTRI FOODS</v>
      </c>
    </row>
    <row r="1445">
      <c r="H1445" s="5" t="str">
        <f>IFERROR(__xludf.DUMMYFUNCTION("""COMPUTED_VALUE"""),"JASVIC LABORATORIES ROORKE")</f>
        <v>JASVIC LABORATORIES ROORKE</v>
      </c>
    </row>
    <row r="1446">
      <c r="H1446" s="5" t="str">
        <f>IFERROR(__xludf.DUMMYFUNCTION("""COMPUTED_VALUE"""),"Jawa Pharmaceuticals (I) Pvt. Ltd")</f>
        <v>Jawa Pharmaceuticals (I) Pvt. Ltd</v>
      </c>
    </row>
    <row r="1447">
      <c r="H1447" s="5" t="str">
        <f>IFERROR(__xludf.DUMMYFUNCTION("""COMPUTED_VALUE"""),"JAY ELL HEALTHCARE P LTD")</f>
        <v>JAY ELL HEALTHCARE P LTD</v>
      </c>
    </row>
    <row r="1448">
      <c r="H1448" s="5" t="str">
        <f>IFERROR(__xludf.DUMMYFUNCTION("""COMPUTED_VALUE"""),"JAY HEALTHCARE")</f>
        <v>JAY HEALTHCARE</v>
      </c>
    </row>
    <row r="1449">
      <c r="H1449" s="5" t="str">
        <f>IFERROR(__xludf.DUMMYFUNCTION("""COMPUTED_VALUE"""),"JAY LIFECARE")</f>
        <v>JAY LIFECARE</v>
      </c>
    </row>
    <row r="1450">
      <c r="H1450" s="5" t="str">
        <f>IFERROR(__xludf.DUMMYFUNCTION("""COMPUTED_VALUE"""),"JAY SHREE PHARMACEUTICALS")</f>
        <v>JAY SHREE PHARMACEUTICALS</v>
      </c>
    </row>
    <row r="1451">
      <c r="H1451" s="5" t="str">
        <f>IFERROR(__xludf.DUMMYFUNCTION("""COMPUTED_VALUE"""),"JAYSHREE PHARMACEUTICALS")</f>
        <v>JAYSHREE PHARMACEUTICALS</v>
      </c>
    </row>
    <row r="1452">
      <c r="H1452" s="5" t="str">
        <f>IFERROR(__xludf.DUMMYFUNCTION("""COMPUTED_VALUE"""),"JB Chemicals (DENTA)")</f>
        <v>JB Chemicals (DENTA)</v>
      </c>
    </row>
    <row r="1453">
      <c r="H1453" s="5" t="str">
        <f>IFERROR(__xludf.DUMMYFUNCTION("""COMPUTED_VALUE"""),"JB Chemicals &amp; Pharmaceuticals Ltd")</f>
        <v>JB Chemicals &amp; Pharmaceuticals Ltd</v>
      </c>
    </row>
    <row r="1454">
      <c r="H1454" s="5" t="str">
        <f>IFERROR(__xludf.DUMMYFUNCTION("""COMPUTED_VALUE"""),"JB REMEDIES P LTD")</f>
        <v>JB REMEDIES P LTD</v>
      </c>
    </row>
    <row r="1455">
      <c r="H1455" s="5" t="str">
        <f>IFERROR(__xludf.DUMMYFUNCTION("""COMPUTED_VALUE"""),"JEEVAN JYOTI")</f>
        <v>JEEVAN JYOTI</v>
      </c>
    </row>
    <row r="1456">
      <c r="H1456" s="5" t="str">
        <f>IFERROR(__xludf.DUMMYFUNCTION("""COMPUTED_VALUE"""),"Jenburkt Pharmaceuticals Ltd")</f>
        <v>Jenburkt Pharmaceuticals Ltd</v>
      </c>
    </row>
    <row r="1457">
      <c r="H1457" s="5" t="str">
        <f>IFERROR(__xludf.DUMMYFUNCTION("""COMPUTED_VALUE"""),"JENOME BIOPHAR")</f>
        <v>JENOME BIOPHAR</v>
      </c>
    </row>
    <row r="1458">
      <c r="H1458" s="5" t="str">
        <f>IFERROR(__xludf.DUMMYFUNCTION("""COMPUTED_VALUE"""),"JHAWAR PHARMACY")</f>
        <v>JHAWAR PHARMACY</v>
      </c>
    </row>
    <row r="1459">
      <c r="H1459" s="5" t="str">
        <f>IFERROR(__xludf.DUMMYFUNCTION("""COMPUTED_VALUE"""),"JINESH PHARMA (OSP)")</f>
        <v>JINESH PHARMA (OSP)</v>
      </c>
    </row>
    <row r="1460">
      <c r="H1460" s="5" t="str">
        <f>IFERROR(__xludf.DUMMYFUNCTION("""COMPUTED_VALUE"""),"JIVYANA HEALTH CARE P LTD")</f>
        <v>JIVYANA HEALTH CARE P LTD</v>
      </c>
    </row>
    <row r="1461">
      <c r="H1461" s="5" t="str">
        <f>IFERROR(__xludf.DUMMYFUNCTION("""COMPUTED_VALUE"""),"JIWADAYA NETRAPRA")</f>
        <v>JIWADAYA NETRAPRA</v>
      </c>
    </row>
    <row r="1462">
      <c r="H1462" s="5" t="str">
        <f>IFERROR(__xludf.DUMMYFUNCTION("""COMPUTED_VALUE"""),"JK ANSELL P LTD")</f>
        <v>JK ANSELL P LTD</v>
      </c>
    </row>
    <row r="1463">
      <c r="H1463" s="5" t="str">
        <f>IFERROR(__xludf.DUMMYFUNCTION("""COMPUTED_VALUE"""),"JNSON")</f>
        <v>JNSON</v>
      </c>
    </row>
    <row r="1464">
      <c r="H1464" s="5" t="str">
        <f>IFERROR(__xludf.DUMMYFUNCTION("""COMPUTED_VALUE"""),"John Biotech Pvt Ltd")</f>
        <v>John Biotech Pvt Ltd</v>
      </c>
    </row>
    <row r="1465">
      <c r="H1465" s="5" t="str">
        <f>IFERROR(__xludf.DUMMYFUNCTION("""COMPUTED_VALUE"""),"JOHNLEE PHARMACEUTICALS PVT LTD")</f>
        <v>JOHNLEE PHARMACEUTICALS PVT LTD</v>
      </c>
    </row>
    <row r="1466">
      <c r="H1466" s="5" t="str">
        <f>IFERROR(__xludf.DUMMYFUNCTION("""COMPUTED_VALUE"""),"Johnson &amp; Johnson")</f>
        <v>Johnson &amp; Johnson</v>
      </c>
    </row>
    <row r="1467">
      <c r="H1467" s="5" t="str">
        <f>IFERROR(__xludf.DUMMYFUNCTION("""COMPUTED_VALUE"""),"JOHNSON &amp; JOHNSON (CONSUMER)")</f>
        <v>JOHNSON &amp; JOHNSON (CONSUMER)</v>
      </c>
    </row>
    <row r="1468">
      <c r="H1468" s="5" t="str">
        <f>IFERROR(__xludf.DUMMYFUNCTION("""COMPUTED_VALUE"""),"JOHNSON &amp; JOHNSON (DERMA)")</f>
        <v>JOHNSON &amp; JOHNSON (DERMA)</v>
      </c>
    </row>
    <row r="1469">
      <c r="H1469" s="5" t="str">
        <f>IFERROR(__xludf.DUMMYFUNCTION("""COMPUTED_VALUE"""),"JOHNSON &amp; JOHNSON (ETHNOR)")</f>
        <v>JOHNSON &amp; JOHNSON (ETHNOR)</v>
      </c>
    </row>
    <row r="1470">
      <c r="H1470" s="5" t="str">
        <f>IFERROR(__xludf.DUMMYFUNCTION("""COMPUTED_VALUE"""),"JOHNSON &amp; JOHNSON (HOSPITAL)")</f>
        <v>JOHNSON &amp; JOHNSON (HOSPITAL)</v>
      </c>
    </row>
    <row r="1471">
      <c r="H1471" s="5" t="str">
        <f>IFERROR(__xludf.DUMMYFUNCTION("""COMPUTED_VALUE"""),"JOHNSON &amp; JOHNSON (MASS MARKET)")</f>
        <v>JOHNSON &amp; JOHNSON (MASS MARKET)</v>
      </c>
    </row>
    <row r="1472">
      <c r="H1472" s="5" t="str">
        <f>IFERROR(__xludf.DUMMYFUNCTION("""COMPUTED_VALUE"""),"JOHNSON &amp; JOHNSON (METABOLIX)")</f>
        <v>JOHNSON &amp; JOHNSON (METABOLIX)</v>
      </c>
    </row>
    <row r="1473">
      <c r="H1473" s="5" t="str">
        <f>IFERROR(__xludf.DUMMYFUNCTION("""COMPUTED_VALUE"""),"JOLLY HEALTH CARE")</f>
        <v>JOLLY HEALTH CARE</v>
      </c>
    </row>
    <row r="1474">
      <c r="H1474" s="5" t="str">
        <f>IFERROR(__xludf.DUMMYFUNCTION("""COMPUTED_VALUE"""),"JOYCARE LIFE SCIENCES")</f>
        <v>JOYCARE LIFE SCIENCES</v>
      </c>
    </row>
    <row r="1475">
      <c r="H1475" s="5" t="str">
        <f>IFERROR(__xludf.DUMMYFUNCTION("""COMPUTED_VALUE"""),"JOYEAPCE HEALTHCARE")</f>
        <v>JOYEAPCE HEALTHCARE</v>
      </c>
    </row>
    <row r="1476">
      <c r="H1476" s="5" t="str">
        <f>IFERROR(__xludf.DUMMYFUNCTION("""COMPUTED_VALUE"""),"Jubilant Life Sciences")</f>
        <v>Jubilant Life Sciences</v>
      </c>
    </row>
    <row r="1477">
      <c r="H1477" s="5" t="str">
        <f>IFERROR(__xludf.DUMMYFUNCTION("""COMPUTED_VALUE"""),"Juggat Pharma")</f>
        <v>Juggat Pharma</v>
      </c>
    </row>
    <row r="1478">
      <c r="H1478" s="5" t="str">
        <f>IFERROR(__xludf.DUMMYFUNCTION("""COMPUTED_VALUE"""),"Jupiter Pharmaceutical Ltd")</f>
        <v>Jupiter Pharmaceutical Ltd</v>
      </c>
    </row>
    <row r="1479">
      <c r="H1479" s="5" t="str">
        <f>IFERROR(__xludf.DUMMYFUNCTION("""COMPUTED_VALUE"""),"JUPITER PHARMACEUTICALS (Ayurvedic)")</f>
        <v>JUPITER PHARMACEUTICALS (Ayurvedic)</v>
      </c>
    </row>
    <row r="1480">
      <c r="H1480" s="5" t="str">
        <f>IFERROR(__xludf.DUMMYFUNCTION("""COMPUTED_VALUE"""),"JUPIVEN PHARMA PVT LTD")</f>
        <v>JUPIVEN PHARMA PVT LTD</v>
      </c>
    </row>
    <row r="1481">
      <c r="H1481" s="5" t="str">
        <f>IFERROR(__xludf.DUMMYFUNCTION("""COMPUTED_VALUE"""),"JUVENOR PHARMACEUTICALS INC")</f>
        <v>JUVENOR PHARMACEUTICALS INC</v>
      </c>
    </row>
    <row r="1482">
      <c r="H1482" s="5" t="str">
        <f>IFERROR(__xludf.DUMMYFUNCTION("""COMPUTED_VALUE"""),"JVJ PHARMACEUTICALS P LTD")</f>
        <v>JVJ PHARMACEUTICALS P LTD</v>
      </c>
    </row>
    <row r="1483">
      <c r="H1483" s="5" t="str">
        <f>IFERROR(__xludf.DUMMYFUNCTION("""COMPUTED_VALUE"""),"JVS")</f>
        <v>JVS</v>
      </c>
    </row>
    <row r="1484">
      <c r="H1484" s="5" t="str">
        <f>IFERROR(__xludf.DUMMYFUNCTION("""COMPUTED_VALUE"""),"JYOTHI")</f>
        <v>JYOTHI</v>
      </c>
    </row>
    <row r="1485">
      <c r="H1485" s="5" t="str">
        <f>IFERROR(__xludf.DUMMYFUNCTION("""COMPUTED_VALUE"""),"JYOTI HERBS (INDIA) P LTD")</f>
        <v>JYOTI HERBS (INDIA) P LTD</v>
      </c>
    </row>
    <row r="1486">
      <c r="H1486" s="5" t="str">
        <f>IFERROR(__xludf.DUMMYFUNCTION("""COMPUTED_VALUE"""),"K BIO HEARBS")</f>
        <v>K BIO HEARBS</v>
      </c>
    </row>
    <row r="1487">
      <c r="H1487" s="5" t="str">
        <f>IFERROR(__xludf.DUMMYFUNCTION("""COMPUTED_VALUE"""),"KABRA DRUGS LTD")</f>
        <v>KABRA DRUGS LTD</v>
      </c>
    </row>
    <row r="1488">
      <c r="H1488" s="5" t="str">
        <f>IFERROR(__xludf.DUMMYFUNCTION("""COMPUTED_VALUE"""),"KAIYNAAT &amp; SABROZ")</f>
        <v>KAIYNAAT &amp; SABROZ</v>
      </c>
    </row>
    <row r="1489">
      <c r="H1489" s="5" t="str">
        <f>IFERROR(__xludf.DUMMYFUNCTION("""COMPUTED_VALUE"""),"KAMAL &amp; SONS")</f>
        <v>KAMAL &amp; SONS</v>
      </c>
    </row>
    <row r="1490">
      <c r="H1490" s="5" t="str">
        <f>IFERROR(__xludf.DUMMYFUNCTION("""COMPUTED_VALUE"""),"KANAM LATEX PVT LTD")</f>
        <v>KANAM LATEX PVT LTD</v>
      </c>
    </row>
    <row r="1491">
      <c r="H1491" s="5" t="str">
        <f>IFERROR(__xludf.DUMMYFUNCTION("""COMPUTED_VALUE"""),"KAPIRET LIFESCIENCES")</f>
        <v>KAPIRET LIFESCIENCES</v>
      </c>
    </row>
    <row r="1492">
      <c r="H1492" s="5" t="str">
        <f>IFERROR(__xludf.DUMMYFUNCTION("""COMPUTED_VALUE"""),"KARAM INDUSTRIES")</f>
        <v>KARAM INDUSTRIES</v>
      </c>
    </row>
    <row r="1493">
      <c r="H1493" s="5" t="str">
        <f>IFERROR(__xludf.DUMMYFUNCTION("""COMPUTED_VALUE"""),"KARNANI PHARMA")</f>
        <v>KARNANI PHARMA</v>
      </c>
    </row>
    <row r="1494">
      <c r="H1494" s="5" t="str">
        <f>IFERROR(__xludf.DUMMYFUNCTION("""COMPUTED_VALUE"""),"Karnataka Antibiotics &amp; Pharmaceuticals Ltd")</f>
        <v>Karnataka Antibiotics &amp; Pharmaceuticals Ltd</v>
      </c>
    </row>
    <row r="1495">
      <c r="H1495" s="5" t="str">
        <f>IFERROR(__xludf.DUMMYFUNCTION("""COMPUTED_VALUE"""),"KAVYA HEALTHCARE")</f>
        <v>KAVYA HEALTHCARE</v>
      </c>
    </row>
    <row r="1496">
      <c r="H1496" s="5" t="str">
        <f>IFERROR(__xludf.DUMMYFUNCTION("""COMPUTED_VALUE"""),"KAYTEE")</f>
        <v>KAYTEE</v>
      </c>
    </row>
    <row r="1497">
      <c r="H1497" s="5" t="str">
        <f>IFERROR(__xludf.DUMMYFUNCTION("""COMPUTED_VALUE"""),"KD CHEM-PHARMA")</f>
        <v>KD CHEM-PHARMA</v>
      </c>
    </row>
    <row r="1498">
      <c r="H1498" s="5" t="str">
        <f>IFERROR(__xludf.DUMMYFUNCTION("""COMPUTED_VALUE"""),"Kee Pharma")</f>
        <v>Kee Pharma</v>
      </c>
    </row>
    <row r="1499">
      <c r="H1499" s="5" t="str">
        <f>IFERROR(__xludf.DUMMYFUNCTION("""COMPUTED_VALUE"""),"KENN PHARMACEUTICALS PVT LTD
")</f>
        <v>KENN PHARMACEUTICALS PVT LTD
</v>
      </c>
    </row>
    <row r="1500">
      <c r="H1500" s="5" t="str">
        <f>IFERROR(__xludf.DUMMYFUNCTION("""COMPUTED_VALUE"""),"KENT PHARMACEUTICALS")</f>
        <v>KENT PHARMACEUTICALS</v>
      </c>
    </row>
    <row r="1501">
      <c r="H1501" s="5" t="str">
        <f>IFERROR(__xludf.DUMMYFUNCTION("""COMPUTED_VALUE"""),"KENTOSSA PHARMACEUTICAL")</f>
        <v>KENTOSSA PHARMACEUTICAL</v>
      </c>
    </row>
    <row r="1502">
      <c r="H1502" s="5" t="str">
        <f>IFERROR(__xludf.DUMMYFUNCTION("""COMPUTED_VALUE"""),"KENTRECK LABORATORIES")</f>
        <v>KENTRECK LABORATORIES</v>
      </c>
    </row>
    <row r="1503">
      <c r="H1503" s="5" t="str">
        <f>IFERROR(__xludf.DUMMYFUNCTION("""COMPUTED_VALUE"""),"KEPLER (SKIN INFINITY)")</f>
        <v>KEPLER (SKIN INFINITY)</v>
      </c>
    </row>
    <row r="1504">
      <c r="H1504" s="5" t="str">
        <f>IFERROR(__xludf.DUMMYFUNCTION("""COMPUTED_VALUE"""),"KEPLER HEALTHCARE")</f>
        <v>KEPLER HEALTHCARE</v>
      </c>
    </row>
    <row r="1505">
      <c r="H1505" s="5" t="str">
        <f>IFERROR(__xludf.DUMMYFUNCTION("""COMPUTED_VALUE"""),"KERMOUNT")</f>
        <v>KERMOUNT</v>
      </c>
    </row>
    <row r="1506">
      <c r="H1506" s="5" t="str">
        <f>IFERROR(__xludf.DUMMYFUNCTION("""COMPUTED_VALUE"""),"KEYA CORPORATION")</f>
        <v>KEYA CORPORATION</v>
      </c>
    </row>
    <row r="1507">
      <c r="H1507" s="5" t="str">
        <f>IFERROR(__xludf.DUMMYFUNCTION("""COMPUTED_VALUE"""),"KEYA PHARMAWIN")</f>
        <v>KEYA PHARMAWIN</v>
      </c>
    </row>
    <row r="1508">
      <c r="H1508" s="5" t="str">
        <f>IFERROR(__xludf.DUMMYFUNCTION("""COMPUTED_VALUE"""),"KG PHARMA")</f>
        <v>KG PHARMA</v>
      </c>
    </row>
    <row r="1509">
      <c r="H1509" s="5" t="str">
        <f>IFERROR(__xludf.DUMMYFUNCTION("""COMPUTED_VALUE"""),"KHANDELWAL LABORATORIES (GENERIC)")</f>
        <v>KHANDELWAL LABORATORIES (GENERIC)</v>
      </c>
    </row>
    <row r="1510">
      <c r="H1510" s="5" t="str">
        <f>IFERROR(__xludf.DUMMYFUNCTION("""COMPUTED_VALUE"""),"Khandelwal Laboratories Pvt Ltd")</f>
        <v>Khandelwal Laboratories Pvt Ltd</v>
      </c>
    </row>
    <row r="1511">
      <c r="H1511" s="5" t="str">
        <f>IFERROR(__xludf.DUMMYFUNCTION("""COMPUTED_VALUE"""),"KHONA CHEMICAL WORKS")</f>
        <v>KHONA CHEMICAL WORKS</v>
      </c>
    </row>
    <row r="1512">
      <c r="H1512" s="5" t="str">
        <f>IFERROR(__xludf.DUMMYFUNCTION("""COMPUTED_VALUE"""),"Kinedex Healthcare Pvt Ltd")</f>
        <v>Kinedex Healthcare Pvt Ltd</v>
      </c>
    </row>
    <row r="1513">
      <c r="H1513" s="5" t="str">
        <f>IFERROR(__xludf.DUMMYFUNCTION("""COMPUTED_VALUE"""),"KINESIS BIOCARE")</f>
        <v>KINESIS BIOCARE</v>
      </c>
    </row>
    <row r="1514">
      <c r="H1514" s="5" t="str">
        <f>IFERROR(__xludf.DUMMYFUNCTION("""COMPUTED_VALUE"""),"KINJAL BIOTECH PVT LTD")</f>
        <v>KINJAL BIOTECH PVT LTD</v>
      </c>
    </row>
    <row r="1515">
      <c r="H1515" s="5" t="str">
        <f>IFERROR(__xludf.DUMMYFUNCTION("""COMPUTED_VALUE"""),"KIRI LABORATORIES")</f>
        <v>KIRI LABORATORIES</v>
      </c>
    </row>
    <row r="1516">
      <c r="H1516" s="5" t="str">
        <f>IFERROR(__xludf.DUMMYFUNCTION("""COMPUTED_VALUE"""),"Kivi Labs (DERMA)")</f>
        <v>Kivi Labs (DERMA)</v>
      </c>
    </row>
    <row r="1517">
      <c r="H1517" s="5" t="str">
        <f>IFERROR(__xludf.DUMMYFUNCTION("""COMPUTED_VALUE"""),"Kivi Labs (ENDURA)")</f>
        <v>Kivi Labs (ENDURA)</v>
      </c>
    </row>
    <row r="1518">
      <c r="H1518" s="5" t="str">
        <f>IFERROR(__xludf.DUMMYFUNCTION("""COMPUTED_VALUE"""),"Kivi Labs (MAIN)")</f>
        <v>Kivi Labs (MAIN)</v>
      </c>
    </row>
    <row r="1519">
      <c r="H1519" s="5" t="str">
        <f>IFERROR(__xludf.DUMMYFUNCTION("""COMPUTED_VALUE"""),"Kivi Labs Ltd")</f>
        <v>Kivi Labs Ltd</v>
      </c>
    </row>
    <row r="1520">
      <c r="H1520" s="5" t="str">
        <f>IFERROR(__xludf.DUMMYFUNCTION("""COMPUTED_VALUE"""),"KIVILIFE HEALTHCARE (CNS)")</f>
        <v>KIVILIFE HEALTHCARE (CNS)</v>
      </c>
    </row>
    <row r="1521">
      <c r="H1521" s="5" t="str">
        <f>IFERROR(__xludf.DUMMYFUNCTION("""COMPUTED_VALUE"""),"KLAR SEHEN")</f>
        <v>KLAR SEHEN</v>
      </c>
    </row>
    <row r="1522">
      <c r="H1522" s="5" t="str">
        <f>IFERROR(__xludf.DUMMYFUNCTION("""COMPUTED_VALUE"""),"KLM (PEDI)")</f>
        <v>KLM (PEDI)</v>
      </c>
    </row>
    <row r="1523">
      <c r="H1523" s="5" t="str">
        <f>IFERROR(__xludf.DUMMYFUNCTION("""COMPUTED_VALUE"""),"KLM Laboratories (COSMO)")</f>
        <v>KLM Laboratories (COSMO)</v>
      </c>
    </row>
    <row r="1524">
      <c r="H1524" s="5" t="str">
        <f>IFERROR(__xludf.DUMMYFUNCTION("""COMPUTED_VALUE"""),"KLM Laboratories (DERMA)")</f>
        <v>KLM Laboratories (DERMA)</v>
      </c>
    </row>
    <row r="1525">
      <c r="H1525" s="5" t="str">
        <f>IFERROR(__xludf.DUMMYFUNCTION("""COMPUTED_VALUE"""),"KLM LABORATORIES (EYE CARE)")</f>
        <v>KLM LABORATORIES (EYE CARE)</v>
      </c>
    </row>
    <row r="1526">
      <c r="H1526" s="5" t="str">
        <f>IFERROR(__xludf.DUMMYFUNCTION("""COMPUTED_VALUE"""),"KLM LABORATORIES (ORTHO)")</f>
        <v>KLM LABORATORIES (ORTHO)</v>
      </c>
    </row>
    <row r="1527">
      <c r="H1527" s="5" t="str">
        <f>IFERROR(__xludf.DUMMYFUNCTION("""COMPUTED_VALUE"""),"KLM Laboratories Pvt Ltd")</f>
        <v>KLM Laboratories Pvt Ltd</v>
      </c>
    </row>
    <row r="1528">
      <c r="H1528" s="5" t="str">
        <f>IFERROR(__xludf.DUMMYFUNCTION("""COMPUTED_VALUE"""),"KMS Health Center Pvt Ltd")</f>
        <v>KMS Health Center Pvt Ltd</v>
      </c>
    </row>
    <row r="1529">
      <c r="H1529" s="5" t="str">
        <f>IFERROR(__xludf.DUMMYFUNCTION("""COMPUTED_VALUE"""),"KN BIOTECH")</f>
        <v>KN BIOTECH</v>
      </c>
    </row>
    <row r="1530">
      <c r="H1530" s="5" t="str">
        <f>IFERROR(__xludf.DUMMYFUNCTION("""COMPUTED_VALUE"""),"Knoll Pharmaceuticals Ltd")</f>
        <v>Knoll Pharmaceuticals Ltd</v>
      </c>
    </row>
    <row r="1531">
      <c r="H1531" s="5" t="str">
        <f>IFERROR(__xludf.DUMMYFUNCTION("""COMPUTED_VALUE"""),"Knoll Pharmaceuticals Ltd (GENERIC)")</f>
        <v>Knoll Pharmaceuticals Ltd (GENERIC)</v>
      </c>
    </row>
    <row r="1532">
      <c r="H1532" s="5" t="str">
        <f>IFERROR(__xludf.DUMMYFUNCTION("""COMPUTED_VALUE"""),"KNOVIQ LIFESCIENCES")</f>
        <v>KNOVIQ LIFESCIENCES</v>
      </c>
    </row>
    <row r="1533">
      <c r="H1533" s="5" t="str">
        <f>IFERROR(__xludf.DUMMYFUNCTION("""COMPUTED_VALUE"""),"KONTEST CHEMICALS")</f>
        <v>KONTEST CHEMICALS</v>
      </c>
    </row>
    <row r="1534">
      <c r="H1534" s="5" t="str">
        <f>IFERROR(__xludf.DUMMYFUNCTION("""COMPUTED_VALUE"""),"KOPRAN")</f>
        <v>KOPRAN</v>
      </c>
    </row>
    <row r="1535">
      <c r="H1535" s="5" t="str">
        <f>IFERROR(__xludf.DUMMYFUNCTION("""COMPUTED_VALUE"""),"Koye Pharmaceuticals (CAIR)")</f>
        <v>Koye Pharmaceuticals (CAIR)</v>
      </c>
    </row>
    <row r="1536">
      <c r="H1536" s="5" t="str">
        <f>IFERROR(__xludf.DUMMYFUNCTION("""COMPUTED_VALUE"""),"Koye Pharmaceuticals (CARDIO)")</f>
        <v>Koye Pharmaceuticals (CARDIO)</v>
      </c>
    </row>
    <row r="1537">
      <c r="H1537" s="5" t="str">
        <f>IFERROR(__xludf.DUMMYFUNCTION("""COMPUTED_VALUE"""),"Koye Pharmaceuticals (GYNO)")</f>
        <v>Koye Pharmaceuticals (GYNO)</v>
      </c>
    </row>
    <row r="1538">
      <c r="H1538" s="5" t="str">
        <f>IFERROR(__xludf.DUMMYFUNCTION("""COMPUTED_VALUE"""),"Koye Pharmaceuticals (MAIN)")</f>
        <v>Koye Pharmaceuticals (MAIN)</v>
      </c>
    </row>
    <row r="1539">
      <c r="H1539" s="5" t="str">
        <f>IFERROR(__xludf.DUMMYFUNCTION("""COMPUTED_VALUE"""),"Koye Pharmaceuticals (ORIGYN)")</f>
        <v>Koye Pharmaceuticals (ORIGYN)</v>
      </c>
    </row>
    <row r="1540">
      <c r="H1540" s="5" t="str">
        <f>IFERROR(__xludf.DUMMYFUNCTION("""COMPUTED_VALUE"""),"Koye Pharmaceuticals Pvt ltd")</f>
        <v>Koye Pharmaceuticals Pvt ltd</v>
      </c>
    </row>
    <row r="1541">
      <c r="H1541" s="5" t="str">
        <f>IFERROR(__xludf.DUMMYFUNCTION("""COMPUTED_VALUE"""),"KR ENTERPRISES")</f>
        <v>KR ENTERPRISES</v>
      </c>
    </row>
    <row r="1542">
      <c r="H1542" s="5" t="str">
        <f>IFERROR(__xludf.DUMMYFUNCTION("""COMPUTED_VALUE"""),"KR INDO GERMAN")</f>
        <v>KR INDO GERMAN</v>
      </c>
    </row>
    <row r="1543">
      <c r="H1543" s="5" t="str">
        <f>IFERROR(__xludf.DUMMYFUNCTION("""COMPUTED_VALUE"""),"KRAFT INDIA FOOD LTD")</f>
        <v>KRAFT INDIA FOOD LTD</v>
      </c>
    </row>
    <row r="1544">
      <c r="H1544" s="5" t="str">
        <f>IFERROR(__xludf.DUMMYFUNCTION("""COMPUTED_VALUE"""),"KREIOS PHARMA")</f>
        <v>KREIOS PHARMA</v>
      </c>
    </row>
    <row r="1545">
      <c r="H1545" s="5" t="str">
        <f>IFERROR(__xludf.DUMMYFUNCTION("""COMPUTED_VALUE"""),"KRISHLAR PHARMACEUTICALS")</f>
        <v>KRISHLAR PHARMACEUTICALS</v>
      </c>
    </row>
    <row r="1546">
      <c r="H1546" s="5" t="str">
        <f>IFERROR(__xludf.DUMMYFUNCTION("""COMPUTED_VALUE"""),"KRISHNA MANFACTURING COMPANY")</f>
        <v>KRISHNA MANFACTURING COMPANY</v>
      </c>
    </row>
    <row r="1547">
      <c r="H1547" s="5" t="str">
        <f>IFERROR(__xludf.DUMMYFUNCTION("""COMPUTED_VALUE"""),"KSHIPRA HEALTH SOLUTIONS")</f>
        <v>KSHIPRA HEALTH SOLUTIONS</v>
      </c>
    </row>
    <row r="1548">
      <c r="H1548" s="5" t="str">
        <f>IFERROR(__xludf.DUMMYFUNCTION("""COMPUTED_VALUE"""),"KUDOS")</f>
        <v>KUDOS</v>
      </c>
    </row>
    <row r="1549">
      <c r="H1549" s="5" t="str">
        <f>IFERROR(__xludf.DUMMYFUNCTION("""COMPUTED_VALUE"""),"KUNNATH PHARMACEUTICALS")</f>
        <v>KUNNATH PHARMACEUTICALS</v>
      </c>
    </row>
    <row r="1550">
      <c r="H1550" s="5" t="str">
        <f>IFERROR(__xludf.DUMMYFUNCTION("""COMPUTED_VALUE"""),"KUSUM HEALTHCARE PVT LTD")</f>
        <v>KUSUM HEALTHCARE PVT LTD</v>
      </c>
    </row>
    <row r="1551">
      <c r="H1551" s="5" t="str">
        <f>IFERROR(__xludf.DUMMYFUNCTION("""COMPUTED_VALUE"""),"KWALITY PHARMACEUTICALS LTD")</f>
        <v>KWALITY PHARMACEUTICALS LTD</v>
      </c>
    </row>
    <row r="1552">
      <c r="H1552" s="5" t="str">
        <f>IFERROR(__xludf.DUMMYFUNCTION("""COMPUTED_VALUE"""),"KWIK HEALTHCARE")</f>
        <v>KWIK HEALTHCARE</v>
      </c>
    </row>
    <row r="1553">
      <c r="H1553" s="5" t="str">
        <f>IFERROR(__xludf.DUMMYFUNCTION("""COMPUTED_VALUE"""),"L AND V PHARMA")</f>
        <v>L AND V PHARMA</v>
      </c>
    </row>
    <row r="1554">
      <c r="H1554" s="5" t="str">
        <f>IFERROR(__xludf.DUMMYFUNCTION("""COMPUTED_VALUE"""),"L V LIFE SCIENCE SOLAN")</f>
        <v>L V LIFE SCIENCE SOLAN</v>
      </c>
    </row>
    <row r="1555">
      <c r="H1555" s="5" t="str">
        <f>IFERROR(__xludf.DUMMYFUNCTION("""COMPUTED_VALUE"""),"L'AMAR HEALTHCARE")</f>
        <v>L'AMAR HEALTHCARE</v>
      </c>
    </row>
    <row r="1556">
      <c r="H1556" s="5" t="str">
        <f>IFERROR(__xludf.DUMMYFUNCTION("""COMPUTED_VALUE"""),"L&amp;T PHARMA")</f>
        <v>L&amp;T PHARMA</v>
      </c>
    </row>
    <row r="1557">
      <c r="H1557" s="5" t="str">
        <f>IFERROR(__xludf.DUMMYFUNCTION("""COMPUTED_VALUE"""),"LA MED INDIA")</f>
        <v>LA MED INDIA</v>
      </c>
    </row>
    <row r="1558">
      <c r="H1558" s="5" t="str">
        <f>IFERROR(__xludf.DUMMYFUNCTION("""COMPUTED_VALUE"""),"LA PENSER LIFE SCIENCES")</f>
        <v>LA PENSER LIFE SCIENCES</v>
      </c>
    </row>
    <row r="1559">
      <c r="H1559" s="5" t="str">
        <f>IFERROR(__xludf.DUMMYFUNCTION("""COMPUTED_VALUE"""),"LA PIEL BIOTECH P LTD")</f>
        <v>LA PIEL BIOTECH P LTD</v>
      </c>
    </row>
    <row r="1560">
      <c r="H1560" s="5" t="str">
        <f>IFERROR(__xludf.DUMMYFUNCTION("""COMPUTED_VALUE"""),"LA PRISTINE BIOCEUTICALS P LTD")</f>
        <v>LA PRISTINE BIOCEUTICALS P LTD</v>
      </c>
    </row>
    <row r="1561">
      <c r="H1561" s="5" t="str">
        <f>IFERROR(__xludf.DUMMYFUNCTION("""COMPUTED_VALUE"""),"LA RENON (CARDIO METABOLIC)")</f>
        <v>LA RENON (CARDIO METABOLIC)</v>
      </c>
    </row>
    <row r="1562">
      <c r="H1562" s="5" t="str">
        <f>IFERROR(__xludf.DUMMYFUNCTION("""COMPUTED_VALUE"""),"LA RENON (CNS-1)")</f>
        <v>LA RENON (CNS-1)</v>
      </c>
    </row>
    <row r="1563">
      <c r="H1563" s="5" t="str">
        <f>IFERROR(__xludf.DUMMYFUNCTION("""COMPUTED_VALUE"""),"LA RENON (CNS-2)")</f>
        <v>LA RENON (CNS-2)</v>
      </c>
    </row>
    <row r="1564">
      <c r="H1564" s="5" t="str">
        <f>IFERROR(__xludf.DUMMYFUNCTION("""COMPUTED_VALUE"""),"LA RENON (CRITICAL CARE)")</f>
        <v>LA RENON (CRITICAL CARE)</v>
      </c>
    </row>
    <row r="1565">
      <c r="H1565" s="5" t="str">
        <f>IFERROR(__xludf.DUMMYFUNCTION("""COMPUTED_VALUE"""),"LA RENON (GYNAECOLOGY)")</f>
        <v>LA RENON (GYNAECOLOGY)</v>
      </c>
    </row>
    <row r="1566">
      <c r="H1566" s="5" t="str">
        <f>IFERROR(__xludf.DUMMYFUNCTION("""COMPUTED_VALUE"""),"LA RENON (KIRRUS)")</f>
        <v>LA RENON (KIRRUS)</v>
      </c>
    </row>
    <row r="1567">
      <c r="H1567" s="5" t="str">
        <f>IFERROR(__xludf.DUMMYFUNCTION("""COMPUTED_VALUE"""),"LA RENON (LAUREATE)")</f>
        <v>LA RENON (LAUREATE)</v>
      </c>
    </row>
    <row r="1568">
      <c r="H1568" s="5" t="str">
        <f>IFERROR(__xludf.DUMMYFUNCTION("""COMPUTED_VALUE"""),"LA RENON (NEPHRO)")</f>
        <v>LA RENON (NEPHRO)</v>
      </c>
    </row>
    <row r="1569">
      <c r="H1569" s="5" t="str">
        <f>IFERROR(__xludf.DUMMYFUNCTION("""COMPUTED_VALUE"""),"LA RENON (ULTRA)")</f>
        <v>LA RENON (ULTRA)</v>
      </c>
    </row>
    <row r="1570">
      <c r="H1570" s="5" t="str">
        <f>IFERROR(__xludf.DUMMYFUNCTION("""COMPUTED_VALUE"""),"LA RENON (UROLOGY)")</f>
        <v>LA RENON (UROLOGY)</v>
      </c>
    </row>
    <row r="1571">
      <c r="H1571" s="5" t="str">
        <f>IFERROR(__xludf.DUMMYFUNCTION("""COMPUTED_VALUE"""),"La Renon Healthcare Pvt Ltd")</f>
        <v>La Renon Healthcare Pvt Ltd</v>
      </c>
    </row>
    <row r="1572">
      <c r="H1572" s="5" t="str">
        <f>IFERROR(__xludf.DUMMYFUNCTION("""COMPUTED_VALUE"""),"LA VELLA HEALTHCARE")</f>
        <v>LA VELLA HEALTHCARE</v>
      </c>
    </row>
    <row r="1573">
      <c r="H1573" s="5" t="str">
        <f>IFERROR(__xludf.DUMMYFUNCTION("""COMPUTED_VALUE"""),"LA-MED")</f>
        <v>LA-MED</v>
      </c>
    </row>
    <row r="1574">
      <c r="H1574" s="5" t="str">
        <f>IFERROR(__xludf.DUMMYFUNCTION("""COMPUTED_VALUE"""),"Laborate (GENERIC)")</f>
        <v>Laborate (GENERIC)</v>
      </c>
    </row>
    <row r="1575">
      <c r="H1575" s="5" t="str">
        <f>IFERROR(__xludf.DUMMYFUNCTION("""COMPUTED_VALUE"""),"LABORATE PHARMA")</f>
        <v>LABORATE PHARMA</v>
      </c>
    </row>
    <row r="1576">
      <c r="H1576" s="5" t="str">
        <f>IFERROR(__xludf.DUMMYFUNCTION("""COMPUTED_VALUE"""),"LABORATE PHARMACEUTICALS INDIA LTD")</f>
        <v>LABORATE PHARMACEUTICALS INDIA LTD</v>
      </c>
    </row>
    <row r="1577">
      <c r="H1577" s="5" t="str">
        <f>IFERROR(__xludf.DUMMYFUNCTION("""COMPUTED_VALUE"""),"LACELLE")</f>
        <v>LACELLE</v>
      </c>
    </row>
    <row r="1578">
      <c r="H1578" s="5" t="str">
        <f>IFERROR(__xludf.DUMMYFUNCTION("""COMPUTED_VALUE"""),"LAKSHYA")</f>
        <v>LAKSHYA</v>
      </c>
    </row>
    <row r="1579">
      <c r="H1579" s="5" t="str">
        <f>IFERROR(__xludf.DUMMYFUNCTION("""COMPUTED_VALUE"""),"LALIT PHARMACY")</f>
        <v>LALIT PHARMACY</v>
      </c>
    </row>
    <row r="1580">
      <c r="H1580" s="5" t="str">
        <f>IFERROR(__xludf.DUMMYFUNCTION("""COMPUTED_VALUE"""),"LAUREL LIFE SCIENCE")</f>
        <v>LAUREL LIFE SCIENCE</v>
      </c>
    </row>
    <row r="1581">
      <c r="H1581" s="5" t="str">
        <f>IFERROR(__xludf.DUMMYFUNCTION("""COMPUTED_VALUE"""),"Laxian Incorporation")</f>
        <v>Laxian Incorporation</v>
      </c>
    </row>
    <row r="1582">
      <c r="H1582" s="5" t="str">
        <f>IFERROR(__xludf.DUMMYFUNCTION("""COMPUTED_VALUE"""),"LAXIAN PHARMACEUTICALS")</f>
        <v>LAXIAN PHARMACEUTICALS</v>
      </c>
    </row>
    <row r="1583">
      <c r="H1583" s="5" t="str">
        <f>IFERROR(__xludf.DUMMYFUNCTION("""COMPUTED_VALUE"""),"LAXMI DISTIBUTORS")</f>
        <v>LAXMI DISTIBUTORS</v>
      </c>
    </row>
    <row r="1584">
      <c r="H1584" s="5" t="str">
        <f>IFERROR(__xludf.DUMMYFUNCTION("""COMPUTED_VALUE"""),"LAXMI DRUG HOUSE (OTHER GENERAL PRODUCTS)")</f>
        <v>LAXMI DRUG HOUSE (OTHER GENERAL PRODUCTS)</v>
      </c>
    </row>
    <row r="1585">
      <c r="H1585" s="5" t="str">
        <f>IFERROR(__xludf.DUMMYFUNCTION("""COMPUTED_VALUE"""),"LE-VANZA PHARMA PVT LTD")</f>
        <v>LE-VANZA PHARMA PVT LTD</v>
      </c>
    </row>
    <row r="1586">
      <c r="H1586" s="5" t="str">
        <f>IFERROR(__xludf.DUMMYFUNCTION("""COMPUTED_VALUE"""),"LEAD CARE INTERNATIONAL")</f>
        <v>LEAD CARE INTERNATIONAL</v>
      </c>
    </row>
    <row r="1587">
      <c r="H1587" s="5" t="str">
        <f>IFERROR(__xludf.DUMMYFUNCTION("""COMPUTED_VALUE"""),"LEADERS HEALTHCARE LTD")</f>
        <v>LEADERS HEALTHCARE LTD</v>
      </c>
    </row>
    <row r="1588">
      <c r="H1588" s="5" t="str">
        <f>IFERROR(__xludf.DUMMYFUNCTION("""COMPUTED_VALUE"""),"LEBEN LABORATORIES PVT LTD")</f>
        <v>LEBEN LABORATORIES PVT LTD</v>
      </c>
    </row>
    <row r="1589">
      <c r="H1589" s="5" t="str">
        <f>IFERROR(__xludf.DUMMYFUNCTION("""COMPUTED_VALUE"""),"LEDERLE PHARMA")</f>
        <v>LEDERLE PHARMA</v>
      </c>
    </row>
    <row r="1590">
      <c r="H1590" s="5" t="str">
        <f>IFERROR(__xludf.DUMMYFUNCTION("""COMPUTED_VALUE"""),"LEE BENZ LIFESCIENCES")</f>
        <v>LEE BENZ LIFESCIENCES</v>
      </c>
    </row>
    <row r="1591">
      <c r="H1591" s="5" t="str">
        <f>IFERROR(__xludf.DUMMYFUNCTION("""COMPUTED_VALUE"""),"LEEFORD (COSMIC)")</f>
        <v>LEEFORD (COSMIC)</v>
      </c>
    </row>
    <row r="1592">
      <c r="H1592" s="5" t="str">
        <f>IFERROR(__xludf.DUMMYFUNCTION("""COMPUTED_VALUE"""),"LEEFORD (GENERIC)")</f>
        <v>LEEFORD (GENERIC)</v>
      </c>
    </row>
    <row r="1593">
      <c r="H1593" s="5" t="str">
        <f>IFERROR(__xludf.DUMMYFUNCTION("""COMPUTED_VALUE"""),"LEEFORD (HEALTHCARE)")</f>
        <v>LEEFORD (HEALTHCARE)</v>
      </c>
    </row>
    <row r="1594">
      <c r="H1594" s="5" t="str">
        <f>IFERROR(__xludf.DUMMYFUNCTION("""COMPUTED_VALUE"""),"LEEFORD (WELLNESS)")</f>
        <v>LEEFORD (WELLNESS)</v>
      </c>
    </row>
    <row r="1595">
      <c r="H1595" s="5" t="str">
        <f>IFERROR(__xludf.DUMMYFUNCTION("""COMPUTED_VALUE"""),"LEESUN PHARMACEUTICALS")</f>
        <v>LEESUN PHARMACEUTICALS</v>
      </c>
    </row>
    <row r="1596">
      <c r="H1596" s="5" t="str">
        <f>IFERROR(__xludf.DUMMYFUNCTION("""COMPUTED_VALUE"""),"LENVANIB 10MG")</f>
        <v>LENVANIB 10MG</v>
      </c>
    </row>
    <row r="1597">
      <c r="H1597" s="5" t="str">
        <f>IFERROR(__xludf.DUMMYFUNCTION("""COMPUTED_VALUE"""),"LENVANIB 4MG")</f>
        <v>LENVANIB 4MG</v>
      </c>
    </row>
    <row r="1598">
      <c r="H1598" s="5" t="str">
        <f>IFERROR(__xludf.DUMMYFUNCTION("""COMPUTED_VALUE"""),"LEO CHEMICALS")</f>
        <v>LEO CHEMICALS</v>
      </c>
    </row>
    <row r="1599">
      <c r="H1599" s="5" t="str">
        <f>IFERROR(__xludf.DUMMYFUNCTION("""COMPUTED_VALUE"""),"LEO FORMULATION P LTD")</f>
        <v>LEO FORMULATION P LTD</v>
      </c>
    </row>
    <row r="1600">
      <c r="H1600" s="5" t="str">
        <f>IFERROR(__xludf.DUMMYFUNCTION("""COMPUTED_VALUE"""),"LEXA LABS")</f>
        <v>LEXA LABS</v>
      </c>
    </row>
    <row r="1601">
      <c r="H1601" s="5" t="str">
        <f>IFERROR(__xludf.DUMMYFUNCTION("""COMPUTED_VALUE"""),"LEZAA BIOTECH")</f>
        <v>LEZAA BIOTECH</v>
      </c>
    </row>
    <row r="1602">
      <c r="H1602" s="5" t="str">
        <f>IFERROR(__xludf.DUMMYFUNCTION("""COMPUTED_VALUE"""),"LEZAPIN MD")</f>
        <v>LEZAPIN MD</v>
      </c>
    </row>
    <row r="1603">
      <c r="H1603" s="5" t="str">
        <f>IFERROR(__xludf.DUMMYFUNCTION("""COMPUTED_VALUE"""),"LG Lifesciences")</f>
        <v>LG Lifesciences</v>
      </c>
    </row>
    <row r="1604">
      <c r="H1604" s="5" t="str">
        <f>IFERROR(__xludf.DUMMYFUNCTION("""COMPUTED_VALUE"""),"LIFE LINE BIOTECH LTD")</f>
        <v>LIFE LINE BIOTECH LTD</v>
      </c>
    </row>
    <row r="1605">
      <c r="H1605" s="5" t="str">
        <f>IFERROR(__xludf.DUMMYFUNCTION("""COMPUTED_VALUE"""),"LIFE MEDICARE &amp; BIOTECH PVT.LT")</f>
        <v>LIFE MEDICARE &amp; BIOTECH PVT.LT</v>
      </c>
    </row>
    <row r="1606">
      <c r="H1606" s="5" t="str">
        <f>IFERROR(__xludf.DUMMYFUNCTION("""COMPUTED_VALUE"""),"LIFE PHARMACEUTICALS PVT LTD")</f>
        <v>LIFE PHARMACEUTICALS PVT LTD</v>
      </c>
    </row>
    <row r="1607">
      <c r="H1607" s="5" t="str">
        <f>IFERROR(__xludf.DUMMYFUNCTION("""COMPUTED_VALUE"""),"LIFECARE NEURO PRODUCTS LTD")</f>
        <v>LIFECARE NEURO PRODUCTS LTD</v>
      </c>
    </row>
    <row r="1608">
      <c r="H1608" s="5" t="str">
        <f>IFERROR(__xludf.DUMMYFUNCTION("""COMPUTED_VALUE"""),"LIFEGATE REMEDIES")</f>
        <v>LIFEGATE REMEDIES</v>
      </c>
    </row>
    <row r="1609">
      <c r="H1609" s="5" t="str">
        <f>IFERROR(__xludf.DUMMYFUNCTION("""COMPUTED_VALUE"""),"LIFEKYOR PHARMA")</f>
        <v>LIFEKYOR PHARMA</v>
      </c>
    </row>
    <row r="1610">
      <c r="H1610" s="5" t="str">
        <f>IFERROR(__xludf.DUMMYFUNCTION("""COMPUTED_VALUE"""),"LIFESOL MEDICAL LIMITED")</f>
        <v>LIFESOL MEDICAL LIMITED</v>
      </c>
    </row>
    <row r="1611">
      <c r="H1611" s="5" t="str">
        <f>IFERROR(__xludf.DUMMYFUNCTION("""COMPUTED_VALUE"""),"LIFEZ")</f>
        <v>LIFEZ</v>
      </c>
    </row>
    <row r="1612">
      <c r="H1612" s="5" t="str">
        <f>IFERROR(__xludf.DUMMYFUNCTION("""COMPUTED_VALUE"""),"LIFT LIFE BIOTECH")</f>
        <v>LIFT LIFE BIOTECH</v>
      </c>
    </row>
    <row r="1613">
      <c r="H1613" s="5" t="str">
        <f>IFERROR(__xludf.DUMMYFUNCTION("""COMPUTED_VALUE"""),"LIKAMEDA PHARMACEUTICALS PVT LTD")</f>
        <v>LIKAMEDA PHARMACEUTICALS PVT LTD</v>
      </c>
    </row>
    <row r="1614">
      <c r="H1614" s="5" t="str">
        <f>IFERROR(__xludf.DUMMYFUNCTION("""COMPUTED_VALUE"""),"LILANIA MEDICORP (INDIA) P LTD")</f>
        <v>LILANIA MEDICORP (INDIA) P LTD</v>
      </c>
    </row>
    <row r="1615">
      <c r="H1615" s="5" t="str">
        <f>IFERROR(__xludf.DUMMYFUNCTION("""COMPUTED_VALUE"""),"LIMBIC LIFE SCIENCES P LTD")</f>
        <v>LIMBIC LIFE SCIENCES P LTD</v>
      </c>
    </row>
    <row r="1616">
      <c r="H1616" s="5" t="str">
        <f>IFERROR(__xludf.DUMMYFUNCTION("""COMPUTED_VALUE"""),"LINCOLN (LORDS)")</f>
        <v>LINCOLN (LORDS)</v>
      </c>
    </row>
    <row r="1617">
      <c r="H1617" s="5" t="str">
        <f>IFERROR(__xludf.DUMMYFUNCTION("""COMPUTED_VALUE"""),"LINCOLN (TERESA)")</f>
        <v>LINCOLN (TERESA)</v>
      </c>
    </row>
    <row r="1618">
      <c r="H1618" s="5" t="str">
        <f>IFERROR(__xludf.DUMMYFUNCTION("""COMPUTED_VALUE"""),"Lincoln Pharmaceuticals Ltd")</f>
        <v>Lincoln Pharmaceuticals Ltd</v>
      </c>
    </row>
    <row r="1619">
      <c r="H1619" s="5" t="str">
        <f>IFERROR(__xludf.DUMMYFUNCTION("""COMPUTED_VALUE"""),"LINGDAO HEALTHCARE")</f>
        <v>LINGDAO HEALTHCARE</v>
      </c>
    </row>
    <row r="1620">
      <c r="H1620" s="5" t="str">
        <f>IFERROR(__xludf.DUMMYFUNCTION("""COMPUTED_VALUE"""),"LINK PHARMA")</f>
        <v>LINK PHARMA</v>
      </c>
    </row>
    <row r="1621">
      <c r="H1621" s="5" t="str">
        <f>IFERROR(__xludf.DUMMYFUNCTION("""COMPUTED_VALUE"""),"Linux Laboratories")</f>
        <v>Linux Laboratories</v>
      </c>
    </row>
    <row r="1622">
      <c r="H1622" s="5" t="str">
        <f>IFERROR(__xludf.DUMMYFUNCTION("""COMPUTED_VALUE"""),"LION BRAND")</f>
        <v>LION BRAND</v>
      </c>
    </row>
    <row r="1623">
      <c r="H1623" s="5" t="str">
        <f>IFERROR(__xludf.DUMMYFUNCTION("""COMPUTED_VALUE"""),"LIP PINK")</f>
        <v>LIP PINK</v>
      </c>
    </row>
    <row r="1624">
      <c r="H1624" s="5" t="str">
        <f>IFERROR(__xludf.DUMMYFUNCTION("""COMPUTED_VALUE"""),"ListApp Technologies")</f>
        <v>ListApp Technologies</v>
      </c>
    </row>
    <row r="1625">
      <c r="H1625" s="5" t="str">
        <f>IFERROR(__xludf.DUMMYFUNCTION("""COMPUTED_VALUE"""),"LITAKA PHARMACEUTICALS LTD")</f>
        <v>LITAKA PHARMACEUTICALS LTD</v>
      </c>
    </row>
    <row r="1626">
      <c r="H1626" s="5" t="str">
        <f>IFERROR(__xludf.DUMMYFUNCTION("""COMPUTED_VALUE"""),"LITTLE ANGEL")</f>
        <v>LITTLE ANGEL</v>
      </c>
    </row>
    <row r="1627">
      <c r="H1627" s="5" t="str">
        <f>IFERROR(__xludf.DUMMYFUNCTION("""COMPUTED_VALUE"""),"Little Greave Pharmaceuticals Pvt. Ltd.")</f>
        <v>Little Greave Pharmaceuticals Pvt. Ltd.</v>
      </c>
    </row>
    <row r="1628">
      <c r="H1628" s="5" t="str">
        <f>IFERROR(__xludf.DUMMYFUNCTION("""COMPUTED_VALUE"""),"Liva Healthcare Ltd")</f>
        <v>Liva Healthcare Ltd</v>
      </c>
    </row>
    <row r="1629">
      <c r="H1629" s="5" t="str">
        <f>IFERROR(__xludf.DUMMYFUNCTION("""COMPUTED_VALUE"""),"LIVEON HEALTHCARE")</f>
        <v>LIVEON HEALTHCARE</v>
      </c>
    </row>
    <row r="1630">
      <c r="H1630" s="5" t="str">
        <f>IFERROR(__xludf.DUMMYFUNCTION("""COMPUTED_VALUE"""),"LIWEL HEALTHCARE")</f>
        <v>LIWEL HEALTHCARE</v>
      </c>
    </row>
    <row r="1631">
      <c r="H1631" s="5" t="str">
        <f>IFERROR(__xludf.DUMMYFUNCTION("""COMPUTED_VALUE"""),"LOK BETA PHARMACEUTICAL")</f>
        <v>LOK BETA PHARMACEUTICAL</v>
      </c>
    </row>
    <row r="1632">
      <c r="H1632" s="5" t="str">
        <f>IFERROR(__xludf.DUMMYFUNCTION("""COMPUTED_VALUE"""),"LORDS")</f>
        <v>LORDS</v>
      </c>
    </row>
    <row r="1633">
      <c r="H1633" s="5" t="str">
        <f>IFERROR(__xludf.DUMMYFUNCTION("""COMPUTED_VALUE"""),"LOTUS NUTRATECH")</f>
        <v>LOTUS NUTRATECH</v>
      </c>
    </row>
    <row r="1634">
      <c r="H1634" s="5" t="str">
        <f>IFERROR(__xludf.DUMMYFUNCTION("""COMPUTED_VALUE"""),"LOUIES LIFE SCIENCES")</f>
        <v>LOUIES LIFE SCIENCES</v>
      </c>
    </row>
    <row r="1635">
      <c r="H1635" s="5" t="str">
        <f>IFERROR(__xludf.DUMMYFUNCTION("""COMPUTED_VALUE"""),"LT&amp;T PHARMA PVT LTD")</f>
        <v>LT&amp;T PHARMA PVT LTD</v>
      </c>
    </row>
    <row r="1636">
      <c r="H1636" s="5" t="str">
        <f>IFERROR(__xludf.DUMMYFUNCTION("""COMPUTED_VALUE"""),"LUCIFER AND HESPER (INDIA) PVT LTD")</f>
        <v>LUCIFER AND HESPER (INDIA) PVT LTD</v>
      </c>
    </row>
    <row r="1637">
      <c r="H1637" s="5" t="str">
        <f>IFERROR(__xludf.DUMMYFUNCTION("""COMPUTED_VALUE"""),"LUCO HEALTHCARE")</f>
        <v>LUCO HEALTHCARE</v>
      </c>
    </row>
    <row r="1638">
      <c r="H1638" s="5" t="str">
        <f>IFERROR(__xludf.DUMMYFUNCTION("""COMPUTED_VALUE"""),"LUNARIA LIFE SCIENCE")</f>
        <v>LUNARIA LIFE SCIENCE</v>
      </c>
    </row>
    <row r="1639">
      <c r="H1639" s="5" t="str">
        <f>IFERROR(__xludf.DUMMYFUNCTION("""COMPUTED_VALUE"""),"Lundbeck India Pvt Ltd")</f>
        <v>Lundbeck India Pvt Ltd</v>
      </c>
    </row>
    <row r="1640">
      <c r="H1640" s="5" t="str">
        <f>IFERROR(__xludf.DUMMYFUNCTION("""COMPUTED_VALUE"""),"LUPIN (ASCENDER)")</f>
        <v>LUPIN (ASCENDER)</v>
      </c>
    </row>
    <row r="1641">
      <c r="H1641" s="5" t="str">
        <f>IFERROR(__xludf.DUMMYFUNCTION("""COMPUTED_VALUE"""),"LUPIN (ASPIRA)")</f>
        <v>LUPIN (ASPIRA)</v>
      </c>
    </row>
    <row r="1642">
      <c r="H1642" s="5" t="str">
        <f>IFERROR(__xludf.DUMMYFUNCTION("""COMPUTED_VALUE"""),"LUPIN (BLUE EYES)")</f>
        <v>LUPIN (BLUE EYES)</v>
      </c>
    </row>
    <row r="1643">
      <c r="H1643" s="5" t="str">
        <f>IFERROR(__xludf.DUMMYFUNCTION("""COMPUTED_VALUE"""),"LUPIN (DERMA)")</f>
        <v>LUPIN (DERMA)</v>
      </c>
    </row>
    <row r="1644">
      <c r="H1644" s="5" t="str">
        <f>IFERROR(__xludf.DUMMYFUNCTION("""COMPUTED_VALUE"""),"LUPIN (DIABETES CARE)")</f>
        <v>LUPIN (DIABETES CARE)</v>
      </c>
    </row>
    <row r="1645">
      <c r="H1645" s="5" t="str">
        <f>IFERROR(__xludf.DUMMYFUNCTION("""COMPUTED_VALUE"""),"LUPIN (ENDEAVOUR)")</f>
        <v>LUPIN (ENDEAVOUR)</v>
      </c>
    </row>
    <row r="1646">
      <c r="H1646" s="5" t="str">
        <f>IFERROR(__xludf.DUMMYFUNCTION("""COMPUTED_VALUE"""),"LUPIN (FEMINA)")</f>
        <v>LUPIN (FEMINA)</v>
      </c>
    </row>
    <row r="1647">
      <c r="H1647" s="5" t="str">
        <f>IFERROR(__xludf.DUMMYFUNCTION("""COMPUTED_VALUE"""),"LUPIN (FORMICA)")</f>
        <v>LUPIN (FORMICA)</v>
      </c>
    </row>
    <row r="1648">
      <c r="H1648" s="5" t="str">
        <f>IFERROR(__xludf.DUMMYFUNCTION("""COMPUTED_VALUE"""),"LUPIN (GENERIC)")</f>
        <v>LUPIN (GENERIC)</v>
      </c>
    </row>
    <row r="1649">
      <c r="H1649" s="5" t="str">
        <f>IFERROR(__xludf.DUMMYFUNCTION("""COMPUTED_VALUE"""),"LUPIN (IKONIC)")</f>
        <v>LUPIN (IKONIC)</v>
      </c>
    </row>
    <row r="1650">
      <c r="H1650" s="5" t="str">
        <f>IFERROR(__xludf.DUMMYFUNCTION("""COMPUTED_VALUE"""),"LUPIN (LIFE)")</f>
        <v>LUPIN (LIFE)</v>
      </c>
    </row>
    <row r="1651">
      <c r="H1651" s="5" t="str">
        <f>IFERROR(__xludf.DUMMYFUNCTION("""COMPUTED_VALUE"""),"LUPIN (MAXTER)")</f>
        <v>LUPIN (MAXTER)</v>
      </c>
    </row>
    <row r="1652">
      <c r="H1652" s="5" t="str">
        <f>IFERROR(__xludf.DUMMYFUNCTION("""COMPUTED_VALUE"""),"LUPIN (METABOLICS)")</f>
        <v>LUPIN (METABOLICS)</v>
      </c>
    </row>
    <row r="1653">
      <c r="H1653" s="5" t="str">
        <f>IFERROR(__xludf.DUMMYFUNCTION("""COMPUTED_VALUE"""),"LUPIN (MIND VISION)")</f>
        <v>LUPIN (MIND VISION)</v>
      </c>
    </row>
    <row r="1654">
      <c r="H1654" s="5" t="str">
        <f>IFERROR(__xludf.DUMMYFUNCTION("""COMPUTED_VALUE"""),"LUPIN (NEPHRO)")</f>
        <v>LUPIN (NEPHRO)</v>
      </c>
    </row>
    <row r="1655">
      <c r="H1655" s="5" t="str">
        <f>IFERROR(__xludf.DUMMYFUNCTION("""COMPUTED_VALUE"""),"LUPIN (PHOENIX)")</f>
        <v>LUPIN (PHOENIX)</v>
      </c>
    </row>
    <row r="1656">
      <c r="H1656" s="5" t="str">
        <f>IFERROR(__xludf.DUMMYFUNCTION("""COMPUTED_VALUE"""),"LUPIN (PINACALLE)")</f>
        <v>LUPIN (PINACALLE)</v>
      </c>
    </row>
    <row r="1657">
      <c r="H1657" s="5" t="str">
        <f>IFERROR(__xludf.DUMMYFUNCTION("""COMPUTED_VALUE"""),"LUPIN (PINNACLE CVN)")</f>
        <v>LUPIN (PINNACLE CVN)</v>
      </c>
    </row>
    <row r="1658">
      <c r="H1658" s="5" t="str">
        <f>IFERROR(__xludf.DUMMYFUNCTION("""COMPUTED_VALUE"""),"LUPIN (PRIMUSO)")</f>
        <v>LUPIN (PRIMUSO)</v>
      </c>
    </row>
    <row r="1659">
      <c r="H1659" s="5" t="str">
        <f>IFERROR(__xludf.DUMMYFUNCTION("""COMPUTED_VALUE"""),"LUPIN (RESPIRA-SPECIALITY)")</f>
        <v>LUPIN (RESPIRA-SPECIALITY)</v>
      </c>
    </row>
    <row r="1660">
      <c r="H1660" s="5" t="str">
        <f>IFERROR(__xludf.DUMMYFUNCTION("""COMPUTED_VALUE"""),"LUPIN (RESPIRA)")</f>
        <v>LUPIN (RESPIRA)</v>
      </c>
    </row>
    <row r="1661">
      <c r="H1661" s="5" t="str">
        <f>IFERROR(__xludf.DUMMYFUNCTION("""COMPUTED_VALUE"""),"LUPIN (STELLAR)")</f>
        <v>LUPIN (STELLAR)</v>
      </c>
    </row>
    <row r="1662">
      <c r="H1662" s="5" t="str">
        <f>IFERROR(__xludf.DUMMYFUNCTION("""COMPUTED_VALUE"""),"LUPIN (SYNOX)")</f>
        <v>LUPIN (SYNOX)</v>
      </c>
    </row>
    <row r="1663">
      <c r="H1663" s="5" t="str">
        <f>IFERROR(__xludf.DUMMYFUNCTION("""COMPUTED_VALUE"""),"LUPIN (TB)")</f>
        <v>LUPIN (TB)</v>
      </c>
    </row>
    <row r="1664">
      <c r="H1664" s="5" t="str">
        <f>IFERROR(__xludf.DUMMYFUNCTION("""COMPUTED_VALUE"""),"Lupin Ltd")</f>
        <v>Lupin Ltd</v>
      </c>
    </row>
    <row r="1665">
      <c r="H1665" s="5" t="str">
        <f>IFERROR(__xludf.DUMMYFUNCTION("""COMPUTED_VALUE"""),"LUSAN PHARMACEUTICALS")</f>
        <v>LUSAN PHARMACEUTICALS</v>
      </c>
    </row>
    <row r="1666">
      <c r="H1666" s="5" t="str">
        <f>IFERROR(__xludf.DUMMYFUNCTION("""COMPUTED_VALUE"""),"LUVIA LIFESCIENCES")</f>
        <v>LUVIA LIFESCIENCES</v>
      </c>
    </row>
    <row r="1667">
      <c r="H1667" s="5" t="str">
        <f>IFERROR(__xludf.DUMMYFUNCTION("""COMPUTED_VALUE"""),"LYCON HEALTHCARE PVT LTD")</f>
        <v>LYCON HEALTHCARE PVT LTD</v>
      </c>
    </row>
    <row r="1668">
      <c r="H1668" s="5" t="str">
        <f>IFERROR(__xludf.DUMMYFUNCTION("""COMPUTED_VALUE"""),"LYKA LABS LTD")</f>
        <v>LYKA LABS LTD</v>
      </c>
    </row>
    <row r="1669">
      <c r="H1669" s="5" t="str">
        <f>IFERROR(__xludf.DUMMYFUNCTION("""COMPUTED_VALUE"""),"LYRA LABORATORIES PVT LTD")</f>
        <v>LYRA LABORATORIES PVT LTD</v>
      </c>
    </row>
    <row r="1670">
      <c r="H1670" s="5" t="str">
        <f>IFERROR(__xludf.DUMMYFUNCTION("""COMPUTED_VALUE"""),"LYSTEN GLOBAL PHARMACEUTICAL")</f>
        <v>LYSTEN GLOBAL PHARMACEUTICAL</v>
      </c>
    </row>
    <row r="1671">
      <c r="H1671" s="5" t="str">
        <f>IFERROR(__xludf.DUMMYFUNCTION("""COMPUTED_VALUE"""),"M &amp; M PHARMA")</f>
        <v>M &amp; M PHARMA</v>
      </c>
    </row>
    <row r="1672">
      <c r="H1672" s="5" t="str">
        <f>IFERROR(__xludf.DUMMYFUNCTION("""COMPUTED_VALUE"""),"M H JAVERIAN N SONS")</f>
        <v>M H JAVERIAN N SONS</v>
      </c>
    </row>
    <row r="1673">
      <c r="H1673" s="5" t="str">
        <f>IFERROR(__xludf.DUMMYFUNCTION("""COMPUTED_VALUE"""),"MAA CHAMUNDA HEALTHCARE")</f>
        <v>MAA CHAMUNDA HEALTHCARE</v>
      </c>
    </row>
    <row r="1674">
      <c r="H1674" s="5" t="str">
        <f>IFERROR(__xludf.DUMMYFUNCTION("""COMPUTED_VALUE"""),"MAAN PHARMACEUTICAL LTD")</f>
        <v>MAAN PHARMACEUTICAL LTD</v>
      </c>
    </row>
    <row r="1675">
      <c r="H1675" s="5" t="str">
        <f>IFERROR(__xludf.DUMMYFUNCTION("""COMPUTED_VALUE"""),"MACELODS (CV)")</f>
        <v>MACELODS (CV)</v>
      </c>
    </row>
    <row r="1676">
      <c r="H1676" s="5" t="str">
        <f>IFERROR(__xludf.DUMMYFUNCTION("""COMPUTED_VALUE"""),"MACFORD PHARMACEUTICALS")</f>
        <v>MACFORD PHARMACEUTICALS</v>
      </c>
    </row>
    <row r="1677">
      <c r="H1677" s="5" t="str">
        <f>IFERROR(__xludf.DUMMYFUNCTION("""COMPUTED_VALUE"""),"MACIN'S PHARMA")</f>
        <v>MACIN'S PHARMA</v>
      </c>
    </row>
    <row r="1678">
      <c r="H1678" s="5" t="str">
        <f>IFERROR(__xludf.DUMMYFUNCTION("""COMPUTED_VALUE"""),"MACLEODS (ACCUPHAR)")</f>
        <v>MACLEODS (ACCUPHAR)</v>
      </c>
    </row>
    <row r="1679">
      <c r="H1679" s="5" t="str">
        <f>IFERROR(__xludf.DUMMYFUNCTION("""COMPUTED_VALUE"""),"MACLEODS (AEROMAC)")</f>
        <v>MACLEODS (AEROMAC)</v>
      </c>
    </row>
    <row r="1680">
      <c r="H1680" s="5" t="str">
        <f>IFERROR(__xludf.DUMMYFUNCTION("""COMPUTED_VALUE"""),"MACLEODS (GEN CARE)")</f>
        <v>MACLEODS (GEN CARE)</v>
      </c>
    </row>
    <row r="1681">
      <c r="H1681" s="5" t="str">
        <f>IFERROR(__xludf.DUMMYFUNCTION("""COMPUTED_VALUE"""),"MACLEODS (MACPHAR)")</f>
        <v>MACLEODS (MACPHAR)</v>
      </c>
    </row>
    <row r="1682">
      <c r="H1682" s="5" t="str">
        <f>IFERROR(__xludf.DUMMYFUNCTION("""COMPUTED_VALUE"""),"MACLEODS (OSTEVA)")</f>
        <v>MACLEODS (OSTEVA)</v>
      </c>
    </row>
    <row r="1683">
      <c r="H1683" s="5" t="str">
        <f>IFERROR(__xludf.DUMMYFUNCTION("""COMPUTED_VALUE"""),"MACLEODS (OXALIS)")</f>
        <v>MACLEODS (OXALIS)</v>
      </c>
    </row>
    <row r="1684">
      <c r="H1684" s="5" t="str">
        <f>IFERROR(__xludf.DUMMYFUNCTION("""COMPUTED_VALUE"""),"MACLEODS (PROCARE-AHT)")</f>
        <v>MACLEODS (PROCARE-AHT)</v>
      </c>
    </row>
    <row r="1685">
      <c r="H1685" s="5" t="str">
        <f>IFERROR(__xludf.DUMMYFUNCTION("""COMPUTED_VALUE"""),"MACLEODS (PROCARE-AHT2)")</f>
        <v>MACLEODS (PROCARE-AHT2)</v>
      </c>
    </row>
    <row r="1686">
      <c r="H1686" s="5" t="str">
        <f>IFERROR(__xludf.DUMMYFUNCTION("""COMPUTED_VALUE"""),"MACLEODS (PROCARE-CV)")</f>
        <v>MACLEODS (PROCARE-CV)</v>
      </c>
    </row>
    <row r="1687">
      <c r="H1687" s="5" t="str">
        <f>IFERROR(__xludf.DUMMYFUNCTION("""COMPUTED_VALUE"""),"MACLEODS (TB CARE)")</f>
        <v>MACLEODS (TB CARE)</v>
      </c>
    </row>
    <row r="1688">
      <c r="H1688" s="5" t="str">
        <f>IFERROR(__xludf.DUMMYFUNCTION("""COMPUTED_VALUE"""),"MACLEODS PHARMA (MAIN)")</f>
        <v>MACLEODS PHARMA (MAIN)</v>
      </c>
    </row>
    <row r="1689">
      <c r="H1689" s="5" t="str">
        <f>IFERROR(__xludf.DUMMYFUNCTION("""COMPUTED_VALUE"""),"Macleods Pharmaceuticals Pvt Ltd")</f>
        <v>Macleods Pharmaceuticals Pvt Ltd</v>
      </c>
    </row>
    <row r="1690">
      <c r="H1690" s="5" t="str">
        <f>IFERROR(__xludf.DUMMYFUNCTION("""COMPUTED_VALUE"""),"MACLIFE BIOTECH P LTD")</f>
        <v>MACLIFE BIOTECH P LTD</v>
      </c>
    </row>
    <row r="1691">
      <c r="H1691" s="5" t="str">
        <f>IFERROR(__xludf.DUMMYFUNCTION("""COMPUTED_VALUE"""),"MACLOEDS (PROCARE-HD)")</f>
        <v>MACLOEDS (PROCARE-HD)</v>
      </c>
    </row>
    <row r="1692">
      <c r="H1692" s="5" t="str">
        <f>IFERROR(__xludf.DUMMYFUNCTION("""COMPUTED_VALUE"""),"MACLOWIN LIFE SCIENCE")</f>
        <v>MACLOWIN LIFE SCIENCE</v>
      </c>
    </row>
    <row r="1693">
      <c r="H1693" s="5" t="str">
        <f>IFERROR(__xludf.DUMMYFUNCTION("""COMPUTED_VALUE"""),"MACPHAR REMEDIES")</f>
        <v>MACPHAR REMEDIES</v>
      </c>
    </row>
    <row r="1694">
      <c r="H1694" s="5" t="str">
        <f>IFERROR(__xludf.DUMMYFUNCTION("""COMPUTED_VALUE"""),"MACTEC LIFE SCIENCES")</f>
        <v>MACTEC LIFE SCIENCES</v>
      </c>
    </row>
    <row r="1695">
      <c r="H1695" s="5" t="str">
        <f>IFERROR(__xludf.DUMMYFUNCTION("""COMPUTED_VALUE"""),"MACWELL PHARMACEUTICALS")</f>
        <v>MACWELL PHARMACEUTICALS</v>
      </c>
    </row>
    <row r="1696">
      <c r="H1696" s="5" t="str">
        <f>IFERROR(__xludf.DUMMYFUNCTION("""COMPUTED_VALUE"""),"MACWIN PHARMACEUTICALS PVT LTD")</f>
        <v>MACWIN PHARMACEUTICALS PVT LTD</v>
      </c>
    </row>
    <row r="1697">
      <c r="H1697" s="5" t="str">
        <f>IFERROR(__xludf.DUMMYFUNCTION("""COMPUTED_VALUE"""),"MADBRIS LIFESCIENCES PVT LTD")</f>
        <v>MADBRIS LIFESCIENCES PVT LTD</v>
      </c>
    </row>
    <row r="1698">
      <c r="H1698" s="5" t="str">
        <f>IFERROR(__xludf.DUMMYFUNCTION("""COMPUTED_VALUE"""),"MADHU TRADERS")</f>
        <v>MADHU TRADERS</v>
      </c>
    </row>
    <row r="1699">
      <c r="H1699" s="5" t="str">
        <f>IFERROR(__xludf.DUMMYFUNCTION("""COMPUTED_VALUE"""),"MAESTROS MEDILINE SYSTEMS LIMITED")</f>
        <v>MAESTROS MEDILINE SYSTEMS LIMITED</v>
      </c>
    </row>
    <row r="1700">
      <c r="H1700" s="5" t="str">
        <f>IFERROR(__xludf.DUMMYFUNCTION("""COMPUTED_VALUE"""),"MAGMA ALLIANZ")</f>
        <v>MAGMA ALLIANZ</v>
      </c>
    </row>
    <row r="1701">
      <c r="H1701" s="5" t="str">
        <f>IFERROR(__xludf.DUMMYFUNCTION("""COMPUTED_VALUE"""),"Maharishi Ayurveda Products Pvt Ltd")</f>
        <v>Maharishi Ayurveda Products Pvt Ltd</v>
      </c>
    </row>
    <row r="1702">
      <c r="H1702" s="5" t="str">
        <f>IFERROR(__xludf.DUMMYFUNCTION("""COMPUTED_VALUE"""),"MAHARSHI BADRI PHARMACEUTICALS")</f>
        <v>MAHARSHI BADRI PHARMACEUTICALS</v>
      </c>
    </row>
    <row r="1703">
      <c r="H1703" s="5" t="str">
        <f>IFERROR(__xludf.DUMMYFUNCTION("""COMPUTED_VALUE"""),"MAHESHWARI FARMACEUTICAL LTD")</f>
        <v>MAHESHWARI FARMACEUTICAL LTD</v>
      </c>
    </row>
    <row r="1704">
      <c r="H1704" s="5" t="str">
        <f>IFERROR(__xludf.DUMMYFUNCTION("""COMPUTED_VALUE"""),"MAKERS LABORATORIES LTD")</f>
        <v>MAKERS LABORATORIES LTD</v>
      </c>
    </row>
    <row r="1705">
      <c r="H1705" s="5" t="str">
        <f>IFERROR(__xludf.DUMMYFUNCTION("""COMPUTED_VALUE"""),"MAKEWELL PHARMACEUTICAL")</f>
        <v>MAKEWELL PHARMACEUTICAL</v>
      </c>
    </row>
    <row r="1706">
      <c r="H1706" s="5" t="str">
        <f>IFERROR(__xludf.DUMMYFUNCTION("""COMPUTED_VALUE"""),"MAKIN LABORATORIES PVT LTD")</f>
        <v>MAKIN LABORATORIES PVT LTD</v>
      </c>
    </row>
    <row r="1707">
      <c r="H1707" s="5" t="str">
        <f>IFERROR(__xludf.DUMMYFUNCTION("""COMPUTED_VALUE"""),"MAKSUN BIOTECH P LTD")</f>
        <v>MAKSUN BIOTECH P LTD</v>
      </c>
    </row>
    <row r="1708">
      <c r="H1708" s="5" t="str">
        <f>IFERROR(__xludf.DUMMYFUNCTION("""COMPUTED_VALUE"""),"MAMTA PHARMACEUTICALS PVT LTD")</f>
        <v>MAMTA PHARMACEUTICALS PVT LTD</v>
      </c>
    </row>
    <row r="1709">
      <c r="H1709" s="5" t="str">
        <f>IFERROR(__xludf.DUMMYFUNCTION("""COMPUTED_VALUE"""),"MAN SERVE PHARMA")</f>
        <v>MAN SERVE PHARMA</v>
      </c>
    </row>
    <row r="1710">
      <c r="H1710" s="5" t="str">
        <f>IFERROR(__xludf.DUMMYFUNCTION("""COMPUTED_VALUE"""),"MANCARE LABS PVT LTD")</f>
        <v>MANCARE LABS PVT LTD</v>
      </c>
    </row>
    <row r="1711">
      <c r="H1711" s="5" t="str">
        <f>IFERROR(__xludf.DUMMYFUNCTION("""COMPUTED_VALUE"""),"MANEESH HEALTH CARE")</f>
        <v>MANEESH HEALTH CARE</v>
      </c>
    </row>
    <row r="1712">
      <c r="H1712" s="5" t="str">
        <f>IFERROR(__xludf.DUMMYFUNCTION("""COMPUTED_VALUE"""),"Maneesh Pharmaceuticals")</f>
        <v>Maneesh Pharmaceuticals</v>
      </c>
    </row>
    <row r="1713">
      <c r="H1713" s="5" t="str">
        <f>IFERROR(__xludf.DUMMYFUNCTION("""COMPUTED_VALUE"""),"MANKIND (3D)")</f>
        <v>MANKIND (3D)</v>
      </c>
    </row>
    <row r="1714">
      <c r="H1714" s="5" t="str">
        <f>IFERROR(__xludf.DUMMYFUNCTION("""COMPUTED_VALUE"""),"MANKIND (CURIS)")</f>
        <v>MANKIND (CURIS)</v>
      </c>
    </row>
    <row r="1715">
      <c r="H1715" s="5" t="str">
        <f>IFERROR(__xludf.DUMMYFUNCTION("""COMPUTED_VALUE"""),"MANKIND (DISCOVERY)")</f>
        <v>MANKIND (DISCOVERY)</v>
      </c>
    </row>
    <row r="1716">
      <c r="H1716" s="5" t="str">
        <f>IFERROR(__xludf.DUMMYFUNCTION("""COMPUTED_VALUE"""),"MANKIND (FUTURE)")</f>
        <v>MANKIND (FUTURE)</v>
      </c>
    </row>
    <row r="1717">
      <c r="H1717" s="5" t="str">
        <f>IFERROR(__xludf.DUMMYFUNCTION("""COMPUTED_VALUE"""),"MANKIND (GENERIC-AMAZING)")</f>
        <v>MANKIND (GENERIC-AMAZING)</v>
      </c>
    </row>
    <row r="1718">
      <c r="H1718" s="5" t="str">
        <f>IFERROR(__xludf.DUMMYFUNCTION("""COMPUTED_VALUE"""),"MANKIND (GENERIC)")</f>
        <v>MANKIND (GENERIC)</v>
      </c>
    </row>
    <row r="1719">
      <c r="H1719" s="5" t="str">
        <f>IFERROR(__xludf.DUMMYFUNCTION("""COMPUTED_VALUE"""),"MANKIND (GRAVITAS)")</f>
        <v>MANKIND (GRAVITAS)</v>
      </c>
    </row>
    <row r="1720">
      <c r="H1720" s="5" t="str">
        <f>IFERROR(__xludf.DUMMYFUNCTION("""COMPUTED_VALUE"""),"MANKIND (LIFESTAR-1)")</f>
        <v>MANKIND (LIFESTAR-1)</v>
      </c>
    </row>
    <row r="1721">
      <c r="H1721" s="5" t="str">
        <f>IFERROR(__xludf.DUMMYFUNCTION("""COMPUTED_VALUE"""),"MANKIND (LIFESTAR-2)")</f>
        <v>MANKIND (LIFESTAR-2)</v>
      </c>
    </row>
    <row r="1722">
      <c r="H1722" s="5" t="str">
        <f>IFERROR(__xludf.DUMMYFUNCTION("""COMPUTED_VALUE"""),"MANKIND (MAGNET)")</f>
        <v>MANKIND (MAGNET)</v>
      </c>
    </row>
    <row r="1723">
      <c r="H1723" s="5" t="str">
        <f>IFERROR(__xludf.DUMMYFUNCTION("""COMPUTED_VALUE"""),"MANKIND (MAIN)")</f>
        <v>MANKIND (MAIN)</v>
      </c>
    </row>
    <row r="1724">
      <c r="H1724" s="5" t="str">
        <f>IFERROR(__xludf.DUMMYFUNCTION("""COMPUTED_VALUE"""),"MANKIND (NOBELIS)")</f>
        <v>MANKIND (NOBELIS)</v>
      </c>
    </row>
    <row r="1725">
      <c r="H1725" s="5" t="str">
        <f>IFERROR(__xludf.DUMMYFUNCTION("""COMPUTED_VALUE"""),"MANKIND (OCULARIS)")</f>
        <v>MANKIND (OCULARIS)</v>
      </c>
    </row>
    <row r="1726">
      <c r="H1726" s="5" t="str">
        <f>IFERROR(__xludf.DUMMYFUNCTION("""COMPUTED_VALUE"""),"MANKIND (SPECIAL)")</f>
        <v>MANKIND (SPECIAL)</v>
      </c>
    </row>
    <row r="1727">
      <c r="H1727" s="5" t="str">
        <f>IFERROR(__xludf.DUMMYFUNCTION("""COMPUTED_VALUE"""),"MANKIND (ZESTEVA)")</f>
        <v>MANKIND (ZESTEVA)</v>
      </c>
    </row>
    <row r="1728">
      <c r="H1728" s="5" t="str">
        <f>IFERROR(__xludf.DUMMYFUNCTION("""COMPUTED_VALUE"""),"Mankind Pharma Ltd")</f>
        <v>Mankind Pharma Ltd</v>
      </c>
    </row>
    <row r="1729">
      <c r="H1729" s="5" t="str">
        <f>IFERROR(__xludf.DUMMYFUNCTION("""COMPUTED_VALUE"""),"MANTIS REMEDIES")</f>
        <v>MANTIS REMEDIES</v>
      </c>
    </row>
    <row r="1730">
      <c r="H1730" s="5" t="str">
        <f>IFERROR(__xludf.DUMMYFUNCTION("""COMPUTED_VALUE"""),"MANTRA PHARMACEUTICALS")</f>
        <v>MANTRA PHARMACEUTICALS</v>
      </c>
    </row>
    <row r="1731">
      <c r="H1731" s="5" t="str">
        <f>IFERROR(__xludf.DUMMYFUNCTION("""COMPUTED_VALUE"""),"MANTRAX HEALTHCARE")</f>
        <v>MANTRAX HEALTHCARE</v>
      </c>
    </row>
    <row r="1732">
      <c r="H1732" s="5" t="str">
        <f>IFERROR(__xludf.DUMMYFUNCTION("""COMPUTED_VALUE"""),"MAPLE DRUGS")</f>
        <v>MAPLE DRUGS</v>
      </c>
    </row>
    <row r="1733">
      <c r="H1733" s="5" t="str">
        <f>IFERROR(__xludf.DUMMYFUNCTION("""COMPUTED_VALUE"""),"MAPLE DRUGS &amp; PHARMACEUTICALS")</f>
        <v>MAPLE DRUGS &amp; PHARMACEUTICALS</v>
      </c>
    </row>
    <row r="1734">
      <c r="H1734" s="5" t="str">
        <f>IFERROR(__xludf.DUMMYFUNCTION("""COMPUTED_VALUE"""),"Mapra Laboratories Pvt Ltd")</f>
        <v>Mapra Laboratories Pvt Ltd</v>
      </c>
    </row>
    <row r="1735">
      <c r="H1735" s="5" t="str">
        <f>IFERROR(__xludf.DUMMYFUNCTION("""COMPUTED_VALUE"""),"MAPRO")</f>
        <v>MAPRO</v>
      </c>
    </row>
    <row r="1736">
      <c r="H1736" s="5" t="str">
        <f>IFERROR(__xludf.DUMMYFUNCTION("""COMPUTED_VALUE"""),"MAPRO LIFESCIENCE")</f>
        <v>MAPRO LIFESCIENCE</v>
      </c>
    </row>
    <row r="1737">
      <c r="H1737" s="5" t="str">
        <f>IFERROR(__xludf.DUMMYFUNCTION("""COMPUTED_VALUE"""),"MAPSCURC SUSPENSION")</f>
        <v>MAPSCURC SUSPENSION</v>
      </c>
    </row>
    <row r="1738">
      <c r="H1738" s="5" t="str">
        <f>IFERROR(__xludf.DUMMYFUNCTION("""COMPUTED_VALUE"""),"MAPSCURC TAB")</f>
        <v>MAPSCURC TAB</v>
      </c>
    </row>
    <row r="1739">
      <c r="H1739" s="5" t="str">
        <f>IFERROR(__xludf.DUMMYFUNCTION("""COMPUTED_VALUE"""),"MAPSCURE GEL")</f>
        <v>MAPSCURE GEL</v>
      </c>
    </row>
    <row r="1740">
      <c r="H1740" s="5" t="str">
        <f>IFERROR(__xludf.DUMMYFUNCTION("""COMPUTED_VALUE"""),"MAPSCURE TAB")</f>
        <v>MAPSCURE TAB</v>
      </c>
    </row>
    <row r="1741">
      <c r="H1741" s="5" t="str">
        <f>IFERROR(__xludf.DUMMYFUNCTION("""COMPUTED_VALUE"""),"MAPSGEM 1000")</f>
        <v>MAPSGEM 1000</v>
      </c>
    </row>
    <row r="1742">
      <c r="H1742" s="5" t="str">
        <f>IFERROR(__xludf.DUMMYFUNCTION("""COMPUTED_VALUE"""),"MAPSONIB 200MG")</f>
        <v>MAPSONIB 200MG</v>
      </c>
    </row>
    <row r="1743">
      <c r="H1743" s="5" t="str">
        <f>IFERROR(__xludf.DUMMYFUNCTION("""COMPUTED_VALUE"""),"MAPSTABINE 500MG")</f>
        <v>MAPSTABINE 500MG</v>
      </c>
    </row>
    <row r="1744">
      <c r="H1744" s="5" t="str">
        <f>IFERROR(__xludf.DUMMYFUNCTION("""COMPUTED_VALUE"""),"MAPSTHIONE 250MG")</f>
        <v>MAPSTHIONE 250MG</v>
      </c>
    </row>
    <row r="1745">
      <c r="H1745" s="5" t="str">
        <f>IFERROR(__xludf.DUMMYFUNCTION("""COMPUTED_VALUE"""),"Marc Laboratories Pvt Ltd")</f>
        <v>Marc Laboratories Pvt Ltd</v>
      </c>
    </row>
    <row r="1746">
      <c r="H1746" s="5" t="str">
        <f>IFERROR(__xludf.DUMMYFUNCTION("""COMPUTED_VALUE"""),"Marck Biosciences Ltd")</f>
        <v>Marck Biosciences Ltd</v>
      </c>
    </row>
    <row r="1747">
      <c r="H1747" s="5" t="str">
        <f>IFERROR(__xludf.DUMMYFUNCTION("""COMPUTED_VALUE"""),"MARDIA PHARMACEUTICALS")</f>
        <v>MARDIA PHARMACEUTICALS</v>
      </c>
    </row>
    <row r="1748">
      <c r="H1748" s="5" t="str">
        <f>IFERROR(__xludf.DUMMYFUNCTION("""COMPUTED_VALUE"""),"Mark India")</f>
        <v>Mark India</v>
      </c>
    </row>
    <row r="1749">
      <c r="H1749" s="5" t="str">
        <f>IFERROR(__xludf.DUMMYFUNCTION("""COMPUTED_VALUE"""),"MARKSANS PHARMA LTD (CNS CEREBELLA)")</f>
        <v>MARKSANS PHARMA LTD (CNS CEREBELLA)</v>
      </c>
    </row>
    <row r="1750">
      <c r="H1750" s="5" t="str">
        <f>IFERROR(__xludf.DUMMYFUNCTION("""COMPUTED_VALUE"""),"MARS COMMERCE (VALERIE)")</f>
        <v>MARS COMMERCE (VALERIE)</v>
      </c>
    </row>
    <row r="1751">
      <c r="H1751" s="5" t="str">
        <f>IFERROR(__xludf.DUMMYFUNCTION("""COMPUTED_VALUE"""),"MARTIN &amp; BROWN BIOSCIENCES")</f>
        <v>MARTIN &amp; BROWN BIOSCIENCES</v>
      </c>
    </row>
    <row r="1752">
      <c r="H1752" s="5" t="str">
        <f>IFERROR(__xludf.DUMMYFUNCTION("""COMPUTED_VALUE"""),"Martin &amp; Harris Pvt Ltd")</f>
        <v>Martin &amp; Harris Pvt Ltd</v>
      </c>
    </row>
    <row r="1753">
      <c r="H1753" s="5" t="str">
        <f>IFERROR(__xludf.DUMMYFUNCTION("""COMPUTED_VALUE"""),"MARVEK BIOSCIENCES")</f>
        <v>MARVEK BIOSCIENCES</v>
      </c>
    </row>
    <row r="1754">
      <c r="H1754" s="5" t="str">
        <f>IFERROR(__xludf.DUMMYFUNCTION("""COMPUTED_VALUE"""),"MARVEL BIOSCIENCES")</f>
        <v>MARVEL BIOSCIENCES</v>
      </c>
    </row>
    <row r="1755">
      <c r="H1755" s="5" t="str">
        <f>IFERROR(__xludf.DUMMYFUNCTION("""COMPUTED_VALUE"""),"MARX PHARMA")</f>
        <v>MARX PHARMA</v>
      </c>
    </row>
    <row r="1756">
      <c r="H1756" s="5" t="str">
        <f>IFERROR(__xludf.DUMMYFUNCTION("""COMPUTED_VALUE"""),"MARX REMEDIES")</f>
        <v>MARX REMEDIES</v>
      </c>
    </row>
    <row r="1757">
      <c r="H1757" s="5" t="str">
        <f>IFERROR(__xludf.DUMMYFUNCTION("""COMPUTED_VALUE"""),"MAS HEALTHCARE P LTD")</f>
        <v>MAS HEALTHCARE P LTD</v>
      </c>
    </row>
    <row r="1758">
      <c r="H1758" s="5" t="str">
        <f>IFERROR(__xludf.DUMMYFUNCTION("""COMPUTED_VALUE"""),"MAS PHARMACHEM SOLAN")</f>
        <v>MAS PHARMACHEM SOLAN</v>
      </c>
    </row>
    <row r="1759">
      <c r="H1759" s="5" t="str">
        <f>IFERROR(__xludf.DUMMYFUNCTION("""COMPUTED_VALUE"""),"MASCOT BIOTECH")</f>
        <v>MASCOT BIOTECH</v>
      </c>
    </row>
    <row r="1760">
      <c r="H1760" s="5" t="str">
        <f>IFERROR(__xludf.DUMMYFUNCTION("""COMPUTED_VALUE"""),"MASCOT HEALTH SERIES PVT LTD")</f>
        <v>MASCOT HEALTH SERIES PVT LTD</v>
      </c>
    </row>
    <row r="1761">
      <c r="H1761" s="5" t="str">
        <f>IFERROR(__xludf.DUMMYFUNCTION("""COMPUTED_VALUE"""),"MASCOT LIFESCIENCE P LTD")</f>
        <v>MASCOT LIFESCIENCE P LTD</v>
      </c>
    </row>
    <row r="1762">
      <c r="H1762" s="5" t="str">
        <f>IFERROR(__xludf.DUMMYFUNCTION("""COMPUTED_VALUE"""),"MATIAS HEALTHCARE")</f>
        <v>MATIAS HEALTHCARE</v>
      </c>
    </row>
    <row r="1763">
      <c r="H1763" s="5" t="str">
        <f>IFERROR(__xludf.DUMMYFUNCTION("""COMPUTED_VALUE"""),"MATRIA MEDICA")</f>
        <v>MATRIA MEDICA</v>
      </c>
    </row>
    <row r="1764">
      <c r="H1764" s="5" t="str">
        <f>IFERROR(__xludf.DUMMYFUNCTION("""COMPUTED_VALUE"""),"MATTEO (CVD)")</f>
        <v>MATTEO (CVD)</v>
      </c>
    </row>
    <row r="1765">
      <c r="H1765" s="5" t="str">
        <f>IFERROR(__xludf.DUMMYFUNCTION("""COMPUTED_VALUE"""),"MATTEO HEALTHCARE PVT LTD")</f>
        <v>MATTEO HEALTHCARE PVT LTD</v>
      </c>
    </row>
    <row r="1766">
      <c r="H1766" s="5" t="str">
        <f>IFERROR(__xludf.DUMMYFUNCTION("""COMPUTED_VALUE"""),"MAX CHEMICALS (INDIA)")</f>
        <v>MAX CHEMICALS (INDIA)</v>
      </c>
    </row>
    <row r="1767">
      <c r="H1767" s="5" t="str">
        <f>IFERROR(__xludf.DUMMYFUNCTION("""COMPUTED_VALUE"""),"MAX PHARMA")</f>
        <v>MAX PHARMA</v>
      </c>
    </row>
    <row r="1768">
      <c r="H1768" s="5" t="str">
        <f>IFERROR(__xludf.DUMMYFUNCTION("""COMPUTED_VALUE"""),"MAXFORD HEALTHCARE")</f>
        <v>MAXFORD HEALTHCARE</v>
      </c>
    </row>
    <row r="1769">
      <c r="H1769" s="5" t="str">
        <f>IFERROR(__xludf.DUMMYFUNCTION("""COMPUTED_VALUE"""),"MAXFORD LABS PVT LTD")</f>
        <v>MAXFORD LABS PVT LTD</v>
      </c>
    </row>
    <row r="1770">
      <c r="H1770" s="5" t="str">
        <f>IFERROR(__xludf.DUMMYFUNCTION("""COMPUTED_VALUE"""),"MAXIMAA PROYURVEDA")</f>
        <v>MAXIMAA PROYURVEDA</v>
      </c>
    </row>
    <row r="1771">
      <c r="H1771" s="5" t="str">
        <f>IFERROR(__xludf.DUMMYFUNCTION("""COMPUTED_VALUE"""),"MAXIMUM LABS")</f>
        <v>MAXIMUM LABS</v>
      </c>
    </row>
    <row r="1772">
      <c r="H1772" s="5" t="str">
        <f>IFERROR(__xludf.DUMMYFUNCTION("""COMPUTED_VALUE"""),"MAXUS PHARMA")</f>
        <v>MAXUS PHARMA</v>
      </c>
    </row>
    <row r="1773">
      <c r="H1773" s="5" t="str">
        <f>IFERROR(__xludf.DUMMYFUNCTION("""COMPUTED_VALUE"""),"MAXX FARMACIA")</f>
        <v>MAXX FARMACIA</v>
      </c>
    </row>
    <row r="1774">
      <c r="H1774" s="5" t="str">
        <f>IFERROR(__xludf.DUMMYFUNCTION("""COMPUTED_VALUE"""),"MAXZIMAA PHARMACEUTICALS")</f>
        <v>MAXZIMAA PHARMACEUTICALS</v>
      </c>
    </row>
    <row r="1775">
      <c r="H1775" s="5" t="str">
        <f>IFERROR(__xludf.DUMMYFUNCTION("""COMPUTED_VALUE"""),"MAY &amp; BAKER")</f>
        <v>MAY &amp; BAKER</v>
      </c>
    </row>
    <row r="1776">
      <c r="H1776" s="5" t="str">
        <f>IFERROR(__xludf.DUMMYFUNCTION("""COMPUTED_VALUE"""),"Mayflower India (MARIGOLD)")</f>
        <v>Mayflower India (MARIGOLD)</v>
      </c>
    </row>
    <row r="1777">
      <c r="H1777" s="5" t="str">
        <f>IFERROR(__xludf.DUMMYFUNCTION("""COMPUTED_VALUE"""),"MAYGRISS HEALTHCARE PVT LTD")</f>
        <v>MAYGRISS HEALTHCARE PVT LTD</v>
      </c>
    </row>
    <row r="1778">
      <c r="H1778" s="5" t="str">
        <f>IFERROR(__xludf.DUMMYFUNCTION("""COMPUTED_VALUE"""),"Mcastro Pharma")</f>
        <v>Mcastro Pharma</v>
      </c>
    </row>
    <row r="1779">
      <c r="H1779" s="5" t="str">
        <f>IFERROR(__xludf.DUMMYFUNCTION("""COMPUTED_VALUE"""),"McW Healthcare")</f>
        <v>McW Healthcare</v>
      </c>
    </row>
    <row r="1780">
      <c r="H1780" s="5" t="str">
        <f>IFERROR(__xludf.DUMMYFUNCTION("""COMPUTED_VALUE"""),"MCWEL HEALTHCARE P LTD")</f>
        <v>MCWEL HEALTHCARE P LTD</v>
      </c>
    </row>
    <row r="1781">
      <c r="H1781" s="5" t="str">
        <f>IFERROR(__xludf.DUMMYFUNCTION("""COMPUTED_VALUE"""),"MECARTUS HEALTH CARE P LTD")</f>
        <v>MECARTUS HEALTH CARE P LTD</v>
      </c>
    </row>
    <row r="1782">
      <c r="H1782" s="5" t="str">
        <f>IFERROR(__xludf.DUMMYFUNCTION("""COMPUTED_VALUE"""),"MECOSON LABS")</f>
        <v>MECOSON LABS</v>
      </c>
    </row>
    <row r="1783">
      <c r="H1783" s="5" t="str">
        <f>IFERROR(__xludf.DUMMYFUNCTION("""COMPUTED_VALUE"""),"MED MANOR (GLORIA)")</f>
        <v>MED MANOR (GLORIA)</v>
      </c>
    </row>
    <row r="1784">
      <c r="H1784" s="5" t="str">
        <f>IFERROR(__xludf.DUMMYFUNCTION("""COMPUTED_VALUE"""),"MED MANOR (PEDIA)")</f>
        <v>MED MANOR (PEDIA)</v>
      </c>
    </row>
    <row r="1785">
      <c r="H1785" s="5" t="str">
        <f>IFERROR(__xludf.DUMMYFUNCTION("""COMPUTED_VALUE"""),"Med Manor Organics Pvt Ltd")</f>
        <v>Med Manor Organics Pvt Ltd</v>
      </c>
    </row>
    <row r="1786">
      <c r="H1786" s="5" t="str">
        <f>IFERROR(__xludf.DUMMYFUNCTION("""COMPUTED_VALUE"""),"MEDCURE ORGANIC")</f>
        <v>MEDCURE ORGANIC</v>
      </c>
    </row>
    <row r="1787">
      <c r="H1787" s="5" t="str">
        <f>IFERROR(__xludf.DUMMYFUNCTION("""COMPUTED_VALUE"""),"MEDFOR BIOSCIENCES PVT LTD")</f>
        <v>MEDFOR BIOSCIENCES PVT LTD</v>
      </c>
    </row>
    <row r="1788">
      <c r="H1788" s="5" t="str">
        <f>IFERROR(__xludf.DUMMYFUNCTION("""COMPUTED_VALUE"""),"MEDI JOHN BIOTECH")</f>
        <v>MEDI JOHN BIOTECH</v>
      </c>
    </row>
    <row r="1789">
      <c r="H1789" s="5" t="str">
        <f>IFERROR(__xludf.DUMMYFUNCTION("""COMPUTED_VALUE"""),"MEDI SURGE IMPEX")</f>
        <v>MEDI SURGE IMPEX</v>
      </c>
    </row>
    <row r="1790">
      <c r="H1790" s="5" t="str">
        <f>IFERROR(__xludf.DUMMYFUNCTION("""COMPUTED_VALUE"""),"MEDIART LIFESCIENCES")</f>
        <v>MEDIART LIFESCIENCES</v>
      </c>
    </row>
    <row r="1791">
      <c r="H1791" s="5" t="str">
        <f>IFERROR(__xludf.DUMMYFUNCTION("""COMPUTED_VALUE"""),"MEDIC")</f>
        <v>MEDIC</v>
      </c>
    </row>
    <row r="1792">
      <c r="H1792" s="5" t="str">
        <f>IFERROR(__xludf.DUMMYFUNCTION("""COMPUTED_VALUE"""),"MEDIC REMEDIES")</f>
        <v>MEDIC REMEDIES</v>
      </c>
    </row>
    <row r="1793">
      <c r="H1793" s="5" t="str">
        <f>IFERROR(__xludf.DUMMYFUNCTION("""COMPUTED_VALUE"""),"MEDICEVO HEALTHCARE")</f>
        <v>MEDICEVO HEALTHCARE</v>
      </c>
    </row>
    <row r="1794">
      <c r="H1794" s="5" t="str">
        <f>IFERROR(__xludf.DUMMYFUNCTION("""COMPUTED_VALUE"""),"MEDICHI BIO CARE")</f>
        <v>MEDICHI BIO CARE</v>
      </c>
    </row>
    <row r="1795">
      <c r="H1795" s="5" t="str">
        <f>IFERROR(__xludf.DUMMYFUNCTION("""COMPUTED_VALUE"""),"MEDICIS LIFE SCIENCES")</f>
        <v>MEDICIS LIFE SCIENCES</v>
      </c>
    </row>
    <row r="1796">
      <c r="H1796" s="5" t="str">
        <f>IFERROR(__xludf.DUMMYFUNCTION("""COMPUTED_VALUE"""),"MEDICO HEALTHCARE")</f>
        <v>MEDICO HEALTHCARE</v>
      </c>
    </row>
    <row r="1797">
      <c r="H1797" s="5" t="str">
        <f>IFERROR(__xludf.DUMMYFUNCTION("""COMPUTED_VALUE"""),"MEDICRUX HEALTHCARE")</f>
        <v>MEDICRUX HEALTHCARE</v>
      </c>
    </row>
    <row r="1798">
      <c r="H1798" s="5" t="str">
        <f>IFERROR(__xludf.DUMMYFUNCTION("""COMPUTED_VALUE"""),"MEDICULE HEALTHCARE")</f>
        <v>MEDICULE HEALTHCARE</v>
      </c>
    </row>
    <row r="1799">
      <c r="H1799" s="5" t="str">
        <f>IFERROR(__xludf.DUMMYFUNCTION("""COMPUTED_VALUE"""),"MEDICUS HEALTH")</f>
        <v>MEDICUS HEALTH</v>
      </c>
    </row>
    <row r="1800">
      <c r="H1800" s="5" t="str">
        <f>IFERROR(__xludf.DUMMYFUNCTION("""COMPUTED_VALUE"""),"MEDIEX HEALTHCARE")</f>
        <v>MEDIEX HEALTHCARE</v>
      </c>
    </row>
    <row r="1801">
      <c r="H1801" s="5" t="str">
        <f>IFERROR(__xludf.DUMMYFUNCTION("""COMPUTED_VALUE"""),"MEDIFAITH BIOTECH")</f>
        <v>MEDIFAITH BIOTECH</v>
      </c>
    </row>
    <row r="1802">
      <c r="H1802" s="5" t="str">
        <f>IFERROR(__xludf.DUMMYFUNCTION("""COMPUTED_VALUE"""),"MEDIFIT")</f>
        <v>MEDIFIT</v>
      </c>
    </row>
    <row r="1803">
      <c r="H1803" s="5" t="str">
        <f>IFERROR(__xludf.DUMMYFUNCTION("""COMPUTED_VALUE"""),"MEDIGUARD MARKETING")</f>
        <v>MEDIGUARD MARKETING</v>
      </c>
    </row>
    <row r="1804">
      <c r="H1804" s="5" t="str">
        <f>IFERROR(__xludf.DUMMYFUNCTION("""COMPUTED_VALUE"""),"MEDILANCE HEALTHCARE")</f>
        <v>MEDILANCE HEALTHCARE</v>
      </c>
    </row>
    <row r="1805">
      <c r="H1805" s="5" t="str">
        <f>IFERROR(__xludf.DUMMYFUNCTION("""COMPUTED_VALUE"""),"MEDIMARK BIOTECH")</f>
        <v>MEDIMARK BIOTECH</v>
      </c>
    </row>
    <row r="1806">
      <c r="H1806" s="5" t="str">
        <f>IFERROR(__xludf.DUMMYFUNCTION("""COMPUTED_VALUE"""),"MEDINN BELLE HERBAL CARE PVT LTD")</f>
        <v>MEDINN BELLE HERBAL CARE PVT LTD</v>
      </c>
    </row>
    <row r="1807">
      <c r="H1807" s="5" t="str">
        <f>IFERROR(__xludf.DUMMYFUNCTION("""COMPUTED_VALUE"""),"MEDINOVA")</f>
        <v>MEDINOVA</v>
      </c>
    </row>
    <row r="1808">
      <c r="H1808" s="5" t="str">
        <f>IFERROR(__xludf.DUMMYFUNCTION("""COMPUTED_VALUE"""),"Medispan Ltd")</f>
        <v>Medispan Ltd</v>
      </c>
    </row>
    <row r="1809">
      <c r="H1809" s="5" t="str">
        <f>IFERROR(__xludf.DUMMYFUNCTION("""COMPUTED_VALUE"""),"MEDITECH DEVICES")</f>
        <v>MEDITECH DEVICES</v>
      </c>
    </row>
    <row r="1810">
      <c r="H1810" s="5" t="str">
        <f>IFERROR(__xludf.DUMMYFUNCTION("""COMPUTED_VALUE"""),"MEDITEK INDIA")</f>
        <v>MEDITEK INDIA</v>
      </c>
    </row>
    <row r="1811">
      <c r="H1811" s="5" t="str">
        <f>IFERROR(__xludf.DUMMYFUNCTION("""COMPUTED_VALUE"""),"MEDITEX PHARMA PVT LTD")</f>
        <v>MEDITEX PHARMA PVT LTD</v>
      </c>
    </row>
    <row r="1812">
      <c r="H1812" s="5" t="str">
        <f>IFERROR(__xludf.DUMMYFUNCTION("""COMPUTED_VALUE"""),"MEDIVAXIA PHARMA")</f>
        <v>MEDIVAXIA PHARMA</v>
      </c>
    </row>
    <row r="1813">
      <c r="H1813" s="5" t="str">
        <f>IFERROR(__xludf.DUMMYFUNCTION("""COMPUTED_VALUE"""),"MEDIVISON PHARM")</f>
        <v>MEDIVISON PHARM</v>
      </c>
    </row>
    <row r="1814">
      <c r="H1814" s="5" t="str">
        <f>IFERROR(__xludf.DUMMYFUNCTION("""COMPUTED_VALUE"""),"MEDIVISTA LIFE SCIENCES P LTD")</f>
        <v>MEDIVISTA LIFE SCIENCES P LTD</v>
      </c>
    </row>
    <row r="1815">
      <c r="H1815" s="5" t="str">
        <f>IFERROR(__xludf.DUMMYFUNCTION("""COMPUTED_VALUE"""),"MEDLEY (GLYCEKARE)")</f>
        <v>MEDLEY (GLYCEKARE)</v>
      </c>
    </row>
    <row r="1816">
      <c r="H1816" s="5" t="str">
        <f>IFERROR(__xludf.DUMMYFUNCTION("""COMPUTED_VALUE"""),"MEDLEY (NUTRAKARE)")</f>
        <v>MEDLEY (NUTRAKARE)</v>
      </c>
    </row>
    <row r="1817">
      <c r="H1817" s="5" t="str">
        <f>IFERROR(__xludf.DUMMYFUNCTION("""COMPUTED_VALUE"""),"MEDLEY (OSTEOCARE)")</f>
        <v>MEDLEY (OSTEOCARE)</v>
      </c>
    </row>
    <row r="1818">
      <c r="H1818" s="5" t="str">
        <f>IFERROR(__xludf.DUMMYFUNCTION("""COMPUTED_VALUE"""),"MEDLEY (SUPRAKARE)")</f>
        <v>MEDLEY (SUPRAKARE)</v>
      </c>
    </row>
    <row r="1819">
      <c r="H1819" s="5" t="str">
        <f>IFERROR(__xludf.DUMMYFUNCTION("""COMPUTED_VALUE"""),"MEDLEY (VAZOKARE)")</f>
        <v>MEDLEY (VAZOKARE)</v>
      </c>
    </row>
    <row r="1820">
      <c r="H1820" s="5" t="str">
        <f>IFERROR(__xludf.DUMMYFUNCTION("""COMPUTED_VALUE"""),"MEDLEY (ZENKARE)")</f>
        <v>MEDLEY (ZENKARE)</v>
      </c>
    </row>
    <row r="1821">
      <c r="H1821" s="5" t="str">
        <f>IFERROR(__xludf.DUMMYFUNCTION("""COMPUTED_VALUE"""),"Medley Pharmaceuticals")</f>
        <v>Medley Pharmaceuticals</v>
      </c>
    </row>
    <row r="1822">
      <c r="H1822" s="5" t="str">
        <f>IFERROR(__xludf.DUMMYFUNCTION("""COMPUTED_VALUE"""),"Medley Pharmaceuticals (GENERIC)")</f>
        <v>Medley Pharmaceuticals (GENERIC)</v>
      </c>
    </row>
    <row r="1823">
      <c r="H1823" s="5" t="str">
        <f>IFERROR(__xludf.DUMMYFUNCTION("""COMPUTED_VALUE"""),"Medo Pharma")</f>
        <v>Medo Pharma</v>
      </c>
    </row>
    <row r="1824">
      <c r="H1824" s="5" t="str">
        <f>IFERROR(__xludf.DUMMYFUNCTION("""COMPUTED_VALUE"""),"MEDOPHARM (JUBILANT)")</f>
        <v>MEDOPHARM (JUBILANT)</v>
      </c>
    </row>
    <row r="1825">
      <c r="H1825" s="5" t="str">
        <f>IFERROR(__xludf.DUMMYFUNCTION("""COMPUTED_VALUE"""),"MEDOZ PHARMA")</f>
        <v>MEDOZ PHARMA</v>
      </c>
    </row>
    <row r="1826">
      <c r="H1826" s="5" t="str">
        <f>IFERROR(__xludf.DUMMYFUNCTION("""COMPUTED_VALUE"""),"MEDPURE LIFE SCIENCE")</f>
        <v>MEDPURE LIFE SCIENCE</v>
      </c>
    </row>
    <row r="1827">
      <c r="H1827" s="5" t="str">
        <f>IFERROR(__xludf.DUMMYFUNCTION("""COMPUTED_VALUE"""),"Medreich Lifecare Ltd (SAIMIRA)")</f>
        <v>Medreich Lifecare Ltd (SAIMIRA)</v>
      </c>
    </row>
    <row r="1828">
      <c r="H1828" s="5" t="str">
        <f>IFERROR(__xludf.DUMMYFUNCTION("""COMPUTED_VALUE"""),"Medsol India Overseas Pvt Ltd")</f>
        <v>Medsol India Overseas Pvt Ltd</v>
      </c>
    </row>
    <row r="1829">
      <c r="H1829" s="5" t="str">
        <f>IFERROR(__xludf.DUMMYFUNCTION("""COMPUTED_VALUE"""),"MEDTRONIC")</f>
        <v>MEDTRONIC</v>
      </c>
    </row>
    <row r="1830">
      <c r="H1830" s="5" t="str">
        <f>IFERROR(__xludf.DUMMYFUNCTION("""COMPUTED_VALUE"""),"MEDWIN IMPEX PVT LTD")</f>
        <v>MEDWIN IMPEX PVT LTD</v>
      </c>
    </row>
    <row r="1831">
      <c r="H1831" s="5" t="str">
        <f>IFERROR(__xludf.DUMMYFUNCTION("""COMPUTED_VALUE"""),"MEDWIN PHARMA")</f>
        <v>MEDWIN PHARMA</v>
      </c>
    </row>
    <row r="1832">
      <c r="H1832" s="5" t="str">
        <f>IFERROR(__xludf.DUMMYFUNCTION("""COMPUTED_VALUE"""),"MEETHI PHARMACEUTICALS")</f>
        <v>MEETHI PHARMACEUTICALS</v>
      </c>
    </row>
    <row r="1833">
      <c r="H1833" s="5" t="str">
        <f>IFERROR(__xludf.DUMMYFUNCTION("""COMPUTED_VALUE"""),"Mefro Pharmaceuticals (P) Ltd")</f>
        <v>Mefro Pharmaceuticals (P) Ltd</v>
      </c>
    </row>
    <row r="1834">
      <c r="H1834" s="5" t="str">
        <f>IFERROR(__xludf.DUMMYFUNCTION("""COMPUTED_VALUE"""),"Megacorp Healthcare Pvt Ltd")</f>
        <v>Megacorp Healthcare Pvt Ltd</v>
      </c>
    </row>
    <row r="1835">
      <c r="H1835" s="5" t="str">
        <f>IFERROR(__xludf.DUMMYFUNCTION("""COMPUTED_VALUE"""),"MEGHDOOT GRAM UDYOG")</f>
        <v>MEGHDOOT GRAM UDYOG</v>
      </c>
    </row>
    <row r="1836">
      <c r="H1836" s="5" t="str">
        <f>IFERROR(__xludf.DUMMYFUNCTION("""COMPUTED_VALUE"""),"MEGMA HEALTHCARE")</f>
        <v>MEGMA HEALTHCARE</v>
      </c>
    </row>
    <row r="1837">
      <c r="H1837" s="5" t="str">
        <f>IFERROR(__xludf.DUMMYFUNCTION("""COMPUTED_VALUE"""),"MEHAR LABORATORIE")</f>
        <v>MEHAR LABORATORIE</v>
      </c>
    </row>
    <row r="1838">
      <c r="H1838" s="5" t="str">
        <f>IFERROR(__xludf.DUMMYFUNCTION("""COMPUTED_VALUE"""),"MEHAR LABORATORIES")</f>
        <v>MEHAR LABORATORIES</v>
      </c>
    </row>
    <row r="1839">
      <c r="H1839" s="5" t="str">
        <f>IFERROR(__xludf.DUMMYFUNCTION("""COMPUTED_VALUE"""),"MEHTA PHARMACEUTICALS PVT LTD")</f>
        <v>MEHTA PHARMACEUTICALS PVT LTD</v>
      </c>
    </row>
    <row r="1840">
      <c r="H1840" s="5" t="str">
        <f>IFERROR(__xludf.DUMMYFUNCTION("""COMPUTED_VALUE"""),"Menarini India Pvt Ltd")</f>
        <v>Menarini India Pvt Ltd</v>
      </c>
    </row>
    <row r="1841">
      <c r="H1841" s="5" t="str">
        <f>IFERROR(__xludf.DUMMYFUNCTION("""COMPUTED_VALUE"""),"MERCK (P&amp;G)")</f>
        <v>MERCK (P&amp;G)</v>
      </c>
    </row>
    <row r="1842">
      <c r="H1842" s="5" t="str">
        <f>IFERROR(__xludf.DUMMYFUNCTION("""COMPUTED_VALUE"""),"Merck Ltd")</f>
        <v>Merck Ltd</v>
      </c>
    </row>
    <row r="1843">
      <c r="H1843" s="5" t="str">
        <f>IFERROR(__xludf.DUMMYFUNCTION("""COMPUTED_VALUE"""),"Merck Ltd (CHC)")</f>
        <v>Merck Ltd (CHC)</v>
      </c>
    </row>
    <row r="1844">
      <c r="H1844" s="5" t="str">
        <f>IFERROR(__xludf.DUMMYFUNCTION("""COMPUTED_VALUE"""),"Merck Ltd (CMC)")</f>
        <v>Merck Ltd (CMC)</v>
      </c>
    </row>
    <row r="1845">
      <c r="H1845" s="5" t="str">
        <f>IFERROR(__xludf.DUMMYFUNCTION("""COMPUTED_VALUE"""),"Merck Ltd (GENERAL MEDCINE)")</f>
        <v>Merck Ltd (GENERAL MEDCINE)</v>
      </c>
    </row>
    <row r="1846">
      <c r="H1846" s="5" t="str">
        <f>IFERROR(__xludf.DUMMYFUNCTION("""COMPUTED_VALUE"""),"Merck Ltd (OTX)")</f>
        <v>Merck Ltd (OTX)</v>
      </c>
    </row>
    <row r="1847">
      <c r="H1847" s="5" t="str">
        <f>IFERROR(__xludf.DUMMYFUNCTION("""COMPUTED_VALUE"""),"Merck Ltd (WHC)")</f>
        <v>Merck Ltd (WHC)</v>
      </c>
    </row>
    <row r="1848">
      <c r="H1848" s="5" t="str">
        <f>IFERROR(__xludf.DUMMYFUNCTION("""COMPUTED_VALUE"""),"MERCK SPECIALITIES PVT LTD")</f>
        <v>MERCK SPECIALITIES PVT LTD</v>
      </c>
    </row>
    <row r="1849">
      <c r="H1849" s="5" t="str">
        <f>IFERROR(__xludf.DUMMYFUNCTION("""COMPUTED_VALUE"""),"Mercury Healthcare Pvt Ltd")</f>
        <v>Mercury Healthcare Pvt Ltd</v>
      </c>
    </row>
    <row r="1850">
      <c r="H1850" s="5" t="str">
        <f>IFERROR(__xludf.DUMMYFUNCTION("""COMPUTED_VALUE"""),"MERCURY LABORATORIES")</f>
        <v>MERCURY LABORATORIES</v>
      </c>
    </row>
    <row r="1851">
      <c r="H1851" s="5" t="str">
        <f>IFERROR(__xludf.DUMMYFUNCTION("""COMPUTED_VALUE"""),"MERIDIAN ENTERPRISES")</f>
        <v>MERIDIAN ENTERPRISES</v>
      </c>
    </row>
    <row r="1852">
      <c r="H1852" s="5" t="str">
        <f>IFERROR(__xludf.DUMMYFUNCTION("""COMPUTED_VALUE"""),"Meridian Medicare Ltd")</f>
        <v>Meridian Medicare Ltd</v>
      </c>
    </row>
    <row r="1853">
      <c r="H1853" s="5" t="str">
        <f>IFERROR(__xludf.DUMMYFUNCTION("""COMPUTED_VALUE"""),"Merion Care")</f>
        <v>Merion Care</v>
      </c>
    </row>
    <row r="1854">
      <c r="H1854" s="5" t="str">
        <f>IFERROR(__xludf.DUMMYFUNCTION("""COMPUTED_VALUE"""),"MERLIN PHARMA PVT LTD")</f>
        <v>MERLIN PHARMA PVT LTD</v>
      </c>
    </row>
    <row r="1855">
      <c r="H1855" s="5" t="str">
        <f>IFERROR(__xludf.DUMMYFUNCTION("""COMPUTED_VALUE"""),"MERRUT HOMOEO PHARMACY")</f>
        <v>MERRUT HOMOEO PHARMACY</v>
      </c>
    </row>
    <row r="1856">
      <c r="H1856" s="5" t="str">
        <f>IFERROR(__xludf.DUMMYFUNCTION("""COMPUTED_VALUE"""),"Meryl Pharma")</f>
        <v>Meryl Pharma</v>
      </c>
    </row>
    <row r="1857">
      <c r="H1857" s="5" t="str">
        <f>IFERROR(__xludf.DUMMYFUNCTION("""COMPUTED_VALUE"""),"MESOVA PHARMACEUTICAL")</f>
        <v>MESOVA PHARMACEUTICAL</v>
      </c>
    </row>
    <row r="1858">
      <c r="H1858" s="5" t="str">
        <f>IFERROR(__xludf.DUMMYFUNCTION("""COMPUTED_VALUE"""),"MEWAR AYURVEDIC WORKS")</f>
        <v>MEWAR AYURVEDIC WORKS</v>
      </c>
    </row>
    <row r="1859">
      <c r="H1859" s="5" t="str">
        <f>IFERROR(__xludf.DUMMYFUNCTION("""COMPUTED_VALUE"""),"MEWELL BIOTECH")</f>
        <v>MEWELL BIOTECH</v>
      </c>
    </row>
    <row r="1860">
      <c r="H1860" s="5" t="str">
        <f>IFERROR(__xludf.DUMMYFUNCTION("""COMPUTED_VALUE"""),"MEXX VISION PHARMA")</f>
        <v>MEXX VISION PHARMA</v>
      </c>
    </row>
    <row r="1861">
      <c r="H1861" s="5" t="str">
        <f>IFERROR(__xludf.DUMMYFUNCTION("""COMPUTED_VALUE"""),"MEYER ORGANICS (CELLAGE)")</f>
        <v>MEYER ORGANICS (CELLAGE)</v>
      </c>
    </row>
    <row r="1862">
      <c r="H1862" s="5" t="str">
        <f>IFERROR(__xludf.DUMMYFUNCTION("""COMPUTED_VALUE"""),"MEYER ORGANICS (EXCEL)")</f>
        <v>MEYER ORGANICS (EXCEL)</v>
      </c>
    </row>
    <row r="1863">
      <c r="H1863" s="5" t="str">
        <f>IFERROR(__xludf.DUMMYFUNCTION("""COMPUTED_VALUE"""),"MEYER ORGANICS (SALES)")</f>
        <v>MEYER ORGANICS (SALES)</v>
      </c>
    </row>
    <row r="1864">
      <c r="H1864" s="5" t="str">
        <f>IFERROR(__xludf.DUMMYFUNCTION("""COMPUTED_VALUE"""),"Meyer Organics Pvt Ltd")</f>
        <v>Meyer Organics Pvt Ltd</v>
      </c>
    </row>
    <row r="1865">
      <c r="H1865" s="5" t="str">
        <f>IFERROR(__xludf.DUMMYFUNCTION("""COMPUTED_VALUE"""),"MIBSONS PHARMACEUTICAL")</f>
        <v>MIBSONS PHARMACEUTICAL</v>
      </c>
    </row>
    <row r="1866">
      <c r="H1866" s="5" t="str">
        <f>IFERROR(__xludf.DUMMYFUNCTION("""COMPUTED_VALUE"""),"MICRO (CARDICARE)")</f>
        <v>MICRO (CARDICARE)</v>
      </c>
    </row>
    <row r="1867">
      <c r="H1867" s="5" t="str">
        <f>IFERROR(__xludf.DUMMYFUNCTION("""COMPUTED_VALUE"""),"MICRO (CARSYON II)")</f>
        <v>MICRO (CARSYON II)</v>
      </c>
    </row>
    <row r="1868">
      <c r="H1868" s="5" t="str">
        <f>IFERROR(__xludf.DUMMYFUNCTION("""COMPUTED_VALUE"""),"MICRO (CARSYON III)")</f>
        <v>MICRO (CARSYON III)</v>
      </c>
    </row>
    <row r="1869">
      <c r="H1869" s="5" t="str">
        <f>IFERROR(__xludf.DUMMYFUNCTION("""COMPUTED_VALUE"""),"MICRO (DERMA)")</f>
        <v>MICRO (DERMA)</v>
      </c>
    </row>
    <row r="1870">
      <c r="H1870" s="5" t="str">
        <f>IFERROR(__xludf.DUMMYFUNCTION("""COMPUTED_VALUE"""),"MICRO (DTF)")</f>
        <v>MICRO (DTF)</v>
      </c>
    </row>
    <row r="1871">
      <c r="H1871" s="5" t="str">
        <f>IFERROR(__xludf.DUMMYFUNCTION("""COMPUTED_VALUE"""),"MICRO (GRATIA)")</f>
        <v>MICRO (GRATIA)</v>
      </c>
    </row>
    <row r="1872">
      <c r="H1872" s="5" t="str">
        <f>IFERROR(__xludf.DUMMYFUNCTION("""COMPUTED_VALUE"""),"MICRO (GTF II)")</f>
        <v>MICRO (GTF II)</v>
      </c>
    </row>
    <row r="1873">
      <c r="H1873" s="5" t="str">
        <f>IFERROR(__xludf.DUMMYFUNCTION("""COMPUTED_VALUE"""),"MICRO (LUMIRA)")</f>
        <v>MICRO (LUMIRA)</v>
      </c>
    </row>
    <row r="1874">
      <c r="H1874" s="5" t="str">
        <f>IFERROR(__xludf.DUMMYFUNCTION("""COMPUTED_VALUE"""),"MICRO (MAIN)")</f>
        <v>MICRO (MAIN)</v>
      </c>
    </row>
    <row r="1875">
      <c r="H1875" s="5" t="str">
        <f>IFERROR(__xludf.DUMMYFUNCTION("""COMPUTED_VALUE"""),"MICRO (OTF)")</f>
        <v>MICRO (OTF)</v>
      </c>
    </row>
    <row r="1876">
      <c r="H1876" s="5" t="str">
        <f>IFERROR(__xludf.DUMMYFUNCTION("""COMPUTED_VALUE"""),"MICRO (VIVAA)")</f>
        <v>MICRO (VIVAA)</v>
      </c>
    </row>
    <row r="1877">
      <c r="H1877" s="5" t="str">
        <f>IFERROR(__xludf.DUMMYFUNCTION("""COMPUTED_VALUE"""),"MICRO CARSYON CARDIAC")</f>
        <v>MICRO CARSYON CARDIAC</v>
      </c>
    </row>
    <row r="1878">
      <c r="H1878" s="5" t="str">
        <f>IFERROR(__xludf.DUMMYFUNCTION("""COMPUTED_VALUE"""),"MICRO HELTHCARE LTD.")</f>
        <v>MICRO HELTHCARE LTD.</v>
      </c>
    </row>
    <row r="1879">
      <c r="H1879" s="5" t="str">
        <f>IFERROR(__xludf.DUMMYFUNCTION("""COMPUTED_VALUE"""),"Micro Labs (BROWN &amp; BURK)")</f>
        <v>Micro Labs (BROWN &amp; BURK)</v>
      </c>
    </row>
    <row r="1880">
      <c r="H1880" s="5" t="str">
        <f>IFERROR(__xludf.DUMMYFUNCTION("""COMPUTED_VALUE"""),"Micro Labs Ltd")</f>
        <v>Micro Labs Ltd</v>
      </c>
    </row>
    <row r="1881">
      <c r="H1881" s="5" t="str">
        <f>IFERROR(__xludf.DUMMYFUNCTION("""COMPUTED_VALUE"""),"Micro Labs Ltd (NOVA)")</f>
        <v>Micro Labs Ltd (NOVA)</v>
      </c>
    </row>
    <row r="1882">
      <c r="H1882" s="5" t="str">
        <f>IFERROR(__xludf.DUMMYFUNCTION("""COMPUTED_VALUE"""),"Micro Labs Ltd (SPECIALITY)")</f>
        <v>Micro Labs Ltd (SPECIALITY)</v>
      </c>
    </row>
    <row r="1883">
      <c r="H1883" s="5" t="str">
        <f>IFERROR(__xludf.DUMMYFUNCTION("""COMPUTED_VALUE"""),"MICROGEN HYGIENE PVT LTD")</f>
        <v>MICROGEN HYGIENE PVT LTD</v>
      </c>
    </row>
    <row r="1884">
      <c r="H1884" s="5" t="str">
        <f>IFERROR(__xludf.DUMMYFUNCTION("""COMPUTED_VALUE"""),"MICROPARK LOGISTICS PVT LTD (WELLNESS)")</f>
        <v>MICROPARK LOGISTICS PVT LTD (WELLNESS)</v>
      </c>
    </row>
    <row r="1885">
      <c r="H1885" s="5" t="str">
        <f>IFERROR(__xludf.DUMMYFUNCTION("""COMPUTED_VALUE"""),"MICROPOLIS LIFESCIENCES PVT LTD")</f>
        <v>MICROPOLIS LIFESCIENCES PVT LTD</v>
      </c>
    </row>
    <row r="1886">
      <c r="H1886" s="5" t="str">
        <f>IFERROR(__xludf.DUMMYFUNCTION("""COMPUTED_VALUE"""),"MICROWIN LABORATORIES LTD")</f>
        <v>MICROWIN LABORATORIES LTD</v>
      </c>
    </row>
    <row r="1887">
      <c r="H1887" s="5" t="str">
        <f>IFERROR(__xludf.DUMMYFUNCTION("""COMPUTED_VALUE"""),"Midas Healthcare Ltd")</f>
        <v>Midas Healthcare Ltd</v>
      </c>
    </row>
    <row r="1888">
      <c r="H1888" s="5" t="str">
        <f>IFERROR(__xludf.DUMMYFUNCTION("""COMPUTED_VALUE"""),"MidasCare Pharmaceuticals Pvt Ltd")</f>
        <v>MidasCare Pharmaceuticals Pvt Ltd</v>
      </c>
    </row>
    <row r="1889">
      <c r="H1889" s="5" t="str">
        <f>IFERROR(__xludf.DUMMYFUNCTION("""COMPUTED_VALUE"""),"Millennium Herbal Care")</f>
        <v>Millennium Herbal Care</v>
      </c>
    </row>
    <row r="1890">
      <c r="H1890" s="5" t="str">
        <f>IFERROR(__xludf.DUMMYFUNCTION("""COMPUTED_VALUE"""),"MIRACALUS")</f>
        <v>MIRACALUS</v>
      </c>
    </row>
    <row r="1891">
      <c r="H1891" s="5" t="str">
        <f>IFERROR(__xludf.DUMMYFUNCTION("""COMPUTED_VALUE"""),"MIRACALUS PHARMA PVT LTD")</f>
        <v>MIRACALUS PHARMA PVT LTD</v>
      </c>
    </row>
    <row r="1892">
      <c r="H1892" s="5" t="str">
        <f>IFERROR(__xludf.DUMMYFUNCTION("""COMPUTED_VALUE"""),"MIRCO ( SYNAPSE)")</f>
        <v>MIRCO ( SYNAPSE)</v>
      </c>
    </row>
    <row r="1893">
      <c r="H1893" s="5" t="str">
        <f>IFERROR(__xludf.DUMMYFUNCTION("""COMPUTED_VALUE"""),"MIRCO (CNS)")</f>
        <v>MIRCO (CNS)</v>
      </c>
    </row>
    <row r="1894">
      <c r="H1894" s="5" t="str">
        <f>IFERROR(__xludf.DUMMYFUNCTION("""COMPUTED_VALUE"""),"MIRCO (SYNAPSE)")</f>
        <v>MIRCO (SYNAPSE)</v>
      </c>
    </row>
    <row r="1895">
      <c r="H1895" s="5" t="str">
        <f>IFERROR(__xludf.DUMMYFUNCTION("""COMPUTED_VALUE"""),"MIRIX LABORATORIES")</f>
        <v>MIRIX LABORATORIES</v>
      </c>
    </row>
    <row r="1896">
      <c r="H1896" s="5" t="str">
        <f>IFERROR(__xludf.DUMMYFUNCTION("""COMPUTED_VALUE"""),"MISHA AYURVEDA")</f>
        <v>MISHA AYURVEDA</v>
      </c>
    </row>
    <row r="1897">
      <c r="H1897" s="5" t="str">
        <f>IFERROR(__xludf.DUMMYFUNCTION("""COMPUTED_VALUE"""),"MISSION RESEARCH LAB")</f>
        <v>MISSION RESEARCH LAB</v>
      </c>
    </row>
    <row r="1898">
      <c r="H1898" s="5" t="str">
        <f>IFERROR(__xludf.DUMMYFUNCTION("""COMPUTED_VALUE"""),"MMC HEALTHCARE")</f>
        <v>MMC HEALTHCARE</v>
      </c>
    </row>
    <row r="1899">
      <c r="H1899" s="5" t="str">
        <f>IFERROR(__xludf.DUMMYFUNCTION("""COMPUTED_VALUE"""),"MMG HEALTH CARE")</f>
        <v>MMG HEALTH CARE</v>
      </c>
    </row>
    <row r="1900">
      <c r="H1900" s="5" t="str">
        <f>IFERROR(__xludf.DUMMYFUNCTION("""COMPUTED_VALUE"""),"Modi Mundi Pharma Pvt Ltd")</f>
        <v>Modi Mundi Pharma Pvt Ltd</v>
      </c>
    </row>
    <row r="1901">
      <c r="H1901" s="5" t="str">
        <f>IFERROR(__xludf.DUMMYFUNCTION("""COMPUTED_VALUE"""),"MOHAMMEDIA PRODUCTS")</f>
        <v>MOHAMMEDIA PRODUCTS</v>
      </c>
    </row>
    <row r="1902">
      <c r="H1902" s="5" t="str">
        <f>IFERROR(__xludf.DUMMYFUNCTION("""COMPUTED_VALUE"""),"Molekule India Pvt Ltd")</f>
        <v>Molekule India Pvt Ltd</v>
      </c>
    </row>
    <row r="1903">
      <c r="H1903" s="5" t="str">
        <f>IFERROR(__xludf.DUMMYFUNCTION("""COMPUTED_VALUE"""),"MONJI VISHRAM &amp; COMPANY")</f>
        <v>MONJI VISHRAM &amp; COMPANY</v>
      </c>
    </row>
    <row r="1904">
      <c r="H1904" s="5" t="str">
        <f>IFERROR(__xludf.DUMMYFUNCTION("""COMPUTED_VALUE"""),"MONOPHARMA P LTD")</f>
        <v>MONOPHARMA P LTD</v>
      </c>
    </row>
    <row r="1905">
      <c r="H1905" s="5" t="str">
        <f>IFERROR(__xludf.DUMMYFUNCTION("""COMPUTED_VALUE"""),"MONTA REMEDIES")</f>
        <v>MONTA REMEDIES</v>
      </c>
    </row>
    <row r="1906">
      <c r="H1906" s="5" t="str">
        <f>IFERROR(__xludf.DUMMYFUNCTION("""COMPUTED_VALUE"""),"MONTANA REMEDIES")</f>
        <v>MONTANA REMEDIES</v>
      </c>
    </row>
    <row r="1907">
      <c r="H1907" s="5" t="str">
        <f>IFERROR(__xludf.DUMMYFUNCTION("""COMPUTED_VALUE"""),"MOREPEN LABORATORIES (GENERIC)")</f>
        <v>MOREPEN LABORATORIES (GENERIC)</v>
      </c>
    </row>
    <row r="1908">
      <c r="H1908" s="5" t="str">
        <f>IFERROR(__xludf.DUMMYFUNCTION("""COMPUTED_VALUE"""),"Morepen Laboratories Ltd")</f>
        <v>Morepen Laboratories Ltd</v>
      </c>
    </row>
    <row r="1909">
      <c r="H1909" s="5" t="str">
        <f>IFERROR(__xludf.DUMMYFUNCTION("""COMPUTED_VALUE"""),"MORPHUS PHARMACEUTICALS P LTD")</f>
        <v>MORPHUS PHARMACEUTICALS P LTD</v>
      </c>
    </row>
    <row r="1910">
      <c r="H1910" s="5" t="str">
        <f>IFERROR(__xludf.DUMMYFUNCTION("""COMPUTED_VALUE"""),"MORVIN")</f>
        <v>MORVIN</v>
      </c>
    </row>
    <row r="1911">
      <c r="H1911" s="5" t="str">
        <f>IFERROR(__xludf.DUMMYFUNCTION("""COMPUTED_VALUE"""),"MORWIN BIOPHARMA")</f>
        <v>MORWIN BIOPHARMA</v>
      </c>
    </row>
    <row r="1912">
      <c r="H1912" s="5" t="str">
        <f>IFERROR(__xludf.DUMMYFUNCTION("""COMPUTED_VALUE"""),"Mova Pharmaceutical Pvt Ltd")</f>
        <v>Mova Pharmaceutical Pvt Ltd</v>
      </c>
    </row>
    <row r="1913">
      <c r="H1913" s="5" t="str">
        <f>IFERROR(__xludf.DUMMYFUNCTION("""COMPUTED_VALUE"""),"MOVEO PHARMA")</f>
        <v>MOVEO PHARMA</v>
      </c>
    </row>
    <row r="1914">
      <c r="H1914" s="5" t="str">
        <f>IFERROR(__xludf.DUMMYFUNCTION("""COMPUTED_VALUE"""),"MP PHARMA")</f>
        <v>MP PHARMA</v>
      </c>
    </row>
    <row r="1915">
      <c r="H1915" s="5" t="str">
        <f>IFERROR(__xludf.DUMMYFUNCTION("""COMPUTED_VALUE"""),"MRHM PHARMACEUTICALS PVT LTD")</f>
        <v>MRHM PHARMACEUTICALS PVT LTD</v>
      </c>
    </row>
    <row r="1916">
      <c r="H1916" s="5" t="str">
        <f>IFERROR(__xludf.DUMMYFUNCTION("""COMPUTED_VALUE"""),"MSD (FULFORD)")</f>
        <v>MSD (FULFORD)</v>
      </c>
    </row>
    <row r="1917">
      <c r="H1917" s="5" t="str">
        <f>IFERROR(__xludf.DUMMYFUNCTION("""COMPUTED_VALUE"""),"MSD (META)")</f>
        <v>MSD (META)</v>
      </c>
    </row>
    <row r="1918">
      <c r="H1918" s="5" t="str">
        <f>IFERROR(__xludf.DUMMYFUNCTION("""COMPUTED_VALUE"""),"MSD (ORGANON)")</f>
        <v>MSD (ORGANON)</v>
      </c>
    </row>
    <row r="1919">
      <c r="H1919" s="5" t="str">
        <f>IFERROR(__xludf.DUMMYFUNCTION("""COMPUTED_VALUE"""),"MSD Pharmaceuticals")</f>
        <v>MSD Pharmaceuticals</v>
      </c>
    </row>
    <row r="1920">
      <c r="H1920" s="5" t="str">
        <f>IFERROR(__xludf.DUMMYFUNCTION("""COMPUTED_VALUE"""),"MSN (CARDIAC)")</f>
        <v>MSN (CARDIAC)</v>
      </c>
    </row>
    <row r="1921">
      <c r="H1921" s="5" t="str">
        <f>IFERROR(__xludf.DUMMYFUNCTION("""COMPUTED_VALUE"""),"MSN (CNS)")</f>
        <v>MSN (CNS)</v>
      </c>
    </row>
    <row r="1922">
      <c r="H1922" s="5" t="str">
        <f>IFERROR(__xludf.DUMMYFUNCTION("""COMPUTED_VALUE"""),"MSN (CV 2)")</f>
        <v>MSN (CV 2)</v>
      </c>
    </row>
    <row r="1923">
      <c r="H1923" s="5" t="str">
        <f>IFERROR(__xludf.DUMMYFUNCTION("""COMPUTED_VALUE"""),"MSN (NEPHRO)")</f>
        <v>MSN (NEPHRO)</v>
      </c>
    </row>
    <row r="1924">
      <c r="H1924" s="5" t="str">
        <f>IFERROR(__xludf.DUMMYFUNCTION("""COMPUTED_VALUE"""),"MSN (URO)")</f>
        <v>MSN (URO)</v>
      </c>
    </row>
    <row r="1925">
      <c r="H1925" s="5" t="str">
        <f>IFERROR(__xludf.DUMMYFUNCTION("""COMPUTED_VALUE"""),"MSN Laboratories")</f>
        <v>MSN Laboratories</v>
      </c>
    </row>
    <row r="1926">
      <c r="H1926" s="5" t="str">
        <f>IFERROR(__xludf.DUMMYFUNCTION("""COMPUTED_VALUE"""),"MU AMRELIA")</f>
        <v>MU AMRELIA</v>
      </c>
    </row>
    <row r="1927">
      <c r="H1927" s="5" t="str">
        <f>IFERROR(__xludf.DUMMYFUNCTION("""COMPUTED_VALUE"""),"MUCOS PHARMA(INDIA)PVT LTD")</f>
        <v>MUCOS PHARMA(INDIA)PVT LTD</v>
      </c>
    </row>
    <row r="1928">
      <c r="H1928" s="5" t="str">
        <f>IFERROR(__xludf.DUMMYFUNCTION("""COMPUTED_VALUE"""),"MULLER &amp; PHIPPS LTD")</f>
        <v>MULLER &amp; PHIPPS LTD</v>
      </c>
    </row>
    <row r="1929">
      <c r="H1929" s="5" t="str">
        <f>IFERROR(__xludf.DUMMYFUNCTION("""COMPUTED_VALUE"""),"MULTANI PHARMACEUTICALS")</f>
        <v>MULTANI PHARMACEUTICALS</v>
      </c>
    </row>
    <row r="1930">
      <c r="H1930" s="5" t="str">
        <f>IFERROR(__xludf.DUMMYFUNCTION("""COMPUTED_VALUE"""),"MULTI FOCAL")</f>
        <v>MULTI FOCAL</v>
      </c>
    </row>
    <row r="1931">
      <c r="H1931" s="5" t="str">
        <f>IFERROR(__xludf.DUMMYFUNCTION("""COMPUTED_VALUE"""),"MUNIMJI &amp;SONS")</f>
        <v>MUNIMJI &amp;SONS</v>
      </c>
    </row>
    <row r="1932">
      <c r="H1932" s="5" t="str">
        <f>IFERROR(__xludf.DUMMYFUNCTION("""COMPUTED_VALUE"""),"MUSHROOM WORLD AYURVED&amp; FOOD")</f>
        <v>MUSHROOM WORLD AYURVED&amp; FOOD</v>
      </c>
    </row>
    <row r="1933">
      <c r="H1933" s="5" t="str">
        <f>IFERROR(__xludf.DUMMYFUNCTION("""COMPUTED_VALUE"""),"MV ENTERPRISES")</f>
        <v>MV ENTERPRISES</v>
      </c>
    </row>
    <row r="1934">
      <c r="H1934" s="5" t="str">
        <f>IFERROR(__xludf.DUMMYFUNCTION("""COMPUTED_VALUE"""),"MYCORION PHARMACEUTICAL")</f>
        <v>MYCORION PHARMACEUTICAL</v>
      </c>
    </row>
    <row r="1935">
      <c r="H1935" s="5" t="str">
        <f>IFERROR(__xludf.DUMMYFUNCTION("""COMPUTED_VALUE"""),"MYLAN PHARMA")</f>
        <v>MYLAN PHARMA</v>
      </c>
    </row>
    <row r="1936">
      <c r="H1936" s="5" t="str">
        <f>IFERROR(__xludf.DUMMYFUNCTION("""COMPUTED_VALUE"""),"NAGARJUN PHARMA")</f>
        <v>NAGARJUN PHARMA</v>
      </c>
    </row>
    <row r="1937">
      <c r="H1937" s="5" t="str">
        <f>IFERROR(__xludf.DUMMYFUNCTION("""COMPUTED_VALUE"""),"NAGARJUNA HERBAL CONCENTRATES")</f>
        <v>NAGARJUNA HERBAL CONCENTRATES</v>
      </c>
    </row>
    <row r="1938">
      <c r="H1938" s="5" t="str">
        <f>IFERROR(__xludf.DUMMYFUNCTION("""COMPUTED_VALUE"""),"NAMAN INDIA")</f>
        <v>NAMAN INDIA</v>
      </c>
    </row>
    <row r="1939">
      <c r="H1939" s="5" t="str">
        <f>IFERROR(__xludf.DUMMYFUNCTION("""COMPUTED_VALUE"""),"NAMCARE BIOTECH LLP")</f>
        <v>NAMCARE BIOTECH LLP</v>
      </c>
    </row>
    <row r="1940">
      <c r="H1940" s="5" t="str">
        <f>IFERROR(__xludf.DUMMYFUNCTION("""COMPUTED_VALUE"""),"NANDADEVI FOOTCARE LTD.")</f>
        <v>NANDADEVI FOOTCARE LTD.</v>
      </c>
    </row>
    <row r="1941">
      <c r="H1941" s="5" t="str">
        <f>IFERROR(__xludf.DUMMYFUNCTION("""COMPUTED_VALUE"""),"NANDEVI FOOT CARE LTD.")</f>
        <v>NANDEVI FOOT CARE LTD.</v>
      </c>
    </row>
    <row r="1942">
      <c r="H1942" s="5" t="str">
        <f>IFERROR(__xludf.DUMMYFUNCTION("""COMPUTED_VALUE"""),"NANO PHARMACEUTICALS")</f>
        <v>NANO PHARMACEUTICALS</v>
      </c>
    </row>
    <row r="1943">
      <c r="H1943" s="5" t="str">
        <f>IFERROR(__xludf.DUMMYFUNCTION("""COMPUTED_VALUE"""),"NANZ MED SCIENCE PHARMA PV")</f>
        <v>NANZ MED SCIENCE PHARMA PV</v>
      </c>
    </row>
    <row r="1944">
      <c r="H1944" s="5" t="str">
        <f>IFERROR(__xludf.DUMMYFUNCTION("""COMPUTED_VALUE"""),"NAR NARAYAN AYURVEDIC PHARMACY")</f>
        <v>NAR NARAYAN AYURVEDIC PHARMACY</v>
      </c>
    </row>
    <row r="1945">
      <c r="H1945" s="5" t="str">
        <f>IFERROR(__xludf.DUMMYFUNCTION("""COMPUTED_VALUE"""),"NASEBERRY LABORATORIES")</f>
        <v>NASEBERRY LABORATORIES</v>
      </c>
    </row>
    <row r="1946">
      <c r="H1946" s="5" t="str">
        <f>IFERROR(__xludf.DUMMYFUNCTION("""COMPUTED_VALUE"""),"Natco Pharma Ltd")</f>
        <v>Natco Pharma Ltd</v>
      </c>
    </row>
    <row r="1947">
      <c r="H1947" s="5" t="str">
        <f>IFERROR(__xludf.DUMMYFUNCTION("""COMPUTED_VALUE"""),"Natco Pharma Ltd (CND DIVISION)")</f>
        <v>Natco Pharma Ltd (CND DIVISION)</v>
      </c>
    </row>
    <row r="1948">
      <c r="H1948" s="5" t="str">
        <f>IFERROR(__xludf.DUMMYFUNCTION("""COMPUTED_VALUE"""),"Natco Pharma Ltd (ONCO DIVISION)")</f>
        <v>Natco Pharma Ltd (ONCO DIVISION)</v>
      </c>
    </row>
    <row r="1949">
      <c r="H1949" s="5" t="str">
        <f>IFERROR(__xludf.DUMMYFUNCTION("""COMPUTED_VALUE"""),"Natco Pharma Ltd (SPL DIVISION)")</f>
        <v>Natco Pharma Ltd (SPL DIVISION)</v>
      </c>
    </row>
    <row r="1950">
      <c r="H1950" s="5" t="str">
        <f>IFERROR(__xludf.DUMMYFUNCTION("""COMPUTED_VALUE"""),"NATIONAL CHEMICAL &amp; PHARMACEUTICAL WORKS")</f>
        <v>NATIONAL CHEMICAL &amp; PHARMACEUTICAL WORKS</v>
      </c>
    </row>
    <row r="1951">
      <c r="H1951" s="5" t="str">
        <f>IFERROR(__xludf.DUMMYFUNCTION("""COMPUTED_VALUE"""),"NATIVE NATURAL HERBAL PRODUCT PVT LTD")</f>
        <v>NATIVE NATURAL HERBAL PRODUCT PVT LTD</v>
      </c>
    </row>
    <row r="1952">
      <c r="H1952" s="5" t="str">
        <f>IFERROR(__xludf.DUMMYFUNCTION("""COMPUTED_VALUE"""),"NATURAL LOOK")</f>
        <v>NATURAL LOOK</v>
      </c>
    </row>
    <row r="1953">
      <c r="H1953" s="5" t="str">
        <f>IFERROR(__xludf.DUMMYFUNCTION("""COMPUTED_VALUE"""),"NATURAL REMEDIS PVT LTD")</f>
        <v>NATURAL REMEDIS PVT LTD</v>
      </c>
    </row>
    <row r="1954">
      <c r="H1954" s="5" t="str">
        <f>IFERROR(__xludf.DUMMYFUNCTION("""COMPUTED_VALUE"""),"NAVIL LABORATORIES PVT LTD")</f>
        <v>NAVIL LABORATORIES PVT LTD</v>
      </c>
    </row>
    <row r="1955">
      <c r="H1955" s="5" t="str">
        <f>IFERROR(__xludf.DUMMYFUNCTION("""COMPUTED_VALUE"""),"NAVIL LABS (LIVAN)")</f>
        <v>NAVIL LABS (LIVAN)</v>
      </c>
    </row>
    <row r="1956">
      <c r="H1956" s="5" t="str">
        <f>IFERROR(__xludf.DUMMYFUNCTION("""COMPUTED_VALUE"""),"NAVKAR")</f>
        <v>NAVKAR</v>
      </c>
    </row>
    <row r="1957">
      <c r="H1957" s="5" t="str">
        <f>IFERROR(__xludf.DUMMYFUNCTION("""COMPUTED_VALUE"""),"Nectar Lifesciences Ltd.")</f>
        <v>Nectar Lifesciences Ltd.</v>
      </c>
    </row>
    <row r="1958">
      <c r="H1958" s="5" t="str">
        <f>IFERROR(__xludf.DUMMYFUNCTION("""COMPUTED_VALUE"""),"NECTAR MEDIPHARMA")</f>
        <v>NECTAR MEDIPHARMA</v>
      </c>
    </row>
    <row r="1959">
      <c r="H1959" s="5" t="str">
        <f>IFERROR(__xludf.DUMMYFUNCTION("""COMPUTED_VALUE"""),"NEISS LABS")</f>
        <v>NEISS LABS</v>
      </c>
    </row>
    <row r="1960">
      <c r="H1960" s="5" t="str">
        <f>IFERROR(__xludf.DUMMYFUNCTION("""COMPUTED_VALUE"""),"NEM LABORATORIES")</f>
        <v>NEM LABORATORIES</v>
      </c>
    </row>
    <row r="1961">
      <c r="H1961" s="5" t="str">
        <f>IFERROR(__xludf.DUMMYFUNCTION("""COMPUTED_VALUE"""),"NEMMY PHARMA")</f>
        <v>NEMMY PHARMA</v>
      </c>
    </row>
    <row r="1962">
      <c r="H1962" s="5" t="str">
        <f>IFERROR(__xludf.DUMMYFUNCTION("""COMPUTED_VALUE"""),"NEMUS PHARMACEUTICALS PVT LTD")</f>
        <v>NEMUS PHARMACEUTICALS PVT LTD</v>
      </c>
    </row>
    <row r="1963">
      <c r="H1963" s="5" t="str">
        <f>IFERROR(__xludf.DUMMYFUNCTION("""COMPUTED_VALUE"""),"Neo Vedic Drug Pharma")</f>
        <v>Neo Vedic Drug Pharma</v>
      </c>
    </row>
    <row r="1964">
      <c r="H1964" s="5" t="str">
        <f>IFERROR(__xludf.DUMMYFUNCTION("""COMPUTED_VALUE"""),"Neon Laboratories Ltd")</f>
        <v>Neon Laboratories Ltd</v>
      </c>
    </row>
    <row r="1965">
      <c r="H1965" s="5" t="str">
        <f>IFERROR(__xludf.DUMMYFUNCTION("""COMPUTED_VALUE"""),"NEOVAP BIOPHARMACEUTICALS")</f>
        <v>NEOVAP BIOPHARMACEUTICALS</v>
      </c>
    </row>
    <row r="1966">
      <c r="H1966" s="5" t="str">
        <f>IFERROR(__xludf.DUMMYFUNCTION("""COMPUTED_VALUE"""),"NEPHUROCARE PHARMA (NEPHRO)")</f>
        <v>NEPHUROCARE PHARMA (NEPHRO)</v>
      </c>
    </row>
    <row r="1967">
      <c r="H1967" s="5" t="str">
        <f>IFERROR(__xludf.DUMMYFUNCTION("""COMPUTED_VALUE"""),"NEPTUNE LIFE SCIENCE P LTD")</f>
        <v>NEPTUNE LIFE SCIENCE P LTD</v>
      </c>
    </row>
    <row r="1968">
      <c r="H1968" s="5" t="str">
        <f>IFERROR(__xludf.DUMMYFUNCTION("""COMPUTED_VALUE"""),"NERV-ERA LIFESCIENCES")</f>
        <v>NERV-ERA LIFESCIENCES</v>
      </c>
    </row>
    <row r="1969">
      <c r="H1969" s="5" t="str">
        <f>IFERROR(__xludf.DUMMYFUNCTION("""COMPUTED_VALUE"""),"NESTLE INDIA LIMITED")</f>
        <v>NESTLE INDIA LIMITED</v>
      </c>
    </row>
    <row r="1970">
      <c r="H1970" s="5" t="str">
        <f>IFERROR(__xludf.DUMMYFUNCTION("""COMPUTED_VALUE"""),"NETSURF")</f>
        <v>NETSURF</v>
      </c>
    </row>
    <row r="1971">
      <c r="H1971" s="5" t="str">
        <f>IFERROR(__xludf.DUMMYFUNCTION("""COMPUTED_VALUE"""),"NEUCLOX")</f>
        <v>NEUCLOX</v>
      </c>
    </row>
    <row r="1972">
      <c r="H1972" s="5" t="str">
        <f>IFERROR(__xludf.DUMMYFUNCTION("""COMPUTED_VALUE"""),"NEUCURE LIFESCIENCES P. LTD.")</f>
        <v>NEUCURE LIFESCIENCES P. LTD.</v>
      </c>
    </row>
    <row r="1973">
      <c r="H1973" s="5" t="str">
        <f>IFERROR(__xludf.DUMMYFUNCTION("""COMPUTED_VALUE"""),"NEURACLE LIFESCIENCES")</f>
        <v>NEURACLE LIFESCIENCES</v>
      </c>
    </row>
    <row r="1974">
      <c r="H1974" s="5" t="str">
        <f>IFERROR(__xludf.DUMMYFUNCTION("""COMPUTED_VALUE"""),"NEUTECHEALTHCARE PVT")</f>
        <v>NEUTECHEALTHCARE PVT</v>
      </c>
    </row>
    <row r="1975">
      <c r="H1975" s="5" t="str">
        <f>IFERROR(__xludf.DUMMYFUNCTION("""COMPUTED_VALUE"""),"NEW CONCEPT BIOTECH")</f>
        <v>NEW CONCEPT BIOTECH</v>
      </c>
    </row>
    <row r="1976">
      <c r="H1976" s="5" t="str">
        <f>IFERROR(__xludf.DUMMYFUNCTION("""COMPUTED_VALUE"""),"NEW GENERATION LIFE SCIENCES")</f>
        <v>NEW GENERATION LIFE SCIENCES</v>
      </c>
    </row>
    <row r="1977">
      <c r="H1977" s="5" t="str">
        <f>IFERROR(__xludf.DUMMYFUNCTION("""COMPUTED_VALUE"""),"NEW LIFE")</f>
        <v>NEW LIFE</v>
      </c>
    </row>
    <row r="1978">
      <c r="H1978" s="5" t="str">
        <f>IFERROR(__xludf.DUMMYFUNCTION("""COMPUTED_VALUE"""),"NEW MEDICON PHARMA LAB PVT.LTD")</f>
        <v>NEW MEDICON PHARMA LAB PVT.LTD</v>
      </c>
    </row>
    <row r="1979">
      <c r="H1979" s="5" t="str">
        <f>IFERROR(__xludf.DUMMYFUNCTION("""COMPUTED_VALUE"""),"NEW WORLD PHARMA P LTD")</f>
        <v>NEW WORLD PHARMA P LTD</v>
      </c>
    </row>
    <row r="1980">
      <c r="H1980" s="5" t="str">
        <f>IFERROR(__xludf.DUMMYFUNCTION("""COMPUTED_VALUE"""),"NEWTRAMAX HEALTHCARE, SIRMOR")</f>
        <v>NEWTRAMAX HEALTHCARE, SIRMOR</v>
      </c>
    </row>
    <row r="1981">
      <c r="H1981" s="5" t="str">
        <f>IFERROR(__xludf.DUMMYFUNCTION("""COMPUTED_VALUE"""),"NEWWORLD PHARMACEUTICALS P LTD")</f>
        <v>NEWWORLD PHARMACEUTICALS P LTD</v>
      </c>
    </row>
    <row r="1982">
      <c r="H1982" s="5" t="str">
        <f>IFERROR(__xludf.DUMMYFUNCTION("""COMPUTED_VALUE"""),"NEXA HEALTHCARE PVT LTD")</f>
        <v>NEXA HEALTHCARE PVT LTD</v>
      </c>
    </row>
    <row r="1983">
      <c r="H1983" s="5" t="str">
        <f>IFERROR(__xludf.DUMMYFUNCTION("""COMPUTED_VALUE"""),"NEXGEN LIFESCIENCES")</f>
        <v>NEXGEN LIFESCIENCES</v>
      </c>
    </row>
    <row r="1984">
      <c r="H1984" s="5" t="str">
        <f>IFERROR(__xludf.DUMMYFUNCTION("""COMPUTED_VALUE"""),"NEXGEN PHARMA")</f>
        <v>NEXGEN PHARMA</v>
      </c>
    </row>
    <row r="1985">
      <c r="H1985" s="5" t="str">
        <f>IFERROR(__xludf.DUMMYFUNCTION("""COMPUTED_VALUE"""),"NEXINA LIFE SCIENCES")</f>
        <v>NEXINA LIFE SCIENCES</v>
      </c>
    </row>
    <row r="1986">
      <c r="H1986" s="5" t="str">
        <f>IFERROR(__xludf.DUMMYFUNCTION("""COMPUTED_VALUE"""),"NEXKEM PHARMA")</f>
        <v>NEXKEM PHARMA</v>
      </c>
    </row>
    <row r="1987">
      <c r="H1987" s="5" t="str">
        <f>IFERROR(__xludf.DUMMYFUNCTION("""COMPUTED_VALUE"""),"NEXUS PHARMACEUTICALS")</f>
        <v>NEXUS PHARMACEUTICALS</v>
      </c>
    </row>
    <row r="1988">
      <c r="H1988" s="5" t="str">
        <f>IFERROR(__xludf.DUMMYFUNCTION("""COMPUTED_VALUE"""),"NEXWIN PHARMA")</f>
        <v>NEXWIN PHARMA</v>
      </c>
    </row>
    <row r="1989">
      <c r="H1989" s="5" t="str">
        <f>IFERROR(__xludf.DUMMYFUNCTION("""COMPUTED_VALUE"""),"NICIA")</f>
        <v>NICIA</v>
      </c>
    </row>
    <row r="1990">
      <c r="H1990" s="5" t="str">
        <f>IFERROR(__xludf.DUMMYFUNCTION("""COMPUTED_VALUE"""),"NICKS CORPORATION")</f>
        <v>NICKS CORPORATION</v>
      </c>
    </row>
    <row r="1991">
      <c r="H1991" s="5" t="str">
        <f>IFERROR(__xludf.DUMMYFUNCTION("""COMPUTED_VALUE"""),"NIKIR")</f>
        <v>NIKIR</v>
      </c>
    </row>
    <row r="1992">
      <c r="H1992" s="5" t="str">
        <f>IFERROR(__xludf.DUMMYFUNCTION("""COMPUTED_VALUE"""),"NINELABS INDIA P LTD")</f>
        <v>NINELABS INDIA P LTD</v>
      </c>
    </row>
    <row r="1993">
      <c r="H1993" s="5" t="str">
        <f>IFERROR(__xludf.DUMMYFUNCTION("""COMPUTED_VALUE"""),"NIPM SURGICALS")</f>
        <v>NIPM SURGICALS</v>
      </c>
    </row>
    <row r="1994">
      <c r="H1994" s="5" t="str">
        <f>IFERROR(__xludf.DUMMYFUNCTION("""COMPUTED_VALUE"""),"NIPPON SEIYAKU")</f>
        <v>NIPPON SEIYAKU</v>
      </c>
    </row>
    <row r="1995">
      <c r="H1995" s="5" t="str">
        <f>IFERROR(__xludf.DUMMYFUNCTION("""COMPUTED_VALUE"""),"NIPRO")</f>
        <v>NIPRO</v>
      </c>
    </row>
    <row r="1996">
      <c r="H1996" s="5" t="str">
        <f>IFERROR(__xludf.DUMMYFUNCTION("""COMPUTED_VALUE"""),"NIRAMANCE HEALTH CARE")</f>
        <v>NIRAMANCE HEALTH CARE</v>
      </c>
    </row>
    <row r="1997">
      <c r="H1997" s="5" t="str">
        <f>IFERROR(__xludf.DUMMYFUNCTION("""COMPUTED_VALUE"""),"NIRAV HEALTHCARE")</f>
        <v>NIRAV HEALTHCARE</v>
      </c>
    </row>
    <row r="1998">
      <c r="H1998" s="5" t="str">
        <f>IFERROR(__xludf.DUMMYFUNCTION("""COMPUTED_VALUE"""),"NIRIX DERMA")</f>
        <v>NIRIX DERMA</v>
      </c>
    </row>
    <row r="1999">
      <c r="H1999" s="5" t="str">
        <f>IFERROR(__xludf.DUMMYFUNCTION("""COMPUTED_VALUE"""),"NIRLIFE")</f>
        <v>NIRLIFE</v>
      </c>
    </row>
    <row r="2000">
      <c r="H2000" s="5" t="str">
        <f>IFERROR(__xludf.DUMMYFUNCTION("""COMPUTED_VALUE"""),"NIRMA LTD")</f>
        <v>NIRMA LTD</v>
      </c>
    </row>
    <row r="2001">
      <c r="H2001" s="5" t="str">
        <f>IFERROR(__xludf.DUMMYFUNCTION("""COMPUTED_VALUE"""),"NIROG PHARMA")</f>
        <v>NIROG PHARMA</v>
      </c>
    </row>
    <row r="2002">
      <c r="H2002" s="5" t="str">
        <f>IFERROR(__xludf.DUMMYFUNCTION("""COMPUTED_VALUE"""),"NISHI MEDICOSE (OTHER PRODUCTS)")</f>
        <v>NISHI MEDICOSE (OTHER PRODUCTS)</v>
      </c>
    </row>
    <row r="2003">
      <c r="H2003" s="5" t="str">
        <f>IFERROR(__xludf.DUMMYFUNCTION("""COMPUTED_VALUE"""),"NISHIRA PHARMA")</f>
        <v>NISHIRA PHARMA</v>
      </c>
    </row>
    <row r="2004">
      <c r="H2004" s="5" t="str">
        <f>IFERROR(__xludf.DUMMYFUNCTION("""COMPUTED_VALUE"""),"Nitin Lifesciences Ltd")</f>
        <v>Nitin Lifesciences Ltd</v>
      </c>
    </row>
    <row r="2005">
      <c r="H2005" s="5" t="str">
        <f>IFERROR(__xludf.DUMMYFUNCTION("""COMPUTED_VALUE"""),"NITRO ORGANICES")</f>
        <v>NITRO ORGANICES</v>
      </c>
    </row>
    <row r="2006">
      <c r="H2006" s="5" t="str">
        <f>IFERROR(__xludf.DUMMYFUNCTION("""COMPUTED_VALUE"""),"NIYAMBA PHARMA")</f>
        <v>NIYAMBA PHARMA</v>
      </c>
    </row>
    <row r="2007">
      <c r="H2007" s="5" t="str">
        <f>IFERROR(__xludf.DUMMYFUNCTION("""COMPUTED_VALUE"""),"NOBLE DRUGS PVT.LTD.")</f>
        <v>NOBLE DRUGS PVT.LTD.</v>
      </c>
    </row>
    <row r="2008">
      <c r="H2008" s="5" t="str">
        <f>IFERROR(__xludf.DUMMYFUNCTION("""COMPUTED_VALUE"""),"NOEL PHARMA INDIA PVT LTD")</f>
        <v>NOEL PHARMA INDIA PVT LTD</v>
      </c>
    </row>
    <row r="2009">
      <c r="H2009" s="5" t="str">
        <f>IFERROR(__xludf.DUMMYFUNCTION("""COMPUTED_VALUE"""),"NONI BIOTECH P LTD")</f>
        <v>NONI BIOTECH P LTD</v>
      </c>
    </row>
    <row r="2010">
      <c r="H2010" s="5" t="str">
        <f>IFERROR(__xludf.DUMMYFUNCTION("""COMPUTED_VALUE"""),"NORRIS MEDICINES LTD.")</f>
        <v>NORRIS MEDICINES LTD.</v>
      </c>
    </row>
    <row r="2011">
      <c r="H2011" s="5" t="str">
        <f>IFERROR(__xludf.DUMMYFUNCTION("""COMPUTED_VALUE"""),"NORTIC HEALTHCARE")</f>
        <v>NORTIC HEALTHCARE</v>
      </c>
    </row>
    <row r="2012">
      <c r="H2012" s="5" t="str">
        <f>IFERROR(__xludf.DUMMYFUNCTION("""COMPUTED_VALUE"""),"NOSTRUM REMEDIES")</f>
        <v>NOSTRUM REMEDIES</v>
      </c>
    </row>
    <row r="2013">
      <c r="H2013" s="5" t="str">
        <f>IFERROR(__xludf.DUMMYFUNCTION("""COMPUTED_VALUE"""),"NOT TO BE ADDED")</f>
        <v>NOT TO BE ADDED</v>
      </c>
    </row>
    <row r="2014">
      <c r="H2014" s="5" t="str">
        <f>IFERROR(__xludf.DUMMYFUNCTION("""COMPUTED_VALUE"""),"NOURIER LAB")</f>
        <v>NOURIER LAB</v>
      </c>
    </row>
    <row r="2015">
      <c r="H2015" s="5" t="str">
        <f>IFERROR(__xludf.DUMMYFUNCTION("""COMPUTED_VALUE"""),"Nouveau Medicament Pvt Ltd")</f>
        <v>Nouveau Medicament Pvt Ltd</v>
      </c>
    </row>
    <row r="2016">
      <c r="H2016" s="5" t="str">
        <f>IFERROR(__xludf.DUMMYFUNCTION("""COMPUTED_VALUE"""),"NOVACHEM LAB")</f>
        <v>NOVACHEM LAB</v>
      </c>
    </row>
    <row r="2017">
      <c r="H2017" s="5" t="str">
        <f>IFERROR(__xludf.DUMMYFUNCTION("""COMPUTED_VALUE"""),"NOVACURE HEALTHCARE")</f>
        <v>NOVACURE HEALTHCARE</v>
      </c>
    </row>
    <row r="2018">
      <c r="H2018" s="5" t="str">
        <f>IFERROR(__xludf.DUMMYFUNCTION("""COMPUTED_VALUE"""),"NOVARTIS (BETA)")</f>
        <v>NOVARTIS (BETA)</v>
      </c>
    </row>
    <row r="2019">
      <c r="H2019" s="5" t="str">
        <f>IFERROR(__xludf.DUMMYFUNCTION("""COMPUTED_VALUE"""),"NOVARTIS (CARDIC)")</f>
        <v>NOVARTIS (CARDIC)</v>
      </c>
    </row>
    <row r="2020">
      <c r="H2020" s="5" t="str">
        <f>IFERROR(__xludf.DUMMYFUNCTION("""COMPUTED_VALUE"""),"NOVARTIS (CVM)")</f>
        <v>NOVARTIS (CVM)</v>
      </c>
    </row>
    <row r="2021">
      <c r="H2021" s="5" t="str">
        <f>IFERROR(__xludf.DUMMYFUNCTION("""COMPUTED_VALUE"""),"NOVARTIS (EMBU)")</f>
        <v>NOVARTIS (EMBU)</v>
      </c>
    </row>
    <row r="2022">
      <c r="H2022" s="5" t="str">
        <f>IFERROR(__xludf.DUMMYFUNCTION("""COMPUTED_VALUE"""),"NOVARTIS (GY)")</f>
        <v>NOVARTIS (GY)</v>
      </c>
    </row>
    <row r="2023">
      <c r="H2023" s="5" t="str">
        <f>IFERROR(__xludf.DUMMYFUNCTION("""COMPUTED_VALUE"""),"NOVARTIS (NEURO PSYCHIATRY)")</f>
        <v>NOVARTIS (NEURO PSYCHIATRY)</v>
      </c>
    </row>
    <row r="2024">
      <c r="H2024" s="5" t="str">
        <f>IFERROR(__xludf.DUMMYFUNCTION("""COMPUTED_VALUE"""),"NOVARTIS (PRASAAR)")</f>
        <v>NOVARTIS (PRASAAR)</v>
      </c>
    </row>
    <row r="2025">
      <c r="H2025" s="5" t="str">
        <f>IFERROR(__xludf.DUMMYFUNCTION("""COMPUTED_VALUE"""),"NOVARTIS (SANDOZ)")</f>
        <v>NOVARTIS (SANDOZ)</v>
      </c>
    </row>
    <row r="2026">
      <c r="H2026" s="5" t="str">
        <f>IFERROR(__xludf.DUMMYFUNCTION("""COMPUTED_VALUE"""),"NOVARTIS (TEAM)")</f>
        <v>NOVARTIS (TEAM)</v>
      </c>
    </row>
    <row r="2027">
      <c r="H2027" s="5" t="str">
        <f>IFERROR(__xludf.DUMMYFUNCTION("""COMPUTED_VALUE"""),"NOVARTIS (VACCINE)")</f>
        <v>NOVARTIS (VACCINE)</v>
      </c>
    </row>
    <row r="2028">
      <c r="H2028" s="5" t="str">
        <f>IFERROR(__xludf.DUMMYFUNCTION("""COMPUTED_VALUE"""),"Novartis India Ltd")</f>
        <v>Novartis India Ltd</v>
      </c>
    </row>
    <row r="2029">
      <c r="H2029" s="5" t="str">
        <f>IFERROR(__xludf.DUMMYFUNCTION("""COMPUTED_VALUE"""),"NOVASCOTT (GENERIC)")</f>
        <v>NOVASCOTT (GENERIC)</v>
      </c>
    </row>
    <row r="2030">
      <c r="H2030" s="5" t="str">
        <f>IFERROR(__xludf.DUMMYFUNCTION("""COMPUTED_VALUE"""),"NOVASURE HEALTHCARE")</f>
        <v>NOVASURE HEALTHCARE</v>
      </c>
    </row>
    <row r="2031">
      <c r="H2031" s="5" t="str">
        <f>IFERROR(__xludf.DUMMYFUNCTION("""COMPUTED_VALUE"""),"NOVAZING PHARMA")</f>
        <v>NOVAZING PHARMA</v>
      </c>
    </row>
    <row r="2032">
      <c r="H2032" s="5" t="str">
        <f>IFERROR(__xludf.DUMMYFUNCTION("""COMPUTED_VALUE"""),"NOVELTY HEALTHSHINE")</f>
        <v>NOVELTY HEALTHSHINE</v>
      </c>
    </row>
    <row r="2033">
      <c r="H2033" s="5" t="str">
        <f>IFERROR(__xludf.DUMMYFUNCTION("""COMPUTED_VALUE"""),"NOVIQUE LIFE SCIENCES PVT")</f>
        <v>NOVIQUE LIFE SCIENCES PVT</v>
      </c>
    </row>
    <row r="2034">
      <c r="H2034" s="5" t="str">
        <f>IFERROR(__xludf.DUMMYFUNCTION("""COMPUTED_VALUE"""),"NOVITA HEALTHCARE PVT LTD")</f>
        <v>NOVITA HEALTHCARE PVT LTD</v>
      </c>
    </row>
    <row r="2035">
      <c r="H2035" s="5" t="str">
        <f>IFERROR(__xludf.DUMMYFUNCTION("""COMPUTED_VALUE"""),"NOVITAS HEALTHCARE")</f>
        <v>NOVITAS HEALTHCARE</v>
      </c>
    </row>
    <row r="2036">
      <c r="H2036" s="5" t="str">
        <f>IFERROR(__xludf.DUMMYFUNCTION("""COMPUTED_VALUE"""),"NOVO INDUS PHARMACEUTICALS")</f>
        <v>NOVO INDUS PHARMACEUTICALS</v>
      </c>
    </row>
    <row r="2037">
      <c r="H2037" s="5" t="str">
        <f>IFERROR(__xludf.DUMMYFUNCTION("""COMPUTED_VALUE"""),"NOVO MEDI SCIENCES PVT LTD")</f>
        <v>NOVO MEDI SCIENCES PVT LTD</v>
      </c>
    </row>
    <row r="2038">
      <c r="H2038" s="5" t="str">
        <f>IFERROR(__xludf.DUMMYFUNCTION("""COMPUTED_VALUE"""),"Novo Nordisk India Pvt Ltd")</f>
        <v>Novo Nordisk India Pvt Ltd</v>
      </c>
    </row>
    <row r="2039">
      <c r="H2039" s="5" t="str">
        <f>IFERROR(__xludf.DUMMYFUNCTION("""COMPUTED_VALUE"""),"NOVOGEN CAPTAB")</f>
        <v>NOVOGEN CAPTAB</v>
      </c>
    </row>
    <row r="2040">
      <c r="H2040" s="5" t="str">
        <f>IFERROR(__xludf.DUMMYFUNCTION("""COMPUTED_VALUE"""),"NOVUS BIOLOGICALS LLC")</f>
        <v>NOVUS BIOLOGICALS LLC</v>
      </c>
    </row>
    <row r="2041">
      <c r="H2041" s="5" t="str">
        <f>IFERROR(__xludf.DUMMYFUNCTION("""COMPUTED_VALUE"""),"NUKIND HEALTHCARE PVT LTD")</f>
        <v>NUKIND HEALTHCARE PVT LTD</v>
      </c>
    </row>
    <row r="2042">
      <c r="H2042" s="5" t="str">
        <f>IFERROR(__xludf.DUMMYFUNCTION("""COMPUTED_VALUE"""),"NuLife Pharmaceuticals")</f>
        <v>NuLife Pharmaceuticals</v>
      </c>
    </row>
    <row r="2043">
      <c r="H2043" s="5" t="str">
        <f>IFERROR(__xludf.DUMMYFUNCTION("""COMPUTED_VALUE"""),"NUMAC HEALTHCARE PVT LTD")</f>
        <v>NUMAC HEALTHCARE PVT LTD</v>
      </c>
    </row>
    <row r="2044">
      <c r="H2044" s="5" t="str">
        <f>IFERROR(__xludf.DUMMYFUNCTION("""COMPUTED_VALUE"""),"NUTRA WELLNESS")</f>
        <v>NUTRA WELLNESS</v>
      </c>
    </row>
    <row r="2045">
      <c r="H2045" s="5" t="str">
        <f>IFERROR(__xludf.DUMMYFUNCTION("""COMPUTED_VALUE"""),"NUTRAMEDICA INC.")</f>
        <v>NUTRAMEDICA INC.</v>
      </c>
    </row>
    <row r="2046">
      <c r="H2046" s="5" t="str">
        <f>IFERROR(__xludf.DUMMYFUNCTION("""COMPUTED_VALUE"""),"Nutricia International Pvt Ltd")</f>
        <v>Nutricia International Pvt Ltd</v>
      </c>
    </row>
    <row r="2047">
      <c r="H2047" s="5" t="str">
        <f>IFERROR(__xludf.DUMMYFUNCTION("""COMPUTED_VALUE"""),"NUTRINO HEALTH CARE")</f>
        <v>NUTRINO HEALTH CARE</v>
      </c>
    </row>
    <row r="2048">
      <c r="H2048" s="5" t="str">
        <f>IFERROR(__xludf.DUMMYFUNCTION("""COMPUTED_VALUE"""),"NUTRISROT")</f>
        <v>NUTRISROT</v>
      </c>
    </row>
    <row r="2049">
      <c r="H2049" s="5" t="str">
        <f>IFERROR(__xludf.DUMMYFUNCTION("""COMPUTED_VALUE"""),"NV Lifecare Pvt. Ltd.")</f>
        <v>NV Lifecare Pvt. Ltd.</v>
      </c>
    </row>
    <row r="2050">
      <c r="H2050" s="5" t="str">
        <f>IFERROR(__xludf.DUMMYFUNCTION("""COMPUTED_VALUE"""),"OAKNET LIFESCIENCES PVT LTD")</f>
        <v>OAKNET LIFESCIENCES PVT LTD</v>
      </c>
    </row>
    <row r="2051">
      <c r="H2051" s="5" t="str">
        <f>IFERROR(__xludf.DUMMYFUNCTION("""COMPUTED_VALUE"""),"OATH HEALTHCARE")</f>
        <v>OATH HEALTHCARE</v>
      </c>
    </row>
    <row r="2052">
      <c r="H2052" s="5" t="str">
        <f>IFERROR(__xludf.DUMMYFUNCTION("""COMPUTED_VALUE"""),"OBERLIN HEALTHCARE")</f>
        <v>OBERLIN HEALTHCARE</v>
      </c>
    </row>
    <row r="2053">
      <c r="H2053" s="5" t="str">
        <f>IFERROR(__xludf.DUMMYFUNCTION("""COMPUTED_VALUE"""),"OCEAN CARE")</f>
        <v>OCEAN CARE</v>
      </c>
    </row>
    <row r="2054">
      <c r="H2054" s="5" t="str">
        <f>IFERROR(__xludf.DUMMYFUNCTION("""COMPUTED_VALUE"""),"OCEAN FORMULATIONS")</f>
        <v>OCEAN FORMULATIONS</v>
      </c>
    </row>
    <row r="2055">
      <c r="H2055" s="5" t="str">
        <f>IFERROR(__xludf.DUMMYFUNCTION("""COMPUTED_VALUE"""),"OCEAN HERBAL &amp; LIFECARE")</f>
        <v>OCEAN HERBAL &amp; LIFECARE</v>
      </c>
    </row>
    <row r="2056">
      <c r="H2056" s="5" t="str">
        <f>IFERROR(__xludf.DUMMYFUNCTION("""COMPUTED_VALUE"""),"OCEAN OPHTHALMICS")</f>
        <v>OCEAN OPHTHALMICS</v>
      </c>
    </row>
    <row r="2057">
      <c r="H2057" s="5" t="str">
        <f>IFERROR(__xludf.DUMMYFUNCTION("""COMPUTED_VALUE"""),"OCHOA LABORATORIES")</f>
        <v>OCHOA LABORATORIES</v>
      </c>
    </row>
    <row r="2058">
      <c r="H2058" s="5" t="str">
        <f>IFERROR(__xludf.DUMMYFUNCTION("""COMPUTED_VALUE"""),"OCTALIFE PHARMA")</f>
        <v>OCTALIFE PHARMA</v>
      </c>
    </row>
    <row r="2059">
      <c r="H2059" s="5" t="str">
        <f>IFERROR(__xludf.DUMMYFUNCTION("""COMPUTED_VALUE"""),"OJAL LIFESCIENCES P LTD")</f>
        <v>OJAL LIFESCIENCES P LTD</v>
      </c>
    </row>
    <row r="2060">
      <c r="H2060" s="5" t="str">
        <f>IFERROR(__xludf.DUMMYFUNCTION("""COMPUTED_VALUE"""),"OJAL PHARMACEUTICAL PVT LTD")</f>
        <v>OJAL PHARMACEUTICAL PVT LTD</v>
      </c>
    </row>
    <row r="2061">
      <c r="H2061" s="5" t="str">
        <f>IFERROR(__xludf.DUMMYFUNCTION("""COMPUTED_VALUE"""),"OJAL PHARMACEUTICALS")</f>
        <v>OJAL PHARMACEUTICALS</v>
      </c>
    </row>
    <row r="2062">
      <c r="H2062" s="5" t="str">
        <f>IFERROR(__xludf.DUMMYFUNCTION("""COMPUTED_VALUE"""),"OJAS HUMAN SCIENCES INDIA PVT LTD")</f>
        <v>OJAS HUMAN SCIENCES INDIA PVT LTD</v>
      </c>
    </row>
    <row r="2063">
      <c r="H2063" s="5" t="str">
        <f>IFERROR(__xludf.DUMMYFUNCTION("""COMPUTED_VALUE"""),"OLAMIC HEALTH CARE")</f>
        <v>OLAMIC HEALTH CARE</v>
      </c>
    </row>
    <row r="2064">
      <c r="H2064" s="5" t="str">
        <f>IFERROR(__xludf.DUMMYFUNCTION("""COMPUTED_VALUE"""),"OLCARE LABORATORIES")</f>
        <v>OLCARE LABORATORIES</v>
      </c>
    </row>
    <row r="2065">
      <c r="H2065" s="5" t="str">
        <f>IFERROR(__xludf.DUMMYFUNCTION("""COMPUTED_VALUE"""),"OLWEN LIFESCIENCES PVT LTD")</f>
        <v>OLWEN LIFESCIENCES PVT LTD</v>
      </c>
    </row>
    <row r="2066">
      <c r="H2066" s="5" t="str">
        <f>IFERROR(__xludf.DUMMYFUNCTION("""COMPUTED_VALUE"""),"OLYMPUS CONTROL")</f>
        <v>OLYMPUS CONTROL</v>
      </c>
    </row>
    <row r="2067">
      <c r="H2067" s="5" t="str">
        <f>IFERROR(__xludf.DUMMYFUNCTION("""COMPUTED_VALUE"""),"OM S INTERNATIONAL P LTD")</f>
        <v>OM S INTERNATIONAL P LTD</v>
      </c>
    </row>
    <row r="2068">
      <c r="H2068" s="5" t="str">
        <f>IFERROR(__xludf.DUMMYFUNCTION("""COMPUTED_VALUE"""),"OMCURE BIOTECH")</f>
        <v>OMCURE BIOTECH</v>
      </c>
    </row>
    <row r="2069">
      <c r="H2069" s="5" t="str">
        <f>IFERROR(__xludf.DUMMYFUNCTION("""COMPUTED_VALUE"""),"ON&amp;ON")</f>
        <v>ON&amp;ON</v>
      </c>
    </row>
    <row r="2070">
      <c r="H2070" s="5" t="str">
        <f>IFERROR(__xludf.DUMMYFUNCTION("""COMPUTED_VALUE"""),"ONCARE LIFE SCIENSES")</f>
        <v>ONCARE LIFE SCIENSES</v>
      </c>
    </row>
    <row r="2071">
      <c r="H2071" s="5" t="str">
        <f>IFERROR(__xludf.DUMMYFUNCTION("""COMPUTED_VALUE"""),"ONCOBIOTEK DRUG PVT.LTD")</f>
        <v>ONCOBIOTEK DRUG PVT.LTD</v>
      </c>
    </row>
    <row r="2072">
      <c r="H2072" s="5" t="str">
        <f>IFERROR(__xludf.DUMMYFUNCTION("""COMPUTED_VALUE"""),"ONESTEP HEALTHCARE")</f>
        <v>ONESTEP HEALTHCARE</v>
      </c>
    </row>
    <row r="2073">
      <c r="H2073" s="5" t="str">
        <f>IFERROR(__xludf.DUMMYFUNCTION("""COMPUTED_VALUE"""),"ONEX")</f>
        <v>ONEX</v>
      </c>
    </row>
    <row r="2074">
      <c r="H2074" s="5" t="str">
        <f>IFERROR(__xludf.DUMMYFUNCTION("""COMPUTED_VALUE"""),"ONEX (GINPAX)")</f>
        <v>ONEX (GINPAX)</v>
      </c>
    </row>
    <row r="2075">
      <c r="H2075" s="5" t="str">
        <f>IFERROR(__xludf.DUMMYFUNCTION("""COMPUTED_VALUE"""),"ONIDA HEALTHCARE")</f>
        <v>ONIDA HEALTHCARE</v>
      </c>
    </row>
    <row r="2076">
      <c r="H2076" s="5" t="str">
        <f>IFERROR(__xludf.DUMMYFUNCTION("""COMPUTED_VALUE"""),"OPTHAL REMEDIES PVT LTD")</f>
        <v>OPTHAL REMEDIES PVT LTD</v>
      </c>
    </row>
    <row r="2077">
      <c r="H2077" s="5" t="str">
        <f>IFERROR(__xludf.DUMMYFUNCTION("""COMPUTED_VALUE"""),"OPTHO REMEDIES (LIFE SCIENCES)")</f>
        <v>OPTHO REMEDIES (LIFE SCIENCES)</v>
      </c>
    </row>
    <row r="2078">
      <c r="H2078" s="5" t="str">
        <f>IFERROR(__xludf.DUMMYFUNCTION("""COMPUTED_VALUE"""),"Optho Remedies Pvt Ltd")</f>
        <v>Optho Remedies Pvt Ltd</v>
      </c>
    </row>
    <row r="2079">
      <c r="H2079" s="5" t="str">
        <f>IFERROR(__xludf.DUMMYFUNCTION("""COMPUTED_VALUE"""),"OPTIDERMA SKINCARE")</f>
        <v>OPTIDERMA SKINCARE</v>
      </c>
    </row>
    <row r="2080">
      <c r="H2080" s="5" t="str">
        <f>IFERROR(__xludf.DUMMYFUNCTION("""COMPUTED_VALUE"""),"OPTIGMA HEALTHCARE P LTD")</f>
        <v>OPTIGMA HEALTHCARE P LTD</v>
      </c>
    </row>
    <row r="2081">
      <c r="H2081" s="5" t="str">
        <f>IFERROR(__xludf.DUMMYFUNCTION("""COMPUTED_VALUE"""),"OPTIM HEALTH")</f>
        <v>OPTIM HEALTH</v>
      </c>
    </row>
    <row r="2082">
      <c r="H2082" s="5" t="str">
        <f>IFERROR(__xludf.DUMMYFUNCTION("""COMPUTED_VALUE"""),"OPTIMA HEALTHCARE")</f>
        <v>OPTIMA HEALTHCARE</v>
      </c>
    </row>
    <row r="2083">
      <c r="H2083" s="5" t="str">
        <f>IFERROR(__xludf.DUMMYFUNCTION("""COMPUTED_VALUE"""),"OPTIMA LENS")</f>
        <v>OPTIMA LENS</v>
      </c>
    </row>
    <row r="2084">
      <c r="H2084" s="5" t="str">
        <f>IFERROR(__xludf.DUMMYFUNCTION("""COMPUTED_VALUE"""),"ORAGYN CURIS P LTD")</f>
        <v>ORAGYN CURIS P LTD</v>
      </c>
    </row>
    <row r="2085">
      <c r="H2085" s="5" t="str">
        <f>IFERROR(__xludf.DUMMYFUNCTION("""COMPUTED_VALUE"""),"ORAMA LIFESCIENCES")</f>
        <v>ORAMA LIFESCIENCES</v>
      </c>
    </row>
    <row r="2086">
      <c r="H2086" s="5" t="str">
        <f>IFERROR(__xludf.DUMMYFUNCTION("""COMPUTED_VALUE"""),"ORANGE BIOTECH PVT LTD")</f>
        <v>ORANGE BIOTECH PVT LTD</v>
      </c>
    </row>
    <row r="2087">
      <c r="H2087" s="5" t="str">
        <f>IFERROR(__xludf.DUMMYFUNCTION("""COMPUTED_VALUE"""),"ORANGE RESEARCH LABS")</f>
        <v>ORANGE RESEARCH LABS</v>
      </c>
    </row>
    <row r="2088">
      <c r="H2088" s="5" t="str">
        <f>IFERROR(__xludf.DUMMYFUNCTION("""COMPUTED_VALUE"""),"Orchid Chemicals &amp; Pharmaceuticals Ltd")</f>
        <v>Orchid Chemicals &amp; Pharmaceuticals Ltd</v>
      </c>
    </row>
    <row r="2089">
      <c r="H2089" s="5" t="str">
        <f>IFERROR(__xludf.DUMMYFUNCTION("""COMPUTED_VALUE"""),"ORCO LIFESCIENCES")</f>
        <v>ORCO LIFESCIENCES</v>
      </c>
    </row>
    <row r="2090">
      <c r="H2090" s="5" t="str">
        <f>IFERROR(__xludf.DUMMYFUNCTION("""COMPUTED_VALUE"""),"Ordain Health Care Global Pvt Ltd")</f>
        <v>Ordain Health Care Global Pvt Ltd</v>
      </c>
    </row>
    <row r="2091">
      <c r="H2091" s="5" t="str">
        <f>IFERROR(__xludf.DUMMYFUNCTION("""COMPUTED_VALUE"""),"ORDAIN HEALTHCARE (ESPERZ)")</f>
        <v>ORDAIN HEALTHCARE (ESPERZ)</v>
      </c>
    </row>
    <row r="2092">
      <c r="H2092" s="5" t="str">
        <f>IFERROR(__xludf.DUMMYFUNCTION("""COMPUTED_VALUE"""),"ORDAIN HEALTHCARE (ESPRITZ)")</f>
        <v>ORDAIN HEALTHCARE (ESPRITZ)</v>
      </c>
    </row>
    <row r="2093">
      <c r="H2093" s="5" t="str">
        <f>IFERROR(__xludf.DUMMYFUNCTION("""COMPUTED_VALUE"""),"ORDAIN HEALTHCARE (INTENZ)")</f>
        <v>ORDAIN HEALTHCARE (INTENZ)</v>
      </c>
    </row>
    <row r="2094">
      <c r="H2094" s="5" t="str">
        <f>IFERROR(__xludf.DUMMYFUNCTION("""COMPUTED_VALUE"""),"ORDAIN HEALTHCARE (PERZISTA)")</f>
        <v>ORDAIN HEALTHCARE (PERZISTA)</v>
      </c>
    </row>
    <row r="2095">
      <c r="H2095" s="5" t="str">
        <f>IFERROR(__xludf.DUMMYFUNCTION("""COMPUTED_VALUE"""),"OREVA DERMACARE")</f>
        <v>OREVA DERMACARE</v>
      </c>
    </row>
    <row r="2096">
      <c r="H2096" s="5" t="str">
        <f>IFERROR(__xludf.DUMMYFUNCTION("""COMPUTED_VALUE"""),"ORGANIC INDIA")</f>
        <v>ORGANIC INDIA</v>
      </c>
    </row>
    <row r="2097">
      <c r="H2097" s="5" t="str">
        <f>IFERROR(__xludf.DUMMYFUNCTION("""COMPUTED_VALUE"""),"ORGANIC LABS PVT LTD")</f>
        <v>ORGANIC LABS PVT LTD</v>
      </c>
    </row>
    <row r="2098">
      <c r="H2098" s="5" t="str">
        <f>IFERROR(__xludf.DUMMYFUNCTION("""COMPUTED_VALUE"""),"Organon (India) Ltd")</f>
        <v>Organon (India) Ltd</v>
      </c>
    </row>
    <row r="2099">
      <c r="H2099" s="5" t="str">
        <f>IFERROR(__xludf.DUMMYFUNCTION("""COMPUTED_VALUE"""),"ORGYN LABS")</f>
        <v>ORGYN LABS</v>
      </c>
    </row>
    <row r="2100">
      <c r="H2100" s="5" t="str">
        <f>IFERROR(__xludf.DUMMYFUNCTION("""COMPUTED_VALUE"""),"ORIENTAL CHEMICALS WORKS")</f>
        <v>ORIENTAL CHEMICALS WORKS</v>
      </c>
    </row>
    <row r="2101">
      <c r="H2101" s="5" t="str">
        <f>IFERROR(__xludf.DUMMYFUNCTION("""COMPUTED_VALUE"""),"ORION PHARMA")</f>
        <v>ORION PHARMA</v>
      </c>
    </row>
    <row r="2102">
      <c r="H2102" s="5" t="str">
        <f>IFERROR(__xludf.DUMMYFUNCTION("""COMPUTED_VALUE"""),"ORISON PHARMA INTERNATIONAL")</f>
        <v>ORISON PHARMA INTERNATIONAL</v>
      </c>
    </row>
    <row r="2103">
      <c r="H2103" s="5" t="str">
        <f>IFERROR(__xludf.DUMMYFUNCTION("""COMPUTED_VALUE"""),"ORIVA NUTRITION")</f>
        <v>ORIVA NUTRITION</v>
      </c>
    </row>
    <row r="2104">
      <c r="H2104" s="5" t="str">
        <f>IFERROR(__xludf.DUMMYFUNCTION("""COMPUTED_VALUE"""),"ORLLYFORD HEALTHCARE")</f>
        <v>ORLLYFORD HEALTHCARE</v>
      </c>
    </row>
    <row r="2105">
      <c r="H2105" s="5" t="str">
        <f>IFERROR(__xludf.DUMMYFUNCTION("""COMPUTED_VALUE"""),"Oscar Remedies")</f>
        <v>Oscar Remedies</v>
      </c>
    </row>
    <row r="2106">
      <c r="H2106" s="5" t="str">
        <f>IFERROR(__xludf.DUMMYFUNCTION("""COMPUTED_VALUE"""),"Oscar Remedies (EVANS Pharma)")</f>
        <v>Oscar Remedies (EVANS Pharma)</v>
      </c>
    </row>
    <row r="2107">
      <c r="H2107" s="5" t="str">
        <f>IFERROR(__xludf.DUMMYFUNCTION("""COMPUTED_VALUE"""),"Oscar Remedies (Indoss Life Sciences)")</f>
        <v>Oscar Remedies (Indoss Life Sciences)</v>
      </c>
    </row>
    <row r="2108">
      <c r="H2108" s="5" t="str">
        <f>IFERROR(__xludf.DUMMYFUNCTION("""COMPUTED_VALUE"""),"Oscar Remedies (MAK Pharmaceuticals)")</f>
        <v>Oscar Remedies (MAK Pharmaceuticals)</v>
      </c>
    </row>
    <row r="2109">
      <c r="H2109" s="5" t="str">
        <f>IFERROR(__xludf.DUMMYFUNCTION("""COMPUTED_VALUE"""),"Oscar Remedies (Next Way India)")</f>
        <v>Oscar Remedies (Next Way India)</v>
      </c>
    </row>
    <row r="2110">
      <c r="H2110" s="5" t="str">
        <f>IFERROR(__xludf.DUMMYFUNCTION("""COMPUTED_VALUE"""),"Oscar Remedies Pvt Ltd")</f>
        <v>Oscar Remedies Pvt Ltd</v>
      </c>
    </row>
    <row r="2111">
      <c r="H2111" s="5" t="str">
        <f>IFERROR(__xludf.DUMMYFUNCTION("""COMPUTED_VALUE"""),"OSMED FORMULATIONS")</f>
        <v>OSMED FORMULATIONS</v>
      </c>
    </row>
    <row r="2112">
      <c r="H2112" s="5" t="str">
        <f>IFERROR(__xludf.DUMMYFUNCTION("""COMPUTED_VALUE"""),"OSPICARE LIFE SCIENCES PVT LTD")</f>
        <v>OSPICARE LIFE SCIENCES PVT LTD</v>
      </c>
    </row>
    <row r="2113">
      <c r="H2113" s="5" t="str">
        <f>IFERROR(__xludf.DUMMYFUNCTION("""COMPUTED_VALUE"""),"OSQUE PHARMA PVT LTD")</f>
        <v>OSQUE PHARMA PVT LTD</v>
      </c>
    </row>
    <row r="2114">
      <c r="H2114" s="5" t="str">
        <f>IFERROR(__xludf.DUMMYFUNCTION("""COMPUTED_VALUE"""),"OTHANTIC (DERMA)")</f>
        <v>OTHANTIC (DERMA)</v>
      </c>
    </row>
    <row r="2115">
      <c r="H2115" s="5" t="str">
        <f>IFERROR(__xludf.DUMMYFUNCTION("""COMPUTED_VALUE"""),"OTHANTIC (KIYOMI)")</f>
        <v>OTHANTIC (KIYOMI)</v>
      </c>
    </row>
    <row r="2116">
      <c r="H2116" s="5" t="str">
        <f>IFERROR(__xludf.DUMMYFUNCTION("""COMPUTED_VALUE"""),"OVAL ORGANICS")</f>
        <v>OVAL ORGANICS</v>
      </c>
    </row>
    <row r="2117">
      <c r="H2117" s="5" t="str">
        <f>IFERROR(__xludf.DUMMYFUNCTION("""COMPUTED_VALUE"""),"Overseas Healthcare Pvt Ltd")</f>
        <v>Overseas Healthcare Pvt Ltd</v>
      </c>
    </row>
    <row r="2118">
      <c r="H2118" s="5" t="str">
        <f>IFERROR(__xludf.DUMMYFUNCTION("""COMPUTED_VALUE"""),"OVERSES HEALTHCARE")</f>
        <v>OVERSES HEALTHCARE</v>
      </c>
    </row>
    <row r="2119">
      <c r="H2119" s="5" t="str">
        <f>IFERROR(__xludf.DUMMYFUNCTION("""COMPUTED_VALUE"""),"OXFORD PHARMA")</f>
        <v>OXFORD PHARMA</v>
      </c>
    </row>
    <row r="2120">
      <c r="H2120" s="5" t="str">
        <f>IFERROR(__xludf.DUMMYFUNCTION("""COMPUTED_VALUE"""),"OZONE (NUCLEUS)")</f>
        <v>OZONE (NUCLEUS)</v>
      </c>
    </row>
    <row r="2121">
      <c r="H2121" s="5" t="str">
        <f>IFERROR(__xludf.DUMMYFUNCTION("""COMPUTED_VALUE"""),"OZONE (PROTON)")</f>
        <v>OZONE (PROTON)</v>
      </c>
    </row>
    <row r="2122">
      <c r="H2122" s="5" t="str">
        <f>IFERROR(__xludf.DUMMYFUNCTION("""COMPUTED_VALUE"""),"OZONE AYURVEDICS")</f>
        <v>OZONE AYURVEDICS</v>
      </c>
    </row>
    <row r="2123">
      <c r="H2123" s="5" t="str">
        <f>IFERROR(__xludf.DUMMYFUNCTION("""COMPUTED_VALUE"""),"OZONE PHARMA CYCONAL")</f>
        <v>OZONE PHARMA CYCONAL</v>
      </c>
    </row>
    <row r="2124">
      <c r="H2124" s="5" t="str">
        <f>IFERROR(__xludf.DUMMYFUNCTION("""COMPUTED_VALUE"""),"Ozone Pharmaceuticals Ltd")</f>
        <v>Ozone Pharmaceuticals Ltd</v>
      </c>
    </row>
    <row r="2125">
      <c r="H2125" s="5" t="str">
        <f>IFERROR(__xludf.DUMMYFUNCTION("""COMPUTED_VALUE"""),"P M RATHOD COMPANY")</f>
        <v>P M RATHOD COMPANY</v>
      </c>
    </row>
    <row r="2126">
      <c r="H2126" s="5" t="str">
        <f>IFERROR(__xludf.DUMMYFUNCTION("""COMPUTED_VALUE"""),"P&amp;B PHARMA")</f>
        <v>P&amp;B PHARMA</v>
      </c>
    </row>
    <row r="2127">
      <c r="H2127" s="5" t="str">
        <f>IFERROR(__xludf.DUMMYFUNCTION("""COMPUTED_VALUE"""),"P&amp;G PHARMA")</f>
        <v>P&amp;G PHARMA</v>
      </c>
    </row>
    <row r="2128">
      <c r="H2128" s="5" t="str">
        <f>IFERROR(__xludf.DUMMYFUNCTION("""COMPUTED_VALUE"""),"PACE PHARMACEUTICALS")</f>
        <v>PACE PHARMACEUTICALS</v>
      </c>
    </row>
    <row r="2129">
      <c r="H2129" s="5" t="str">
        <f>IFERROR(__xludf.DUMMYFUNCTION("""COMPUTED_VALUE"""),"PACIFIC MED.&amp; BIO.")</f>
        <v>PACIFIC MED.&amp; BIO.</v>
      </c>
    </row>
    <row r="2130">
      <c r="H2130" s="5" t="str">
        <f>IFERROR(__xludf.DUMMYFUNCTION("""COMPUTED_VALUE"""),"PACITORA BIOTECH")</f>
        <v>PACITORA BIOTECH</v>
      </c>
    </row>
    <row r="2131">
      <c r="H2131" s="5" t="str">
        <f>IFERROR(__xludf.DUMMYFUNCTION("""COMPUTED_VALUE"""),"PACT INDIA")</f>
        <v>PACT INDIA</v>
      </c>
    </row>
    <row r="2132">
      <c r="H2132" s="5" t="str">
        <f>IFERROR(__xludf.DUMMYFUNCTION("""COMPUTED_VALUE"""),"PAEON PHARMACEUTICALS PVT LTD")</f>
        <v>PAEON PHARMACEUTICALS PVT LTD</v>
      </c>
    </row>
    <row r="2133">
      <c r="H2133" s="5" t="str">
        <f>IFERROR(__xludf.DUMMYFUNCTION("""COMPUTED_VALUE"""),"Paksons Pharmaceuticals P Ltd")</f>
        <v>Paksons Pharmaceuticals P Ltd</v>
      </c>
    </row>
    <row r="2134">
      <c r="H2134" s="5" t="str">
        <f>IFERROR(__xludf.DUMMYFUNCTION("""COMPUTED_VALUE"""),"PALSON DRUG")</f>
        <v>PALSON DRUG</v>
      </c>
    </row>
    <row r="2135">
      <c r="H2135" s="5" t="str">
        <f>IFERROR(__xludf.DUMMYFUNCTION("""COMPUTED_VALUE"""),"Palsons Derma")</f>
        <v>Palsons Derma</v>
      </c>
    </row>
    <row r="2136">
      <c r="H2136" s="5" t="str">
        <f>IFERROR(__xludf.DUMMYFUNCTION("""COMPUTED_VALUE"""),"PANACEA (DIACAR ALPHA)")</f>
        <v>PANACEA (DIACAR ALPHA)</v>
      </c>
    </row>
    <row r="2137">
      <c r="H2137" s="5" t="str">
        <f>IFERROR(__xludf.DUMMYFUNCTION("""COMPUTED_VALUE"""),"PANACEA BIOTEC")</f>
        <v>PANACEA BIOTEC</v>
      </c>
    </row>
    <row r="2138">
      <c r="H2138" s="5" t="str">
        <f>IFERROR(__xludf.DUMMYFUNCTION("""COMPUTED_VALUE"""),"Panacea Biotec Ltd")</f>
        <v>Panacea Biotec Ltd</v>
      </c>
    </row>
    <row r="2139">
      <c r="H2139" s="5" t="str">
        <f>IFERROR(__xludf.DUMMYFUNCTION("""COMPUTED_VALUE"""),"PANJON LIMITED")</f>
        <v>PANJON LIMITED</v>
      </c>
    </row>
    <row r="2140">
      <c r="H2140" s="5" t="str">
        <f>IFERROR(__xludf.DUMMYFUNCTION("""COMPUTED_VALUE"""),"PANJON PHARMA")</f>
        <v>PANJON PHARMA</v>
      </c>
    </row>
    <row r="2141">
      <c r="H2141" s="5" t="str">
        <f>IFERROR(__xludf.DUMMYFUNCTION("""COMPUTED_VALUE"""),"PANZER PHARMACEUTICALS")</f>
        <v>PANZER PHARMACEUTICALS</v>
      </c>
    </row>
    <row r="2142">
      <c r="H2142" s="5" t="str">
        <f>IFERROR(__xludf.DUMMYFUNCTION("""COMPUTED_VALUE"""),"PARABOLIC DRUGS LTD")</f>
        <v>PARABOLIC DRUGS LTD</v>
      </c>
    </row>
    <row r="2143">
      <c r="H2143" s="5" t="str">
        <f>IFERROR(__xludf.DUMMYFUNCTION("""COMPUTED_VALUE"""),"Paras Pharmaceuticals Ltd")</f>
        <v>Paras Pharmaceuticals Ltd</v>
      </c>
    </row>
    <row r="2144">
      <c r="H2144" s="5" t="str">
        <f>IFERROR(__xludf.DUMMYFUNCTION("""COMPUTED_VALUE"""),"PARASOL LAB")</f>
        <v>PARASOL LAB</v>
      </c>
    </row>
    <row r="2145">
      <c r="H2145" s="5" t="str">
        <f>IFERROR(__xludf.DUMMYFUNCTION("""COMPUTED_VALUE"""),"Parenteral Drugs (PDPL)")</f>
        <v>Parenteral Drugs (PDPL)</v>
      </c>
    </row>
    <row r="2146">
      <c r="H2146" s="5" t="str">
        <f>IFERROR(__xludf.DUMMYFUNCTION("""COMPUTED_VALUE"""),"PARENTERAL DRUGS INDIA LTD")</f>
        <v>PARENTERAL DRUGS INDIA LTD</v>
      </c>
    </row>
    <row r="2147">
      <c r="H2147" s="5" t="str">
        <f>IFERROR(__xludf.DUMMYFUNCTION("""COMPUTED_VALUE"""),"PARK PHARMA")</f>
        <v>PARK PHARMA</v>
      </c>
    </row>
    <row r="2148">
      <c r="H2148" s="5" t="str">
        <f>IFERROR(__xludf.DUMMYFUNCTION("""COMPUTED_VALUE"""),"PARK PHARMACITUCALS SOLAN")</f>
        <v>PARK PHARMACITUCALS SOLAN</v>
      </c>
    </row>
    <row r="2149">
      <c r="H2149" s="5" t="str">
        <f>IFERROR(__xludf.DUMMYFUNCTION("""COMPUTED_VALUE"""),"PARSH PHARMA NEMANVASA")</f>
        <v>PARSH PHARMA NEMANVASA</v>
      </c>
    </row>
    <row r="2150">
      <c r="H2150" s="5" t="str">
        <f>IFERROR(__xludf.DUMMYFUNCTION("""COMPUTED_VALUE"""),"PARSHWA LIFE SCIENCES")</f>
        <v>PARSHWA LIFE SCIENCES</v>
      </c>
    </row>
    <row r="2151">
      <c r="H2151" s="5" t="str">
        <f>IFERROR(__xludf.DUMMYFUNCTION("""COMPUTED_VALUE"""),"PARTH")</f>
        <v>PARTH</v>
      </c>
    </row>
    <row r="2152">
      <c r="H2152" s="5" t="str">
        <f>IFERROR(__xludf.DUMMYFUNCTION("""COMPUTED_VALUE"""),"PARTH REMEDIES")</f>
        <v>PARTH REMEDIES</v>
      </c>
    </row>
    <row r="2153">
      <c r="H2153" s="5" t="str">
        <f>IFERROR(__xludf.DUMMYFUNCTION("""COMPUTED_VALUE"""),"PARUL")</f>
        <v>PARUL</v>
      </c>
    </row>
    <row r="2154">
      <c r="H2154" s="5" t="str">
        <f>IFERROR(__xludf.DUMMYFUNCTION("""COMPUTED_VALUE"""),"PATANJALI AYURVED LTD")</f>
        <v>PATANJALI AYURVED LTD</v>
      </c>
    </row>
    <row r="2155">
      <c r="H2155" s="5" t="str">
        <f>IFERROR(__xludf.DUMMYFUNCTION("""COMPUTED_VALUE"""),"PATLI DABUR HEALTHCARE")</f>
        <v>PATLI DABUR HEALTHCARE</v>
      </c>
    </row>
    <row r="2156">
      <c r="H2156" s="5" t="str">
        <f>IFERROR(__xludf.DUMMYFUNCTION("""COMPUTED_VALUE"""),"PATSON LABORATORIES")</f>
        <v>PATSON LABORATORIES</v>
      </c>
    </row>
    <row r="2157">
      <c r="H2157" s="5" t="str">
        <f>IFERROR(__xludf.DUMMYFUNCTION("""COMPUTED_VALUE"""),"PCI")</f>
        <v>PCI</v>
      </c>
    </row>
    <row r="2158">
      <c r="H2158" s="5" t="str">
        <f>IFERROR(__xludf.DUMMYFUNCTION("""COMPUTED_VALUE"""),"PEDIACARE BIOTECH")</f>
        <v>PEDIACARE BIOTECH</v>
      </c>
    </row>
    <row r="2159">
      <c r="H2159" s="5" t="str">
        <f>IFERROR(__xludf.DUMMYFUNCTION("""COMPUTED_VALUE"""),"PEDIGREE")</f>
        <v>PEDIGREE</v>
      </c>
    </row>
    <row r="2160">
      <c r="H2160" s="5" t="str">
        <f>IFERROR(__xludf.DUMMYFUNCTION("""COMPUTED_VALUE"""),"PEELIFE PHARMACEUTICAL PVT LTD")</f>
        <v>PEELIFE PHARMACEUTICAL PVT LTD</v>
      </c>
    </row>
    <row r="2161">
      <c r="H2161" s="5" t="str">
        <f>IFERROR(__xludf.DUMMYFUNCTION("""COMPUTED_VALUE"""),"PEHAL LIFE SCIENCE P LTD")</f>
        <v>PEHAL LIFE SCIENCE P LTD</v>
      </c>
    </row>
    <row r="2162">
      <c r="H2162" s="5" t="str">
        <f>IFERROR(__xludf.DUMMYFUNCTION("""COMPUTED_VALUE"""),"PENTA PHARMA")</f>
        <v>PENTA PHARMA</v>
      </c>
    </row>
    <row r="2163">
      <c r="H2163" s="5" t="str">
        <f>IFERROR(__xludf.DUMMYFUNCTION("""COMPUTED_VALUE"""),"PERCEPT PHARMA LTD")</f>
        <v>PERCEPT PHARMA LTD</v>
      </c>
    </row>
    <row r="2164">
      <c r="H2164" s="5" t="str">
        <f>IFERROR(__xludf.DUMMYFUNCTION("""COMPUTED_VALUE"""),"Percos India Pvt Ltd")</f>
        <v>Percos India Pvt Ltd</v>
      </c>
    </row>
    <row r="2165">
      <c r="H2165" s="5" t="str">
        <f>IFERROR(__xludf.DUMMYFUNCTION("""COMPUTED_VALUE"""),"PERILLA LIFE SCIENCE PVT LTD")</f>
        <v>PERILLA LIFE SCIENCE PVT LTD</v>
      </c>
    </row>
    <row r="2166">
      <c r="H2166" s="5" t="str">
        <f>IFERROR(__xludf.DUMMYFUNCTION("""COMPUTED_VALUE"""),"PFIZER (CNS)")</f>
        <v>PFIZER (CNS)</v>
      </c>
    </row>
    <row r="2167">
      <c r="H2167" s="5" t="str">
        <f>IFERROR(__xludf.DUMMYFUNCTION("""COMPUTED_VALUE"""),"PFIZER (CRITICAL)")</f>
        <v>PFIZER (CRITICAL)</v>
      </c>
    </row>
    <row r="2168">
      <c r="H2168" s="5" t="str">
        <f>IFERROR(__xludf.DUMMYFUNCTION("""COMPUTED_VALUE"""),"PFIZER (INTIMA)")</f>
        <v>PFIZER (INTIMA)</v>
      </c>
    </row>
    <row r="2169">
      <c r="H2169" s="5" t="str">
        <f>IFERROR(__xludf.DUMMYFUNCTION("""COMPUTED_VALUE"""),"PFIZER (MAGNUM)")</f>
        <v>PFIZER (MAGNUM)</v>
      </c>
    </row>
    <row r="2170">
      <c r="H2170" s="5" t="str">
        <f>IFERROR(__xludf.DUMMYFUNCTION("""COMPUTED_VALUE"""),"PFIZER (OTC)")</f>
        <v>PFIZER (OTC)</v>
      </c>
    </row>
    <row r="2171">
      <c r="H2171" s="5" t="str">
        <f>IFERROR(__xludf.DUMMYFUNCTION("""COMPUTED_VALUE"""),"PFIZER (PAIN TEAM)")</f>
        <v>PFIZER (PAIN TEAM)</v>
      </c>
    </row>
    <row r="2172">
      <c r="H2172" s="5" t="str">
        <f>IFERROR(__xludf.DUMMYFUNCTION("""COMPUTED_VALUE"""),"PFIZER (RESPIRATORY TEAM)")</f>
        <v>PFIZER (RESPIRATORY TEAM)</v>
      </c>
    </row>
    <row r="2173">
      <c r="H2173" s="5" t="str">
        <f>IFERROR(__xludf.DUMMYFUNCTION("""COMPUTED_VALUE"""),"Pfizer Ltd")</f>
        <v>Pfizer Ltd</v>
      </c>
    </row>
    <row r="2174">
      <c r="H2174" s="5" t="str">
        <f>IFERROR(__xludf.DUMMYFUNCTION("""COMPUTED_VALUE"""),"Pfizer Ltd (CRITICAL)")</f>
        <v>Pfizer Ltd (CRITICAL)</v>
      </c>
    </row>
    <row r="2175">
      <c r="H2175" s="5" t="str">
        <f>IFERROR(__xludf.DUMMYFUNCTION("""COMPUTED_VALUE"""),"Pfizer Ltd&amp; UPJOHN PVT.LTD.")</f>
        <v>Pfizer Ltd&amp; UPJOHN PVT.LTD.</v>
      </c>
    </row>
    <row r="2176">
      <c r="H2176" s="5" t="str">
        <f>IFERROR(__xludf.DUMMYFUNCTION("""COMPUTED_VALUE"""),"PHARMA ASIA DRUG")</f>
        <v>PHARMA ASIA DRUG</v>
      </c>
    </row>
    <row r="2177">
      <c r="H2177" s="5" t="str">
        <f>IFERROR(__xludf.DUMMYFUNCTION("""COMPUTED_VALUE"""),"PHARMA CORP INC (GENERIC)")</f>
        <v>PHARMA CORP INC (GENERIC)</v>
      </c>
    </row>
    <row r="2178">
      <c r="H2178" s="5" t="str">
        <f>IFERROR(__xludf.DUMMYFUNCTION("""COMPUTED_VALUE"""),"Pharma Fabrikon")</f>
        <v>Pharma Fabrikon</v>
      </c>
    </row>
    <row r="2179">
      <c r="H2179" s="5" t="str">
        <f>IFERROR(__xludf.DUMMYFUNCTION("""COMPUTED_VALUE"""),"Pharma Link Pvt Ltd")</f>
        <v>Pharma Link Pvt Ltd</v>
      </c>
    </row>
    <row r="2180">
      <c r="H2180" s="5" t="str">
        <f>IFERROR(__xludf.DUMMYFUNCTION("""COMPUTED_VALUE"""),"PHARMA NOVA")</f>
        <v>PHARMA NOVA</v>
      </c>
    </row>
    <row r="2181">
      <c r="H2181" s="5" t="str">
        <f>IFERROR(__xludf.DUMMYFUNCTION("""COMPUTED_VALUE"""),"PHARMA PLANET INDIA")</f>
        <v>PHARMA PLANET INDIA</v>
      </c>
    </row>
    <row r="2182">
      <c r="H2182" s="5" t="str">
        <f>IFERROR(__xludf.DUMMYFUNCTION("""COMPUTED_VALUE"""),"PHARMA SYNTH FORMULATIONS LTD")</f>
        <v>PHARMA SYNTH FORMULATIONS LTD</v>
      </c>
    </row>
    <row r="2183">
      <c r="H2183" s="5" t="str">
        <f>IFERROR(__xludf.DUMMYFUNCTION("""COMPUTED_VALUE"""),"Pharma-Tech India")</f>
        <v>Pharma-Tech India</v>
      </c>
    </row>
    <row r="2184">
      <c r="H2184" s="5" t="str">
        <f>IFERROR(__xludf.DUMMYFUNCTION("""COMPUTED_VALUE"""),"PHARMACHEM PVT LTD")</f>
        <v>PHARMACHEM PVT LTD</v>
      </c>
    </row>
    <row r="2185">
      <c r="H2185" s="5" t="str">
        <f>IFERROR(__xludf.DUMMYFUNCTION("""COMPUTED_VALUE"""),"PHARMACORPO INDIA")</f>
        <v>PHARMACORPO INDIA</v>
      </c>
    </row>
    <row r="2186">
      <c r="H2186" s="5" t="str">
        <f>IFERROR(__xludf.DUMMYFUNCTION("""COMPUTED_VALUE"""),"PHARMALINK")</f>
        <v>PHARMALINK</v>
      </c>
    </row>
    <row r="2187">
      <c r="H2187" s="5" t="str">
        <f>IFERROR(__xludf.DUMMYFUNCTION("""COMPUTED_VALUE"""),"PHARMAMAN MEDITECH PVT LTD")</f>
        <v>PHARMAMAN MEDITECH PVT LTD</v>
      </c>
    </row>
    <row r="2188">
      <c r="H2188" s="5" t="str">
        <f>IFERROR(__xludf.DUMMYFUNCTION("""COMPUTED_VALUE"""),"Pharmanova India")</f>
        <v>Pharmanova India</v>
      </c>
    </row>
    <row r="2189">
      <c r="H2189" s="5" t="str">
        <f>IFERROR(__xludf.DUMMYFUNCTION("""COMPUTED_VALUE"""),"PHARMANOVA SPECIALITIES")</f>
        <v>PHARMANOVA SPECIALITIES</v>
      </c>
    </row>
    <row r="2190">
      <c r="H2190" s="5" t="str">
        <f>IFERROR(__xludf.DUMMYFUNCTION("""COMPUTED_VALUE"""),"PHARMASIA")</f>
        <v>PHARMASIA</v>
      </c>
    </row>
    <row r="2191">
      <c r="H2191" s="5" t="str">
        <f>IFERROR(__xludf.DUMMYFUNCTION("""COMPUTED_VALUE"""),"PHARMASUN")</f>
        <v>PHARMASUN</v>
      </c>
    </row>
    <row r="2192">
      <c r="H2192" s="5" t="str">
        <f>IFERROR(__xludf.DUMMYFUNCTION("""COMPUTED_VALUE"""),"Pharmatak Opthalmics Pvt Ltd")</f>
        <v>Pharmatak Opthalmics Pvt Ltd</v>
      </c>
    </row>
    <row r="2193">
      <c r="H2193" s="5" t="str">
        <f>IFERROR(__xludf.DUMMYFUNCTION("""COMPUTED_VALUE"""),"Pharmatak Opthalmics Pvt Ltd OPTHALMICS")</f>
        <v>Pharmatak Opthalmics Pvt Ltd OPTHALMICS</v>
      </c>
    </row>
    <row r="2194">
      <c r="H2194" s="5" t="str">
        <f>IFERROR(__xludf.DUMMYFUNCTION("""COMPUTED_VALUE"""),"PHARMAX INDIA PVT LTD")</f>
        <v>PHARMAX INDIA PVT LTD</v>
      </c>
    </row>
    <row r="2195">
      <c r="H2195" s="5" t="str">
        <f>IFERROR(__xludf.DUMMYFUNCTION("""COMPUTED_VALUE"""),"Pharmed Ltd")</f>
        <v>Pharmed Ltd</v>
      </c>
    </row>
    <row r="2196">
      <c r="H2196" s="5" t="str">
        <f>IFERROR(__xludf.DUMMYFUNCTION("""COMPUTED_VALUE"""),"PHARMTAK")</f>
        <v>PHARMTAK</v>
      </c>
    </row>
    <row r="2197">
      <c r="H2197" s="5" t="str">
        <f>IFERROR(__xludf.DUMMYFUNCTION("""COMPUTED_VALUE"""),"PICWELL PHARMACEUTICALS P LTD")</f>
        <v>PICWELL PHARMACEUTICALS P LTD</v>
      </c>
    </row>
    <row r="2198">
      <c r="H2198" s="5" t="str">
        <f>IFERROR(__xludf.DUMMYFUNCTION("""COMPUTED_VALUE"""),"PIFER PHARMACEUTICALS")</f>
        <v>PIFER PHARMACEUTICALS</v>
      </c>
    </row>
    <row r="2199">
      <c r="H2199" s="5" t="str">
        <f>IFERROR(__xludf.DUMMYFUNCTION("""COMPUTED_VALUE"""),"PILCO PHARMA PVT LTD")</f>
        <v>PILCO PHARMA PVT LTD</v>
      </c>
    </row>
    <row r="2200">
      <c r="H2200" s="5" t="str">
        <f>IFERROR(__xludf.DUMMYFUNCTION("""COMPUTED_VALUE"""),"PINEHEARTS HEALTHCARE")</f>
        <v>PINEHEARTS HEALTHCARE</v>
      </c>
    </row>
    <row r="2201">
      <c r="H2201" s="5" t="str">
        <f>IFERROR(__xludf.DUMMYFUNCTION("""COMPUTED_VALUE"""),"PINK HEALTH (BRD GROUP)")</f>
        <v>PINK HEALTH (BRD GROUP)</v>
      </c>
    </row>
    <row r="2202">
      <c r="H2202" s="5" t="str">
        <f>IFERROR(__xludf.DUMMYFUNCTION("""COMPUTED_VALUE"""),"PINK Health (Deleted)")</f>
        <v>PINK Health (Deleted)</v>
      </c>
    </row>
    <row r="2203">
      <c r="H2203" s="5" t="str">
        <f>IFERROR(__xludf.DUMMYFUNCTION("""COMPUTED_VALUE"""),"PIOMA CHEMICALS")</f>
        <v>PIOMA CHEMICALS</v>
      </c>
    </row>
    <row r="2204">
      <c r="H2204" s="5" t="str">
        <f>IFERROR(__xludf.DUMMYFUNCTION("""COMPUTED_VALUE"""),"PIRAMAL (ACUTE CARE)")</f>
        <v>PIRAMAL (ACUTE CARE)</v>
      </c>
    </row>
    <row r="2205">
      <c r="H2205" s="5" t="str">
        <f>IFERROR(__xludf.DUMMYFUNCTION("""COMPUTED_VALUE"""),"PIRAMAL (CARDIAC)")</f>
        <v>PIRAMAL (CARDIAC)</v>
      </c>
    </row>
    <row r="2206">
      <c r="H2206" s="5" t="str">
        <f>IFERROR(__xludf.DUMMYFUNCTION("""COMPUTED_VALUE"""),"PIRAMAL (CARDIO DIABETES)")</f>
        <v>PIRAMAL (CARDIO DIABETES)</v>
      </c>
    </row>
    <row r="2207">
      <c r="H2207" s="5" t="str">
        <f>IFERROR(__xludf.DUMMYFUNCTION("""COMPUTED_VALUE"""),"PIRAMAL (CNS TASK)")</f>
        <v>PIRAMAL (CNS TASK)</v>
      </c>
    </row>
    <row r="2208">
      <c r="H2208" s="5" t="str">
        <f>IFERROR(__xludf.DUMMYFUNCTION("""COMPUTED_VALUE"""),"PIRAMAL (CONSUMER)")</f>
        <v>PIRAMAL (CONSUMER)</v>
      </c>
    </row>
    <row r="2209">
      <c r="H2209" s="5" t="str">
        <f>IFERROR(__xludf.DUMMYFUNCTION("""COMPUTED_VALUE"""),"PIRAMAL (CRITICAL CARDIOLOGY)")</f>
        <v>PIRAMAL (CRITICAL CARDIOLOGY)</v>
      </c>
    </row>
    <row r="2210">
      <c r="H2210" s="5" t="str">
        <f>IFERROR(__xludf.DUMMYFUNCTION("""COMPUTED_VALUE"""),"PIRAMAL (CTF)")</f>
        <v>PIRAMAL (CTF)</v>
      </c>
    </row>
    <row r="2211">
      <c r="H2211" s="5" t="str">
        <f>IFERROR(__xludf.DUMMYFUNCTION("""COMPUTED_VALUE"""),"PIRAMAL (DERMA COSMETICS)")</f>
        <v>PIRAMAL (DERMA COSMETICS)</v>
      </c>
    </row>
    <row r="2212">
      <c r="H2212" s="5" t="str">
        <f>IFERROR(__xludf.DUMMYFUNCTION("""COMPUTED_VALUE"""),"PIRAMAL (DERMA)")</f>
        <v>PIRAMAL (DERMA)</v>
      </c>
    </row>
    <row r="2213">
      <c r="H2213" s="5" t="str">
        <f>IFERROR(__xludf.DUMMYFUNCTION("""COMPUTED_VALUE"""),"PIRAMAL (DIABETES)")</f>
        <v>PIRAMAL (DIABETES)</v>
      </c>
    </row>
    <row r="2214">
      <c r="H2214" s="5" t="str">
        <f>IFERROR(__xludf.DUMMYFUNCTION("""COMPUTED_VALUE"""),"PIRAMAL (DIABITIES TASK FORCE)")</f>
        <v>PIRAMAL (DIABITIES TASK FORCE)</v>
      </c>
    </row>
    <row r="2215">
      <c r="H2215" s="5" t="str">
        <f>IFERROR(__xludf.DUMMYFUNCTION("""COMPUTED_VALUE"""),"PIRAMAL (ENDURA)")</f>
        <v>PIRAMAL (ENDURA)</v>
      </c>
    </row>
    <row r="2216">
      <c r="H2216" s="5" t="str">
        <f>IFERROR(__xludf.DUMMYFUNCTION("""COMPUTED_VALUE"""),"PIRAMAL (ENTERPRISES)")</f>
        <v>PIRAMAL (ENTERPRISES)</v>
      </c>
    </row>
    <row r="2217">
      <c r="H2217" s="5" t="str">
        <f>IFERROR(__xludf.DUMMYFUNCTION("""COMPUTED_VALUE"""),"PIRAMAL (GENERAL MEDICINE)")</f>
        <v>PIRAMAL (GENERAL MEDICINE)</v>
      </c>
    </row>
    <row r="2218">
      <c r="H2218" s="5" t="str">
        <f>IFERROR(__xludf.DUMMYFUNCTION("""COMPUTED_VALUE"""),"PIRAMAL (GENNEXT)")</f>
        <v>PIRAMAL (GENNEXT)</v>
      </c>
    </row>
    <row r="2219">
      <c r="H2219" s="5" t="str">
        <f>IFERROR(__xludf.DUMMYFUNCTION("""COMPUTED_VALUE"""),"PIRAMAL (MULTI SPECIALITY)")</f>
        <v>PIRAMAL (MULTI SPECIALITY)</v>
      </c>
    </row>
    <row r="2220">
      <c r="H2220" s="5" t="str">
        <f>IFERROR(__xludf.DUMMYFUNCTION("""COMPUTED_VALUE"""),"PIRAMAL (MULTY THERAPY)")</f>
        <v>PIRAMAL (MULTY THERAPY)</v>
      </c>
    </row>
    <row r="2221">
      <c r="H2221" s="5" t="str">
        <f>IFERROR(__xludf.DUMMYFUNCTION("""COMPUTED_VALUE"""),"PIRAMAL (NEURO PSYCHIATRY)")</f>
        <v>PIRAMAL (NEURO PSYCHIATRY)</v>
      </c>
    </row>
    <row r="2222">
      <c r="H2222" s="5" t="str">
        <f>IFERROR(__xludf.DUMMYFUNCTION("""COMPUTED_VALUE"""),"PIRAMAL (NPD)")</f>
        <v>PIRAMAL (NPD)</v>
      </c>
    </row>
    <row r="2223">
      <c r="H2223" s="5" t="str">
        <f>IFERROR(__xludf.DUMMYFUNCTION("""COMPUTED_VALUE"""),"PIRAMAL (ORTHO TASK FORCE)")</f>
        <v>PIRAMAL (ORTHO TASK FORCE)</v>
      </c>
    </row>
    <row r="2224">
      <c r="H2224" s="5" t="str">
        <f>IFERROR(__xludf.DUMMYFUNCTION("""COMPUTED_VALUE"""),"PIRAMAL (ORTHO)")</f>
        <v>PIRAMAL (ORTHO)</v>
      </c>
    </row>
    <row r="2225">
      <c r="H2225" s="5" t="str">
        <f>IFERROR(__xludf.DUMMYFUNCTION("""COMPUTED_VALUE"""),"PIRAMAL (PAIN MANAGEMENT)")</f>
        <v>PIRAMAL (PAIN MANAGEMENT)</v>
      </c>
    </row>
    <row r="2226">
      <c r="H2226" s="5" t="str">
        <f>IFERROR(__xludf.DUMMYFUNCTION("""COMPUTED_VALUE"""),"PIRAMAL (PLATINA)")</f>
        <v>PIRAMAL (PLATINA)</v>
      </c>
    </row>
    <row r="2227">
      <c r="H2227" s="5" t="str">
        <f>IFERROR(__xludf.DUMMYFUNCTION("""COMPUTED_VALUE"""),"PIRAMAL (RESPICARE)")</f>
        <v>PIRAMAL (RESPICARE)</v>
      </c>
    </row>
    <row r="2228">
      <c r="H2228" s="5" t="str">
        <f>IFERROR(__xludf.DUMMYFUNCTION("""COMPUTED_VALUE"""),"PIRAMAL (RESTORA)")</f>
        <v>PIRAMAL (RESTORA)</v>
      </c>
    </row>
    <row r="2229">
      <c r="H2229" s="5" t="str">
        <f>IFERROR(__xludf.DUMMYFUNCTION("""COMPUTED_VALUE"""),"PIRAMAL (S C GLEDEPA)")</f>
        <v>PIRAMAL (S C GLEDEPA)</v>
      </c>
    </row>
    <row r="2230">
      <c r="H2230" s="5" t="str">
        <f>IFERROR(__xludf.DUMMYFUNCTION("""COMPUTED_VALUE"""),"PIRAMAL (S C METALIFE)")</f>
        <v>PIRAMAL (S C METALIFE)</v>
      </c>
    </row>
    <row r="2231">
      <c r="H2231" s="5" t="str">
        <f>IFERROR(__xludf.DUMMYFUNCTION("""COMPUTED_VALUE"""),"PIRAMAL (SOLVAY)")</f>
        <v>PIRAMAL (SOLVAY)</v>
      </c>
    </row>
    <row r="2232">
      <c r="H2232" s="5" t="str">
        <f>IFERROR(__xludf.DUMMYFUNCTION("""COMPUTED_VALUE"""),"PIRAMAL (TM PENTIDS)")</f>
        <v>PIRAMAL (TM PENTIDS)</v>
      </c>
    </row>
    <row r="2233">
      <c r="H2233" s="5" t="str">
        <f>IFERROR(__xludf.DUMMYFUNCTION("""COMPUTED_VALUE"""),"Piramal Healthcare Limited")</f>
        <v>Piramal Healthcare Limited</v>
      </c>
    </row>
    <row r="2234">
      <c r="H2234" s="5" t="str">
        <f>IFERROR(__xludf.DUMMYFUNCTION("""COMPUTED_VALUE"""),"PIRAMAL SPCLTS")</f>
        <v>PIRAMAL SPCLTS</v>
      </c>
    </row>
    <row r="2235">
      <c r="H2235" s="5" t="str">
        <f>IFERROR(__xludf.DUMMYFUNCTION("""COMPUTED_VALUE"""),"PITAMBARI PRODUCTS")</f>
        <v>PITAMBARI PRODUCTS</v>
      </c>
    </row>
    <row r="2236">
      <c r="H2236" s="5" t="str">
        <f>IFERROR(__xludf.DUMMYFUNCTION("""COMPUTED_VALUE"""),"Planet Ayurveda")</f>
        <v>Planet Ayurveda</v>
      </c>
    </row>
    <row r="2237">
      <c r="H2237" s="5" t="str">
        <f>IFERROR(__xludf.DUMMYFUNCTION("""COMPUTED_VALUE"""),"PLANET HERBS LIFESCIENCES")</f>
        <v>PLANET HERBS LIFESCIENCES</v>
      </c>
    </row>
    <row r="2238">
      <c r="H2238" s="5" t="str">
        <f>IFERROR(__xludf.DUMMYFUNCTION("""COMPUTED_VALUE"""),"PLASMA HEALTH CARE")</f>
        <v>PLASMA HEALTH CARE</v>
      </c>
    </row>
    <row r="2239">
      <c r="H2239" s="5" t="str">
        <f>IFERROR(__xludf.DUMMYFUNCTION("""COMPUTED_VALUE"""),"PLASMAGEN BIOSCIENCES PVT LTD")</f>
        <v>PLASMAGEN BIOSCIENCES PVT LTD</v>
      </c>
    </row>
    <row r="2240">
      <c r="H2240" s="5" t="str">
        <f>IFERROR(__xludf.DUMMYFUNCTION("""COMPUTED_VALUE"""),"PLASMID HEALTH CARE")</f>
        <v>PLASMID HEALTH CARE</v>
      </c>
    </row>
    <row r="2241">
      <c r="H2241" s="5" t="str">
        <f>IFERROR(__xludf.DUMMYFUNCTION("""COMPUTED_VALUE"""),"PLASMOGEN BIOSCIENCES")</f>
        <v>PLASMOGEN BIOSCIENCES</v>
      </c>
    </row>
    <row r="2242">
      <c r="H2242" s="5" t="str">
        <f>IFERROR(__xludf.DUMMYFUNCTION("""COMPUTED_VALUE"""),"PLEASANT PHARMACEUTICAL PVT LTD")</f>
        <v>PLEASANT PHARMACEUTICAL PVT LTD</v>
      </c>
    </row>
    <row r="2243">
      <c r="H2243" s="5" t="str">
        <f>IFERROR(__xludf.DUMMYFUNCTION("""COMPUTED_VALUE"""),"PLENTEOUS PHARMACEUTICALS LTD")</f>
        <v>PLENTEOUS PHARMACEUTICALS LTD</v>
      </c>
    </row>
    <row r="2244">
      <c r="H2244" s="5" t="str">
        <f>IFERROR(__xludf.DUMMYFUNCTION("""COMPUTED_VALUE"""),"PLETHICO (VOLANT)")</f>
        <v>PLETHICO (VOLANT)</v>
      </c>
    </row>
    <row r="2245">
      <c r="H2245" s="5" t="str">
        <f>IFERROR(__xludf.DUMMYFUNCTION("""COMPUTED_VALUE"""),"POCKET PHARMACY")</f>
        <v>POCKET PHARMACY</v>
      </c>
    </row>
    <row r="2246">
      <c r="H2246" s="5" t="str">
        <f>IFERROR(__xludf.DUMMYFUNCTION("""COMPUTED_VALUE"""),"POLARSTAR LTD.")</f>
        <v>POLARSTAR LTD.</v>
      </c>
    </row>
    <row r="2247">
      <c r="H2247" s="5" t="str">
        <f>IFERROR(__xludf.DUMMYFUNCTION("""COMPUTED_VALUE"""),"POLY MEDICURE PVT LTD")</f>
        <v>POLY MEDICURE PVT LTD</v>
      </c>
    </row>
    <row r="2248">
      <c r="H2248" s="5" t="str">
        <f>IFERROR(__xludf.DUMMYFUNCTION("""COMPUTED_VALUE"""),"POLYBOND INDIA PVT LTD")</f>
        <v>POLYBOND INDIA PVT LTD</v>
      </c>
    </row>
    <row r="2249">
      <c r="H2249" s="5" t="str">
        <f>IFERROR(__xludf.DUMMYFUNCTION("""COMPUTED_VALUE"""),"POPULATION HEALTH SERVICE INDIA")</f>
        <v>POPULATION HEALTH SERVICE INDIA</v>
      </c>
    </row>
    <row r="2250">
      <c r="H2250" s="5" t="str">
        <f>IFERROR(__xludf.DUMMYFUNCTION("""COMPUTED_VALUE"""),"POSITIF PHARMA")</f>
        <v>POSITIF PHARMA</v>
      </c>
    </row>
    <row r="2251">
      <c r="H2251" s="5" t="str">
        <f>IFERROR(__xludf.DUMMYFUNCTION("""COMPUTED_VALUE"""),"PPL HEALTH CARE")</f>
        <v>PPL HEALTH CARE</v>
      </c>
    </row>
    <row r="2252">
      <c r="H2252" s="5" t="str">
        <f>IFERROR(__xludf.DUMMYFUNCTION("""COMPUTED_VALUE"""),"PRAANACHARYA")</f>
        <v>PRAANACHARYA</v>
      </c>
    </row>
    <row r="2253">
      <c r="H2253" s="5" t="str">
        <f>IFERROR(__xludf.DUMMYFUNCTION("""COMPUTED_VALUE"""),"PRAD PHARMA PRODUCT UJJAIN")</f>
        <v>PRAD PHARMA PRODUCT UJJAIN</v>
      </c>
    </row>
    <row r="2254">
      <c r="H2254" s="5" t="str">
        <f>IFERROR(__xludf.DUMMYFUNCTION("""COMPUTED_VALUE"""),"PRAISE PHARMA")</f>
        <v>PRAISE PHARMA</v>
      </c>
    </row>
    <row r="2255">
      <c r="H2255" s="5" t="str">
        <f>IFERROR(__xludf.DUMMYFUNCTION("""COMPUTED_VALUE"""),"PRANO FLEX (INDIA) PVT LTD")</f>
        <v>PRANO FLEX (INDIA) PVT LTD</v>
      </c>
    </row>
    <row r="2256">
      <c r="H2256" s="5" t="str">
        <f>IFERROR(__xludf.DUMMYFUNCTION("""COMPUTED_VALUE"""),"PRATHANA PHARMA")</f>
        <v>PRATHANA PHARMA</v>
      </c>
    </row>
    <row r="2257">
      <c r="H2257" s="5" t="str">
        <f>IFERROR(__xludf.DUMMYFUNCTION("""COMPUTED_VALUE"""),"PRAVEK KALP HERBAL")</f>
        <v>PRAVEK KALP HERBAL</v>
      </c>
    </row>
    <row r="2258">
      <c r="H2258" s="5" t="str">
        <f>IFERROR(__xludf.DUMMYFUNCTION("""COMPUTED_VALUE"""),"PRAYAS PHARMACEUTICALS")</f>
        <v>PRAYAS PHARMACEUTICALS</v>
      </c>
    </row>
    <row r="2259">
      <c r="H2259" s="5" t="str">
        <f>IFERROR(__xludf.DUMMYFUNCTION("""COMPUTED_VALUE"""),"Precia Pharma")</f>
        <v>Precia Pharma</v>
      </c>
    </row>
    <row r="2260">
      <c r="H2260" s="5" t="str">
        <f>IFERROR(__xludf.DUMMYFUNCTION("""COMPUTED_VALUE"""),"PRECIOUS LIFE SCIENCE")</f>
        <v>PRECIOUS LIFE SCIENCE</v>
      </c>
    </row>
    <row r="2261">
      <c r="H2261" s="5" t="str">
        <f>IFERROR(__xludf.DUMMYFUNCTION("""COMPUTED_VALUE"""),"PRECIOUS PHARMA")</f>
        <v>PRECIOUS PHARMA</v>
      </c>
    </row>
    <row r="2262">
      <c r="H2262" s="5" t="str">
        <f>IFERROR(__xludf.DUMMYFUNCTION("""COMPUTED_VALUE"""),"PRECISE HEALTHCARE PVT LTD")</f>
        <v>PRECISE HEALTHCARE PVT LTD</v>
      </c>
    </row>
    <row r="2263">
      <c r="H2263" s="5" t="str">
        <f>IFERROR(__xludf.DUMMYFUNCTION("""COMPUTED_VALUE"""),"PRECTOR LIFESCIENCES")</f>
        <v>PRECTOR LIFESCIENCES</v>
      </c>
    </row>
    <row r="2264">
      <c r="H2264" s="5" t="str">
        <f>IFERROR(__xludf.DUMMYFUNCTION("""COMPUTED_VALUE"""),"PREKEM PHARMACEUTICALS")</f>
        <v>PREKEM PHARMACEUTICALS</v>
      </c>
    </row>
    <row r="2265">
      <c r="H2265" s="5" t="str">
        <f>IFERROR(__xludf.DUMMYFUNCTION("""COMPUTED_VALUE"""),"Prem Pharmaceuticals Ltd")</f>
        <v>Prem Pharmaceuticals Ltd</v>
      </c>
    </row>
    <row r="2266">
      <c r="H2266" s="5" t="str">
        <f>IFERROR(__xludf.DUMMYFUNCTION("""COMPUTED_VALUE"""),"Premier Nutraceuticals Pvt Ltd")</f>
        <v>Premier Nutraceuticals Pvt Ltd</v>
      </c>
    </row>
    <row r="2267">
      <c r="H2267" s="5" t="str">
        <f>IFERROR(__xludf.DUMMYFUNCTION("""COMPUTED_VALUE"""),"PRESCRIPTION MEDICINES PVT LTD")</f>
        <v>PRESCRIPTION MEDICINES PVT LTD</v>
      </c>
    </row>
    <row r="2268">
      <c r="H2268" s="5" t="str">
        <f>IFERROR(__xludf.DUMMYFUNCTION("""COMPUTED_VALUE"""),"PRESINUS PHARMACEUTICAL")</f>
        <v>PRESINUS PHARMACEUTICAL</v>
      </c>
    </row>
    <row r="2269">
      <c r="H2269" s="5" t="str">
        <f>IFERROR(__xludf.DUMMYFUNCTION("""COMPUTED_VALUE"""),"PRETIUM PHARMACEUTICALS")</f>
        <v>PRETIUM PHARMACEUTICALS</v>
      </c>
    </row>
    <row r="2270">
      <c r="H2270" s="5" t="str">
        <f>IFERROR(__xludf.DUMMYFUNCTION("""COMPUTED_VALUE"""),"PRICON SYRINGES AND NEEDLES")</f>
        <v>PRICON SYRINGES AND NEEDLES</v>
      </c>
    </row>
    <row r="2271">
      <c r="H2271" s="5" t="str">
        <f>IFERROR(__xludf.DUMMYFUNCTION("""COMPUTED_VALUE"""),"PRIME LIFE SCIENCES")</f>
        <v>PRIME LIFE SCIENCES</v>
      </c>
    </row>
    <row r="2272">
      <c r="H2272" s="5" t="str">
        <f>IFERROR(__xludf.DUMMYFUNCTION("""COMPUTED_VALUE"""),"PRINCE CARE PHARMA PVT LTD")</f>
        <v>PRINCE CARE PHARMA PVT LTD</v>
      </c>
    </row>
    <row r="2273">
      <c r="H2273" s="5" t="str">
        <f>IFERROR(__xludf.DUMMYFUNCTION("""COMPUTED_VALUE"""),"PRISM (DERMA)")</f>
        <v>PRISM (DERMA)</v>
      </c>
    </row>
    <row r="2274">
      <c r="H2274" s="5" t="str">
        <f>IFERROR(__xludf.DUMMYFUNCTION("""COMPUTED_VALUE"""),"PRISM LIFE SCIENCES")</f>
        <v>PRISM LIFE SCIENCES</v>
      </c>
    </row>
    <row r="2275">
      <c r="H2275" s="5" t="str">
        <f>IFERROR(__xludf.DUMMYFUNCTION("""COMPUTED_VALUE"""),"PRO LABORATORIES PVT LTD")</f>
        <v>PRO LABORATORIES PVT LTD</v>
      </c>
    </row>
    <row r="2276">
      <c r="H2276" s="5" t="str">
        <f>IFERROR(__xludf.DUMMYFUNCTION("""COMPUTED_VALUE"""),"PROCTER &amp; GAMBLE")</f>
        <v>PROCTER &amp; GAMBLE</v>
      </c>
    </row>
    <row r="2277">
      <c r="H2277" s="5" t="str">
        <f>IFERROR(__xludf.DUMMYFUNCTION("""COMPUTED_VALUE"""),"PROCTOR ORGANICS PVT LTD")</f>
        <v>PROCTOR ORGANICS PVT LTD</v>
      </c>
    </row>
    <row r="2278">
      <c r="H2278" s="5" t="str">
        <f>IFERROR(__xludf.DUMMYFUNCTION("""COMPUTED_VALUE"""),"Product Name")</f>
        <v>Product Name</v>
      </c>
    </row>
    <row r="2279">
      <c r="H2279" s="5" t="str">
        <f>IFERROR(__xludf.DUMMYFUNCTION("""COMPUTED_VALUE"""),"PROFAM HEALTHCARE")</f>
        <v>PROFAM HEALTHCARE</v>
      </c>
    </row>
    <row r="2280">
      <c r="H2280" s="5" t="str">
        <f>IFERROR(__xludf.DUMMYFUNCTION("""COMPUTED_VALUE"""),"PROFIC ORGANIC LIMITED")</f>
        <v>PROFIC ORGANIC LIMITED</v>
      </c>
    </row>
    <row r="2281">
      <c r="H2281" s="5" t="str">
        <f>IFERROR(__xludf.DUMMYFUNCTION("""COMPUTED_VALUE"""),"PROHEALTH VITAMIN")</f>
        <v>PROHEALTH VITAMIN</v>
      </c>
    </row>
    <row r="2282">
      <c r="H2282" s="5" t="str">
        <f>IFERROR(__xludf.DUMMYFUNCTION("""COMPUTED_VALUE"""),"PROLIDAC HEALTHCARE")</f>
        <v>PROLIDAC HEALTHCARE</v>
      </c>
    </row>
    <row r="2283">
      <c r="H2283" s="5" t="str">
        <f>IFERROR(__xludf.DUMMYFUNCTION("""COMPUTED_VALUE"""),"PRONTOCURE PHARMA P LTD")</f>
        <v>PRONTOCURE PHARMA P LTD</v>
      </c>
    </row>
    <row r="2284">
      <c r="H2284" s="5" t="str">
        <f>IFERROR(__xludf.DUMMYFUNCTION("""COMPUTED_VALUE"""),"PROSAIC PHARMACEUTICALS (MEDICINE)")</f>
        <v>PROSAIC PHARMACEUTICALS (MEDICINE)</v>
      </c>
    </row>
    <row r="2285">
      <c r="H2285" s="5" t="str">
        <f>IFERROR(__xludf.DUMMYFUNCTION("""COMPUTED_VALUE"""),"PROSPER")</f>
        <v>PROSPER</v>
      </c>
    </row>
    <row r="2286">
      <c r="H2286" s="5" t="str">
        <f>IFERROR(__xludf.DUMMYFUNCTION("""COMPUTED_VALUE"""),"PROVIS")</f>
        <v>PROVIS</v>
      </c>
    </row>
    <row r="2287">
      <c r="H2287" s="5" t="str">
        <f>IFERROR(__xludf.DUMMYFUNCTION("""COMPUTED_VALUE"""),"PSI INDIA PVT LTD")</f>
        <v>PSI INDIA PVT LTD</v>
      </c>
    </row>
    <row r="2288">
      <c r="H2288" s="5" t="str">
        <f>IFERROR(__xludf.DUMMYFUNCTION("""COMPUTED_VALUE"""),"PSYCHOCARE")</f>
        <v>PSYCHOCARE</v>
      </c>
    </row>
    <row r="2289">
      <c r="H2289" s="5" t="str">
        <f>IFERROR(__xludf.DUMMYFUNCTION("""COMPUTED_VALUE"""),"PSYCHOTROPICS INDIA LIMITED (GENERIC)")</f>
        <v>PSYCHOTROPICS INDIA LIMITED (GENERIC)</v>
      </c>
    </row>
    <row r="2290">
      <c r="H2290" s="5" t="str">
        <f>IFERROR(__xludf.DUMMYFUNCTION("""COMPUTED_VALUE"""),"PSYCHOTROPICS INDIA LTD")</f>
        <v>PSYCHOTROPICS INDIA LTD</v>
      </c>
    </row>
    <row r="2291">
      <c r="H2291" s="5" t="str">
        <f>IFERROR(__xludf.DUMMYFUNCTION("""COMPUTED_VALUE"""),"PSYCHOTROPICS INDIA LTD (FORMULATION)")</f>
        <v>PSYCHOTROPICS INDIA LTD (FORMULATION)</v>
      </c>
    </row>
    <row r="2292">
      <c r="H2292" s="5" t="str">
        <f>IFERROR(__xludf.DUMMYFUNCTION("""COMPUTED_VALUE"""),"PSYCHOTROPICS INDIA LTD (RADICAL)")</f>
        <v>PSYCHOTROPICS INDIA LTD (RADICAL)</v>
      </c>
    </row>
    <row r="2293">
      <c r="H2293" s="5" t="str">
        <f>IFERROR(__xludf.DUMMYFUNCTION("""COMPUTED_VALUE"""),"PSYCOGEN CAPTAB")</f>
        <v>PSYCOGEN CAPTAB</v>
      </c>
    </row>
    <row r="2294">
      <c r="H2294" s="5" t="str">
        <f>IFERROR(__xludf.DUMMYFUNCTION("""COMPUTED_VALUE"""),"Psycormedies")</f>
        <v>Psycormedies</v>
      </c>
    </row>
    <row r="2295">
      <c r="H2295" s="5" t="str">
        <f>IFERROR(__xludf.DUMMYFUNCTION("""COMPUTED_VALUE"""),"PULSE (STIMULUS)")</f>
        <v>PULSE (STIMULUS)</v>
      </c>
    </row>
    <row r="2296">
      <c r="H2296" s="5" t="str">
        <f>IFERROR(__xludf.DUMMYFUNCTION("""COMPUTED_VALUE"""),"Pulse Pharmaceuticals")</f>
        <v>Pulse Pharmaceuticals</v>
      </c>
    </row>
    <row r="2297">
      <c r="H2297" s="5" t="str">
        <f>IFERROR(__xludf.DUMMYFUNCTION("""COMPUTED_VALUE"""),"PULVIN PHARMACEUTICALS")</f>
        <v>PULVIN PHARMACEUTICALS</v>
      </c>
    </row>
    <row r="2298">
      <c r="H2298" s="5" t="str">
        <f>IFERROR(__xludf.DUMMYFUNCTION("""COMPUTED_VALUE"""),"Pure Derma")</f>
        <v>Pure Derma</v>
      </c>
    </row>
    <row r="2299">
      <c r="H2299" s="5" t="str">
        <f>IFERROR(__xludf.DUMMYFUNCTION("""COMPUTED_VALUE"""),"PUREMED BIOTECH")</f>
        <v>PUREMED BIOTECH</v>
      </c>
    </row>
    <row r="2300">
      <c r="H2300" s="5" t="str">
        <f>IFERROR(__xludf.DUMMYFUNCTION("""COMPUTED_VALUE"""),"PUREMED BIOTECH (CARDIMED)")</f>
        <v>PUREMED BIOTECH (CARDIMED)</v>
      </c>
    </row>
    <row r="2301">
      <c r="H2301" s="5" t="str">
        <f>IFERROR(__xludf.DUMMYFUNCTION("""COMPUTED_VALUE"""),"PURVISION MALTIFOCAL")</f>
        <v>PURVISION MALTIFOCAL</v>
      </c>
    </row>
    <row r="2302">
      <c r="H2302" s="5" t="str">
        <f>IFERROR(__xludf.DUMMYFUNCTION("""COMPUTED_VALUE"""),"PV TORIC")</f>
        <v>PV TORIC</v>
      </c>
    </row>
    <row r="2303">
      <c r="H2303" s="5" t="str">
        <f>IFERROR(__xludf.DUMMYFUNCTION("""COMPUTED_VALUE"""),"QUALITRON")</f>
        <v>QUALITRON</v>
      </c>
    </row>
    <row r="2304">
      <c r="H2304" s="5" t="str">
        <f>IFERROR(__xludf.DUMMYFUNCTION("""COMPUTED_VALUE"""),"QUALITY PHARMA")</f>
        <v>QUALITY PHARMA</v>
      </c>
    </row>
    <row r="2305">
      <c r="H2305" s="5" t="str">
        <f>IFERROR(__xludf.DUMMYFUNCTION("""COMPUTED_VALUE"""),"QUANTRIX HEALTHCARE")</f>
        <v>QUANTRIX HEALTHCARE</v>
      </c>
    </row>
    <row r="2306">
      <c r="H2306" s="5" t="str">
        <f>IFERROR(__xludf.DUMMYFUNCTION("""COMPUTED_VALUE"""),"QUEEN PHARMA")</f>
        <v>QUEEN PHARMA</v>
      </c>
    </row>
    <row r="2307">
      <c r="H2307" s="5" t="str">
        <f>IFERROR(__xludf.DUMMYFUNCTION("""COMPUTED_VALUE"""),"QUERWELL LIFE SCIENCE")</f>
        <v>QUERWELL LIFE SCIENCE</v>
      </c>
    </row>
    <row r="2308">
      <c r="H2308" s="5" t="str">
        <f>IFERROR(__xludf.DUMMYFUNCTION("""COMPUTED_VALUE"""),"QUEST PHARMA")</f>
        <v>QUEST PHARMA</v>
      </c>
    </row>
    <row r="2309">
      <c r="H2309" s="5" t="str">
        <f>IFERROR(__xludf.DUMMYFUNCTION("""COMPUTED_VALUE"""),"QUICK HEAL LIFESCIENCES")</f>
        <v>QUICK HEAL LIFESCIENCES</v>
      </c>
    </row>
    <row r="2310">
      <c r="H2310" s="5" t="str">
        <f>IFERROR(__xludf.DUMMYFUNCTION("""COMPUTED_VALUE"""),"QUIXOTIC PHARMA PVT LTD")</f>
        <v>QUIXOTIC PHARMA PVT LTD</v>
      </c>
    </row>
    <row r="2311">
      <c r="H2311" s="5" t="str">
        <f>IFERROR(__xludf.DUMMYFUNCTION("""COMPUTED_VALUE"""),"QUREWELL LIFESCIENCES")</f>
        <v>QUREWELL LIFESCIENCES</v>
      </c>
    </row>
    <row r="2312">
      <c r="H2312" s="5" t="str">
        <f>IFERROR(__xludf.DUMMYFUNCTION("""COMPUTED_VALUE"""),"R+ PHARMACEUTICALS")</f>
        <v>R+ PHARMACEUTICALS</v>
      </c>
    </row>
    <row r="2313">
      <c r="H2313" s="5" t="str">
        <f>IFERROR(__xludf.DUMMYFUNCTION("""COMPUTED_VALUE"""),"RAAYN DRUGS")</f>
        <v>RAAYN DRUGS</v>
      </c>
    </row>
    <row r="2314">
      <c r="H2314" s="5" t="str">
        <f>IFERROR(__xludf.DUMMYFUNCTION("""COMPUTED_VALUE"""),"RADICO REMEDIES")</f>
        <v>RADICO REMEDIES</v>
      </c>
    </row>
    <row r="2315">
      <c r="H2315" s="5" t="str">
        <f>IFERROR(__xludf.DUMMYFUNCTION("""COMPUTED_VALUE"""),"RADICURA PHARMACEUTICALS")</f>
        <v>RADICURA PHARMACEUTICALS</v>
      </c>
    </row>
    <row r="2316">
      <c r="H2316" s="5" t="str">
        <f>IFERROR(__xludf.DUMMYFUNCTION("""COMPUTED_VALUE"""),"RADIUS HERBAL")</f>
        <v>RADIUS HERBAL</v>
      </c>
    </row>
    <row r="2317">
      <c r="H2317" s="5" t="str">
        <f>IFERROR(__xludf.DUMMYFUNCTION("""COMPUTED_VALUE"""),"RAFFLES PHARMA")</f>
        <v>RAFFLES PHARMA</v>
      </c>
    </row>
    <row r="2318">
      <c r="H2318" s="5" t="str">
        <f>IFERROR(__xludf.DUMMYFUNCTION("""COMPUTED_VALUE"""),"RAFPHEAL'S PHARMACEUTICALS")</f>
        <v>RAFPHEAL'S PHARMACEUTICALS</v>
      </c>
    </row>
    <row r="2319">
      <c r="H2319" s="5" t="str">
        <f>IFERROR(__xludf.DUMMYFUNCTION("""COMPUTED_VALUE"""),"RAGHAV VAIDYASHALA")</f>
        <v>RAGHAV VAIDYASHALA</v>
      </c>
    </row>
    <row r="2320">
      <c r="H2320" s="5" t="str">
        <f>IFERROR(__xludf.DUMMYFUNCTION("""COMPUTED_VALUE"""),"RAHAT INDUSTRIES")</f>
        <v>RAHAT INDUSTRIES</v>
      </c>
    </row>
    <row r="2321">
      <c r="H2321" s="5" t="str">
        <f>IFERROR(__xludf.DUMMYFUNCTION("""COMPUTED_VALUE"""),"RAHUL HEALTH CARE")</f>
        <v>RAHUL HEALTH CARE</v>
      </c>
    </row>
    <row r="2322">
      <c r="H2322" s="5" t="str">
        <f>IFERROR(__xludf.DUMMYFUNCTION("""COMPUTED_VALUE"""),"RAICHEM LIFE SCIENCES")</f>
        <v>RAICHEM LIFE SCIENCES</v>
      </c>
    </row>
    <row r="2323">
      <c r="H2323" s="5" t="str">
        <f>IFERROR(__xludf.DUMMYFUNCTION("""COMPUTED_VALUE"""),"RAINA HEALTHCARE")</f>
        <v>RAINA HEALTHCARE</v>
      </c>
    </row>
    <row r="2324">
      <c r="H2324" s="5" t="str">
        <f>IFERROR(__xludf.DUMMYFUNCTION("""COMPUTED_VALUE"""),"RAINBOW")</f>
        <v>RAINBOW</v>
      </c>
    </row>
    <row r="2325">
      <c r="H2325" s="5" t="str">
        <f>IFERROR(__xludf.DUMMYFUNCTION("""COMPUTED_VALUE"""),"RAINS HEALTHCARE")</f>
        <v>RAINS HEALTHCARE</v>
      </c>
    </row>
    <row r="2326">
      <c r="H2326" s="5" t="str">
        <f>IFERROR(__xludf.DUMMYFUNCTION("""COMPUTED_VALUE"""),"RAJDEEP HERBAL FORMULATION")</f>
        <v>RAJDEEP HERBAL FORMULATION</v>
      </c>
    </row>
    <row r="2327">
      <c r="H2327" s="5" t="str">
        <f>IFERROR(__xludf.DUMMYFUNCTION("""COMPUTED_VALUE"""),"RAJVAIDYA SHITAL PRASAD &amp; SONS")</f>
        <v>RAJVAIDYA SHITAL PRASAD &amp; SONS</v>
      </c>
    </row>
    <row r="2328">
      <c r="H2328" s="5" t="str">
        <f>IFERROR(__xludf.DUMMYFUNCTION("""COMPUTED_VALUE"""),"RALLIS INDIA LTD")</f>
        <v>RALLIS INDIA LTD</v>
      </c>
    </row>
    <row r="2329">
      <c r="H2329" s="5" t="str">
        <f>IFERROR(__xludf.DUMMYFUNCTION("""COMPUTED_VALUE"""),"RALSON")</f>
        <v>RALSON</v>
      </c>
    </row>
    <row r="2330">
      <c r="H2330" s="5" t="str">
        <f>IFERROR(__xludf.DUMMYFUNCTION("""COMPUTED_VALUE"""),"RAMKRISHNA RAMNARAYAN BAGDI")</f>
        <v>RAMKRISHNA RAMNARAYAN BAGDI</v>
      </c>
    </row>
    <row r="2331">
      <c r="H2331" s="5" t="str">
        <f>IFERROR(__xludf.DUMMYFUNCTION("""COMPUTED_VALUE"""),"RAMKRISHNA VIDYUT AYURVEDIC")</f>
        <v>RAMKRISHNA VIDYUT AYURVEDIC</v>
      </c>
    </row>
    <row r="2332">
      <c r="H2332" s="5" t="str">
        <f>IFERROR(__xludf.DUMMYFUNCTION("""COMPUTED_VALUE"""),"RAMOSE LABORATORIES")</f>
        <v>RAMOSE LABORATORIES</v>
      </c>
    </row>
    <row r="2333">
      <c r="H2333" s="5" t="str">
        <f>IFERROR(__xludf.DUMMYFUNCTION("""COMPUTED_VALUE"""),"RANBAXY (1)")</f>
        <v>RANBAXY (1)</v>
      </c>
    </row>
    <row r="2334">
      <c r="H2334" s="5" t="str">
        <f>IFERROR(__xludf.DUMMYFUNCTION("""COMPUTED_VALUE"""),"RANBAXY (2)")</f>
        <v>RANBAXY (2)</v>
      </c>
    </row>
    <row r="2335">
      <c r="H2335" s="5" t="str">
        <f>IFERROR(__xludf.DUMMYFUNCTION("""COMPUTED_VALUE"""),"RANBAXY (CROSSLAND)")</f>
        <v>RANBAXY (CROSSLAND)</v>
      </c>
    </row>
    <row r="2336">
      <c r="H2336" s="5" t="str">
        <f>IFERROR(__xludf.DUMMYFUNCTION("""COMPUTED_VALUE"""),"RANBAXY (CV-LIFE)")</f>
        <v>RANBAXY (CV-LIFE)</v>
      </c>
    </row>
    <row r="2337">
      <c r="H2337" s="5" t="str">
        <f>IFERROR(__xludf.DUMMYFUNCTION("""COMPUTED_VALUE"""),"RANBAXY (CV)")</f>
        <v>RANBAXY (CV)</v>
      </c>
    </row>
    <row r="2338">
      <c r="H2338" s="5" t="str">
        <f>IFERROR(__xludf.DUMMYFUNCTION("""COMPUTED_VALUE"""),"RANBAXY (DERMALANDS)")</f>
        <v>RANBAXY (DERMALANDS)</v>
      </c>
    </row>
    <row r="2339">
      <c r="H2339" s="5" t="str">
        <f>IFERROR(__xludf.DUMMYFUNCTION("""COMPUTED_VALUE"""),"Ranbaxy (GENERIC)")</f>
        <v>Ranbaxy (GENERIC)</v>
      </c>
    </row>
    <row r="2340">
      <c r="H2340" s="5" t="str">
        <f>IFERROR(__xludf.DUMMYFUNCTION("""COMPUTED_VALUE"""),"RANBAXY (MAXXIM)")</f>
        <v>RANBAXY (MAXXIM)</v>
      </c>
    </row>
    <row r="2341">
      <c r="H2341" s="5" t="str">
        <f>IFERROR(__xludf.DUMMYFUNCTION("""COMPUTED_VALUE"""),"RANBAXY (ORTHOLAND)")</f>
        <v>RANBAXY (ORTHOLAND)</v>
      </c>
    </row>
    <row r="2342">
      <c r="H2342" s="5" t="str">
        <f>IFERROR(__xludf.DUMMYFUNCTION("""COMPUTED_VALUE"""),"RANBAXY (OTC)")</f>
        <v>RANBAXY (OTC)</v>
      </c>
    </row>
    <row r="2343">
      <c r="H2343" s="5" t="str">
        <f>IFERROR(__xludf.DUMMYFUNCTION("""COMPUTED_VALUE"""),"RANBAXY (PHARMA)")</f>
        <v>RANBAXY (PHARMA)</v>
      </c>
    </row>
    <row r="2344">
      <c r="H2344" s="5" t="str">
        <f>IFERROR(__xludf.DUMMYFUNCTION("""COMPUTED_VALUE"""),"RANBAXY (PRIMALANDS)")</f>
        <v>RANBAXY (PRIMALANDS)</v>
      </c>
    </row>
    <row r="2345">
      <c r="H2345" s="5" t="str">
        <f>IFERROR(__xludf.DUMMYFUNCTION("""COMPUTED_VALUE"""),"RANBAXY (REXCEL)")</f>
        <v>RANBAXY (REXCEL)</v>
      </c>
    </row>
    <row r="2346">
      <c r="H2346" s="5" t="str">
        <f>IFERROR(__xludf.DUMMYFUNCTION("""COMPUTED_VALUE"""),"RANBAXY (SUNCROS)")</f>
        <v>RANBAXY (SUNCROS)</v>
      </c>
    </row>
    <row r="2347">
      <c r="H2347" s="5" t="str">
        <f>IFERROR(__xludf.DUMMYFUNCTION("""COMPUTED_VALUE"""),"RANBAXY (UROCARE)")</f>
        <v>RANBAXY (UROCARE)</v>
      </c>
    </row>
    <row r="2348">
      <c r="H2348" s="5" t="str">
        <f>IFERROR(__xludf.DUMMYFUNCTION("""COMPUTED_VALUE"""),"Ranbaxy Laboratories Ltd")</f>
        <v>Ranbaxy Laboratories Ltd</v>
      </c>
    </row>
    <row r="2349">
      <c r="H2349" s="5" t="str">
        <f>IFERROR(__xludf.DUMMYFUNCTION("""COMPUTED_VALUE"""),"RAPROSS PHARMACEUTICALS")</f>
        <v>RAPROSS PHARMACEUTICALS</v>
      </c>
    </row>
    <row r="2350">
      <c r="H2350" s="5" t="str">
        <f>IFERROR(__xludf.DUMMYFUNCTION("""COMPUTED_VALUE"""),"Raptakos Brett &amp; Co Ltd")</f>
        <v>Raptakos Brett &amp; Co Ltd</v>
      </c>
    </row>
    <row r="2351">
      <c r="H2351" s="5" t="str">
        <f>IFERROR(__xludf.DUMMYFUNCTION("""COMPUTED_VALUE"""),"RASNA CHEM")</f>
        <v>RASNA CHEM</v>
      </c>
    </row>
    <row r="2352">
      <c r="H2352" s="5" t="str">
        <f>IFERROR(__xludf.DUMMYFUNCTION("""COMPUTED_VALUE"""),"RATAN AYURVEDIC SANSTHAN")</f>
        <v>RATAN AYURVEDIC SANSTHAN</v>
      </c>
    </row>
    <row r="2353">
      <c r="H2353" s="5" t="str">
        <f>IFERROR(__xludf.DUMMYFUNCTION("""COMPUTED_VALUE"""),"RATAN ORGANICA INTERNATIONAL")</f>
        <v>RATAN ORGANICA INTERNATIONAL</v>
      </c>
    </row>
    <row r="2354">
      <c r="H2354" s="5" t="str">
        <f>IFERROR(__xludf.DUMMYFUNCTION("""COMPUTED_VALUE"""),"Rathi Laboratories (Hindustan) Pvt. Ltd.")</f>
        <v>Rathi Laboratories (Hindustan) Pvt. Ltd.</v>
      </c>
    </row>
    <row r="2355">
      <c r="H2355" s="5" t="str">
        <f>IFERROR(__xludf.DUMMYFUNCTION("""COMPUTED_VALUE"""),"RATNAMANI HEALTH P LTD")</f>
        <v>RATNAMANI HEALTH P LTD</v>
      </c>
    </row>
    <row r="2356">
      <c r="H2356" s="5" t="str">
        <f>IFERROR(__xludf.DUMMYFUNCTION("""COMPUTED_VALUE"""),"RATNAMANI HEALTH PVT LTD")</f>
        <v>RATNAMANI HEALTH PVT LTD</v>
      </c>
    </row>
    <row r="2357">
      <c r="H2357" s="5" t="str">
        <f>IFERROR(__xludf.DUMMYFUNCTION("""COMPUTED_VALUE"""),"RAVENBHEL HEALTHCARE")</f>
        <v>RAVENBHEL HEALTHCARE</v>
      </c>
    </row>
    <row r="2358">
      <c r="H2358" s="5" t="str">
        <f>IFERROR(__xludf.DUMMYFUNCTION("""COMPUTED_VALUE"""),"RAYH HEALTH CARE PVT LTD")</f>
        <v>RAYH HEALTH CARE PVT LTD</v>
      </c>
    </row>
    <row r="2359">
      <c r="H2359" s="5" t="str">
        <f>IFERROR(__xludf.DUMMYFUNCTION("""COMPUTED_VALUE"""),"RAYMED")</f>
        <v>RAYMED</v>
      </c>
    </row>
    <row r="2360">
      <c r="H2360" s="5" t="str">
        <f>IFERROR(__xludf.DUMMYFUNCTION("""COMPUTED_VALUE"""),"RAYMED PHARMACEUTICALS")</f>
        <v>RAYMED PHARMACEUTICALS</v>
      </c>
    </row>
    <row r="2361">
      <c r="H2361" s="5" t="str">
        <f>IFERROR(__xludf.DUMMYFUNCTION("""COMPUTED_VALUE"""),"RECENT HEALTHCARE LTD.")</f>
        <v>RECENT HEALTHCARE LTD.</v>
      </c>
    </row>
    <row r="2362">
      <c r="H2362" s="5" t="str">
        <f>IFERROR(__xludf.DUMMYFUNCTION("""COMPUTED_VALUE"""),"RECH ELIST PHARMA")</f>
        <v>RECH ELIST PHARMA</v>
      </c>
    </row>
    <row r="2363">
      <c r="H2363" s="5" t="str">
        <f>IFERROR(__xludf.DUMMYFUNCTION("""COMPUTED_VALUE"""),"RECKEWEG")</f>
        <v>RECKEWEG</v>
      </c>
    </row>
    <row r="2364">
      <c r="H2364" s="5" t="str">
        <f>IFERROR(__xludf.DUMMYFUNCTION("""COMPUTED_VALUE"""),"Reckitt Benckiser")</f>
        <v>Reckitt Benckiser</v>
      </c>
    </row>
    <row r="2365">
      <c r="H2365" s="5" t="str">
        <f>IFERROR(__xludf.DUMMYFUNCTION("""COMPUTED_VALUE"""),"RECOVER HEALTHCARE")</f>
        <v>RECOVER HEALTHCARE</v>
      </c>
    </row>
    <row r="2366">
      <c r="H2366" s="5" t="str">
        <f>IFERROR(__xludf.DUMMYFUNCTION("""COMPUTED_VALUE"""),"REDVIA PHARMACEUTICALS")</f>
        <v>REDVIA PHARMACEUTICALS</v>
      </c>
    </row>
    <row r="2367">
      <c r="H2367" s="5" t="str">
        <f>IFERROR(__xludf.DUMMYFUNCTION("""COMPUTED_VALUE"""),"REGAL CHEMICAL WORKS")</f>
        <v>REGAL CHEMICAL WORKS</v>
      </c>
    </row>
    <row r="2368">
      <c r="H2368" s="5" t="str">
        <f>IFERROR(__xludf.DUMMYFUNCTION("""COMPUTED_VALUE"""),"REGALIZ MEDICARE LTD")</f>
        <v>REGALIZ MEDICARE LTD</v>
      </c>
    </row>
    <row r="2369">
      <c r="H2369" s="5" t="str">
        <f>IFERROR(__xludf.DUMMYFUNCTION("""COMPUTED_VALUE"""),"REGENCY HEALTH CARE")</f>
        <v>REGENCY HEALTH CARE</v>
      </c>
    </row>
    <row r="2370">
      <c r="H2370" s="5" t="str">
        <f>IFERROR(__xludf.DUMMYFUNCTION("""COMPUTED_VALUE"""),"REGENT HEALTHCARE")</f>
        <v>REGENT HEALTHCARE</v>
      </c>
    </row>
    <row r="2371">
      <c r="H2371" s="5" t="str">
        <f>IFERROR(__xludf.DUMMYFUNCTION("""COMPUTED_VALUE"""),"REGENT MARKETING")</f>
        <v>REGENT MARKETING</v>
      </c>
    </row>
    <row r="2372">
      <c r="H2372" s="5" t="str">
        <f>IFERROR(__xludf.DUMMYFUNCTION("""COMPUTED_VALUE"""),"REGRESS LIFESCIENCES")</f>
        <v>REGRESS LIFESCIENCES</v>
      </c>
    </row>
    <row r="2373">
      <c r="H2373" s="5" t="str">
        <f>IFERROR(__xludf.DUMMYFUNCTION("""COMPUTED_VALUE"""),"REGRESS LIFESCIENCES (2)")</f>
        <v>REGRESS LIFESCIENCES (2)</v>
      </c>
    </row>
    <row r="2374">
      <c r="H2374" s="5" t="str">
        <f>IFERROR(__xludf.DUMMYFUNCTION("""COMPUTED_VALUE"""),"REJLI HEALTHCARE")</f>
        <v>REJLI HEALTHCARE</v>
      </c>
    </row>
    <row r="2375">
      <c r="H2375" s="5" t="str">
        <f>IFERROR(__xludf.DUMMYFUNCTION("""COMPUTED_VALUE"""),"Rekvina Laboratories Ltd")</f>
        <v>Rekvina Laboratories Ltd</v>
      </c>
    </row>
    <row r="2376">
      <c r="H2376" s="5" t="str">
        <f>IFERROR(__xludf.DUMMYFUNCTION("""COMPUTED_VALUE"""),"RELAXE REHABILITATION AIDS")</f>
        <v>RELAXE REHABILITATION AIDS</v>
      </c>
    </row>
    <row r="2377">
      <c r="H2377" s="5" t="str">
        <f>IFERROR(__xludf.DUMMYFUNCTION("""COMPUTED_VALUE"""),"RELIANCE FORMULATION PVT LTD")</f>
        <v>RELIANCE FORMULATION PVT LTD</v>
      </c>
    </row>
    <row r="2378">
      <c r="H2378" s="5" t="str">
        <f>IFERROR(__xludf.DUMMYFUNCTION("""COMPUTED_VALUE"""),"Reliance Life Sciences")</f>
        <v>Reliance Life Sciences</v>
      </c>
    </row>
    <row r="2379">
      <c r="H2379" s="5" t="str">
        <f>IFERROR(__xludf.DUMMYFUNCTION("""COMPUTED_VALUE"""),"RELIC BIOTECNOLOGY PVT LTD")</f>
        <v>RELIC BIOTECNOLOGY PVT LTD</v>
      </c>
    </row>
    <row r="2380">
      <c r="H2380" s="5" t="str">
        <f>IFERROR(__xludf.DUMMYFUNCTION("""COMPUTED_VALUE"""),"RELIEF FORMULATIONS")</f>
        <v>RELIEF FORMULATIONS</v>
      </c>
    </row>
    <row r="2381">
      <c r="H2381" s="5" t="str">
        <f>IFERROR(__xludf.DUMMYFUNCTION("""COMPUTED_VALUE"""),"REMEDIAL HEALTHCARE")</f>
        <v>REMEDIAL HEALTHCARE</v>
      </c>
    </row>
    <row r="2382">
      <c r="H2382" s="5" t="str">
        <f>IFERROR(__xludf.DUMMYFUNCTION("""COMPUTED_VALUE"""),"RENA EXPORTS PVT LTD")</f>
        <v>RENA EXPORTS PVT LTD</v>
      </c>
    </row>
    <row r="2383">
      <c r="H2383" s="5" t="str">
        <f>IFERROR(__xludf.DUMMYFUNCTION("""COMPUTED_VALUE"""),"RENCORD LIFE SCIENCES (NEPHRO)")</f>
        <v>RENCORD LIFE SCIENCES (NEPHRO)</v>
      </c>
    </row>
    <row r="2384">
      <c r="H2384" s="5" t="str">
        <f>IFERROR(__xludf.DUMMYFUNCTION("""COMPUTED_VALUE"""),"RENE LIFESCIENCE")</f>
        <v>RENE LIFESCIENCE</v>
      </c>
    </row>
    <row r="2385">
      <c r="H2385" s="5" t="str">
        <f>IFERROR(__xludf.DUMMYFUNCTION("""COMPUTED_VALUE"""),"RENE LIFESCIENCES")</f>
        <v>RENE LIFESCIENCES</v>
      </c>
    </row>
    <row r="2386">
      <c r="H2386" s="5" t="str">
        <f>IFERROR(__xludf.DUMMYFUNCTION("""COMPUTED_VALUE"""),"RENE PHARMACEUTICALS")</f>
        <v>RENE PHARMACEUTICALS</v>
      </c>
    </row>
    <row r="2387">
      <c r="H2387" s="5" t="str">
        <f>IFERROR(__xludf.DUMMYFUNCTION("""COMPUTED_VALUE"""),"RENOVISION EXPORTS PVT")</f>
        <v>RENOVISION EXPORTS PVT</v>
      </c>
    </row>
    <row r="2388">
      <c r="H2388" s="5" t="str">
        <f>IFERROR(__xludf.DUMMYFUNCTION("""COMPUTED_VALUE"""),"REPLICA REMEDIES")</f>
        <v>REPLICA REMEDIES</v>
      </c>
    </row>
    <row r="2389">
      <c r="H2389" s="5" t="str">
        <f>IFERROR(__xludf.DUMMYFUNCTION("""COMPUTED_VALUE"""),"REPLIN PHARMA")</f>
        <v>REPLIN PHARMA</v>
      </c>
    </row>
    <row r="2390">
      <c r="H2390" s="5" t="str">
        <f>IFERROR(__xludf.DUMMYFUNCTION("""COMPUTED_VALUE"""),"RES SANCTA  SOLAN")</f>
        <v>RES SANCTA  SOLAN</v>
      </c>
    </row>
    <row r="2391">
      <c r="H2391" s="5" t="str">
        <f>IFERROR(__xludf.DUMMYFUNCTION("""COMPUTED_VALUE"""),"Resilient Cosmecueticals Pvt Ltd")</f>
        <v>Resilient Cosmecueticals Pvt Ltd</v>
      </c>
    </row>
    <row r="2392">
      <c r="H2392" s="5" t="str">
        <f>IFERROR(__xludf.DUMMYFUNCTION("""COMPUTED_VALUE"""),"REVASTO LABORATORIES")</f>
        <v>REVASTO LABORATORIES</v>
      </c>
    </row>
    <row r="2393">
      <c r="H2393" s="5" t="str">
        <f>IFERROR(__xludf.DUMMYFUNCTION("""COMPUTED_VALUE"""),"REVERIE PHARMACEUTICALS")</f>
        <v>REVERIE PHARMACEUTICALS</v>
      </c>
    </row>
    <row r="2394">
      <c r="H2394" s="5" t="str">
        <f>IFERROR(__xludf.DUMMYFUNCTION("""COMPUTED_VALUE"""),"REVLUK LIFE SCIENCES")</f>
        <v>REVLUK LIFE SCIENCES</v>
      </c>
    </row>
    <row r="2395">
      <c r="H2395" s="5" t="str">
        <f>IFERROR(__xludf.DUMMYFUNCTION("""COMPUTED_VALUE"""),"REVOZIP")</f>
        <v>REVOZIP</v>
      </c>
    </row>
    <row r="2396">
      <c r="H2396" s="5" t="str">
        <f>IFERROR(__xludf.DUMMYFUNCTION("""COMPUTED_VALUE"""),"REVOZIP MD")</f>
        <v>REVOZIP MD</v>
      </c>
    </row>
    <row r="2397">
      <c r="H2397" s="5" t="str">
        <f>IFERROR(__xludf.DUMMYFUNCTION("""COMPUTED_VALUE"""),"RHINE BIOGENICS PVT. LTD.")</f>
        <v>RHINE BIOGENICS PVT. LTD.</v>
      </c>
    </row>
    <row r="2398">
      <c r="H2398" s="5" t="str">
        <f>IFERROR(__xludf.DUMMYFUNCTION("""COMPUTED_VALUE"""),"RHOMBIC LAB")</f>
        <v>RHOMBIC LAB</v>
      </c>
    </row>
    <row r="2399">
      <c r="H2399" s="5" t="str">
        <f>IFERROR(__xludf.DUMMYFUNCTION("""COMPUTED_VALUE"""),"RHONE PHARMACIE PVT LTD")</f>
        <v>RHONE PHARMACIE PVT LTD</v>
      </c>
    </row>
    <row r="2400">
      <c r="H2400" s="5" t="str">
        <f>IFERROR(__xludf.DUMMYFUNCTION("""COMPUTED_VALUE"""),"RHONE POULEN RORER (INDIA) LTD")</f>
        <v>RHONE POULEN RORER (INDIA) LTD</v>
      </c>
    </row>
    <row r="2401">
      <c r="H2401" s="5" t="str">
        <f>IFERROR(__xludf.DUMMYFUNCTION("""COMPUTED_VALUE"""),"RICH FAITH PHARMA")</f>
        <v>RICH FAITH PHARMA</v>
      </c>
    </row>
    <row r="2402">
      <c r="H2402" s="5" t="str">
        <f>IFERROR(__xludf.DUMMYFUNCTION("""COMPUTED_VALUE"""),"RIDLEY LIFE SCIENCE PVT LTD")</f>
        <v>RIDLEY LIFE SCIENCE PVT LTD</v>
      </c>
    </row>
    <row r="2403">
      <c r="H2403" s="5" t="str">
        <f>IFERROR(__xludf.DUMMYFUNCTION("""COMPUTED_VALUE"""),"RIEMANN LAB")</f>
        <v>RIEMANN LAB</v>
      </c>
    </row>
    <row r="2404">
      <c r="H2404" s="5" t="str">
        <f>IFERROR(__xludf.DUMMYFUNCTION("""COMPUTED_VALUE"""),"RISHIT PHARMACEUTICALS")</f>
        <v>RISHIT PHARMACEUTICALS</v>
      </c>
    </row>
    <row r="2405">
      <c r="H2405" s="5" t="str">
        <f>IFERROR(__xludf.DUMMYFUNCTION("""COMPUTED_VALUE"""),"RISTRYL")</f>
        <v>RISTRYL</v>
      </c>
    </row>
    <row r="2406">
      <c r="H2406" s="5" t="str">
        <f>IFERROR(__xludf.DUMMYFUNCTION("""COMPUTED_VALUE"""),"RISTRYL FORTE")</f>
        <v>RISTRYL FORTE</v>
      </c>
    </row>
    <row r="2407">
      <c r="H2407" s="5" t="str">
        <f>IFERROR(__xludf.DUMMYFUNCTION("""COMPUTED_VALUE"""),"RIVAN PHARMACEUTICALS PVT LTD")</f>
        <v>RIVAN PHARMACEUTICALS PVT LTD</v>
      </c>
    </row>
    <row r="2408">
      <c r="H2408" s="5" t="str">
        <f>IFERROR(__xludf.DUMMYFUNCTION("""COMPUTED_VALUE"""),"RKM")</f>
        <v>RKM</v>
      </c>
    </row>
    <row r="2409">
      <c r="H2409" s="5" t="str">
        <f>IFERROR(__xludf.DUMMYFUNCTION("""COMPUTED_VALUE"""),"ROCHE (1)")</f>
        <v>ROCHE (1)</v>
      </c>
    </row>
    <row r="2410">
      <c r="H2410" s="5" t="str">
        <f>IFERROR(__xludf.DUMMYFUNCTION("""COMPUTED_VALUE"""),"ROCHE (NEPHROLOGY)")</f>
        <v>ROCHE (NEPHROLOGY)</v>
      </c>
    </row>
    <row r="2411">
      <c r="H2411" s="5" t="str">
        <f>IFERROR(__xludf.DUMMYFUNCTION("""COMPUTED_VALUE"""),"ROCHE (ONCOLOGY)")</f>
        <v>ROCHE (ONCOLOGY)</v>
      </c>
    </row>
    <row r="2412">
      <c r="H2412" s="5" t="str">
        <f>IFERROR(__xludf.DUMMYFUNCTION("""COMPUTED_VALUE"""),"ROCHE (VIROLOGY)")</f>
        <v>ROCHE (VIROLOGY)</v>
      </c>
    </row>
    <row r="2413">
      <c r="H2413" s="5" t="str">
        <f>IFERROR(__xludf.DUMMYFUNCTION("""COMPUTED_VALUE"""),"Roche Products India Pvt Ltd")</f>
        <v>Roche Products India Pvt Ltd</v>
      </c>
    </row>
    <row r="2414">
      <c r="H2414" s="5" t="str">
        <f>IFERROR(__xludf.DUMMYFUNCTION("""COMPUTED_VALUE"""),"ROCKMED PHARMA P LTD")</f>
        <v>ROCKMED PHARMA P LTD</v>
      </c>
    </row>
    <row r="2415">
      <c r="H2415" s="5" t="str">
        <f>IFERROR(__xludf.DUMMYFUNCTION("""COMPUTED_VALUE"""),"ROHAN HERBAL")</f>
        <v>ROHAN HERBAL</v>
      </c>
    </row>
    <row r="2416">
      <c r="H2416" s="5" t="str">
        <f>IFERROR(__xludf.DUMMYFUNCTION("""COMPUTED_VALUE"""),"ROLLICK HEALTHCARE PVT LTD")</f>
        <v>ROLLICK HEALTHCARE PVT LTD</v>
      </c>
    </row>
    <row r="2417">
      <c r="H2417" s="5" t="str">
        <f>IFERROR(__xludf.DUMMYFUNCTION("""COMPUTED_VALUE"""),"ROMA HEALTHCARE")</f>
        <v>ROMA HEALTHCARE</v>
      </c>
    </row>
    <row r="2418">
      <c r="H2418" s="5" t="str">
        <f>IFERROR(__xludf.DUMMYFUNCTION("""COMPUTED_VALUE"""),"ROMSONS SCIENTIFIC AND SURGICAL P LTD")</f>
        <v>ROMSONS SCIENTIFIC AND SURGICAL P LTD</v>
      </c>
    </row>
    <row r="2419">
      <c r="H2419" s="5" t="str">
        <f>IFERROR(__xludf.DUMMYFUNCTION("""COMPUTED_VALUE"""),"RONALD PHARMACUTICALS")</f>
        <v>RONALD PHARMACUTICALS</v>
      </c>
    </row>
    <row r="2420">
      <c r="H2420" s="5" t="str">
        <f>IFERROR(__xludf.DUMMYFUNCTION("""COMPUTED_VALUE"""),"RONAM HEALTHCARE PVT LTD")</f>
        <v>RONAM HEALTHCARE PVT LTD</v>
      </c>
    </row>
    <row r="2421">
      <c r="H2421" s="5" t="str">
        <f>IFERROR(__xludf.DUMMYFUNCTION("""COMPUTED_VALUE"""),"ROOTS &amp; HERBS")</f>
        <v>ROOTS &amp; HERBS</v>
      </c>
    </row>
    <row r="2422">
      <c r="H2422" s="5" t="str">
        <f>IFERROR(__xludf.DUMMYFUNCTION("""COMPUTED_VALUE"""),"ROSELABS BIOSCIENCE LTD")</f>
        <v>ROSELABS BIOSCIENCE LTD</v>
      </c>
    </row>
    <row r="2423">
      <c r="H2423" s="5" t="str">
        <f>IFERROR(__xludf.DUMMYFUNCTION("""COMPUTED_VALUE"""),"ROSSWELL")</f>
        <v>ROSSWELL</v>
      </c>
    </row>
    <row r="2424">
      <c r="H2424" s="5" t="str">
        <f>IFERROR(__xludf.DUMMYFUNCTION("""COMPUTED_VALUE"""),"ROUSSEL INDIA LIMITED")</f>
        <v>ROUSSEL INDIA LIMITED</v>
      </c>
    </row>
    <row r="2425">
      <c r="H2425" s="5" t="str">
        <f>IFERROR(__xludf.DUMMYFUNCTION("""COMPUTED_VALUE"""),"ROUSSET BIOTECH")</f>
        <v>ROUSSET BIOTECH</v>
      </c>
    </row>
    <row r="2426">
      <c r="H2426" s="5" t="str">
        <f>IFERROR(__xludf.DUMMYFUNCTION("""COMPUTED_VALUE"""),"ROUZEL PHARMA")</f>
        <v>ROUZEL PHARMA</v>
      </c>
    </row>
    <row r="2427">
      <c r="H2427" s="5" t="str">
        <f>IFERROR(__xludf.DUMMYFUNCTION("""COMPUTED_VALUE"""),"ROWLINGES LIFE SCIENCES")</f>
        <v>ROWLINGES LIFE SCIENCES</v>
      </c>
    </row>
    <row r="2428">
      <c r="H2428" s="5" t="str">
        <f>IFERROR(__xludf.DUMMYFUNCTION("""COMPUTED_VALUE"""),"ROYAL BEE NATURAL PRODUCTS")</f>
        <v>ROYAL BEE NATURAL PRODUCTS</v>
      </c>
    </row>
    <row r="2429">
      <c r="H2429" s="5" t="str">
        <f>IFERROR(__xludf.DUMMYFUNCTION("""COMPUTED_VALUE"""),"ROYAL HEALTHCARE")</f>
        <v>ROYAL HEALTHCARE</v>
      </c>
    </row>
    <row r="2430">
      <c r="H2430" s="5" t="str">
        <f>IFERROR(__xludf.DUMMYFUNCTION("""COMPUTED_VALUE"""),"RP")</f>
        <v>RP</v>
      </c>
    </row>
    <row r="2431">
      <c r="H2431" s="5" t="str">
        <f>IFERROR(__xludf.DUMMYFUNCTION("""COMPUTED_VALUE"""),"RPG (SEARLE)")</f>
        <v>RPG (SEARLE)</v>
      </c>
    </row>
    <row r="2432">
      <c r="H2432" s="5" t="str">
        <f>IFERROR(__xludf.DUMMYFUNCTION("""COMPUTED_VALUE"""),"RPG Life Sciences (NEPHRO)")</f>
        <v>RPG Life Sciences (NEPHRO)</v>
      </c>
    </row>
    <row r="2433">
      <c r="H2433" s="5" t="str">
        <f>IFERROR(__xludf.DUMMYFUNCTION("""COMPUTED_VALUE"""),"RPG Life Sciences Ltd")</f>
        <v>RPG Life Sciences Ltd</v>
      </c>
    </row>
    <row r="2434">
      <c r="H2434" s="5" t="str">
        <f>IFERROR(__xludf.DUMMYFUNCTION("""COMPUTED_VALUE"""),"RSBP")</f>
        <v>RSBP</v>
      </c>
    </row>
    <row r="2435">
      <c r="H2435" s="5" t="str">
        <f>IFERROR(__xludf.DUMMYFUNCTION("""COMPUTED_VALUE"""),"RUBRA PHARMACEUTICALS")</f>
        <v>RUBRA PHARMACEUTICALS</v>
      </c>
    </row>
    <row r="2436">
      <c r="H2436" s="5" t="str">
        <f>IFERROR(__xludf.DUMMYFUNCTION("""COMPUTED_VALUE"""),"RUPAK ENTERPRISES PVT LTD")</f>
        <v>RUPAK ENTERPRISES PVT LTD</v>
      </c>
    </row>
    <row r="2437">
      <c r="H2437" s="5" t="str">
        <f>IFERROR(__xludf.DUMMYFUNCTION("""COMPUTED_VALUE"""),"RUSAN PHARMA")</f>
        <v>RUSAN PHARMA</v>
      </c>
    </row>
    <row r="2438">
      <c r="H2438" s="5" t="str">
        <f>IFERROR(__xludf.DUMMYFUNCTION("""COMPUTED_VALUE"""),"Rusi Remedies P Ltd")</f>
        <v>Rusi Remedies P Ltd</v>
      </c>
    </row>
    <row r="2439">
      <c r="H2439" s="5" t="str">
        <f>IFERROR(__xludf.DUMMYFUNCTION("""COMPUTED_VALUE"""),"RUSLAN NOVO PHARMACEUTICALS")</f>
        <v>RUSLAN NOVO PHARMACEUTICALS</v>
      </c>
    </row>
    <row r="2440">
      <c r="H2440" s="5" t="str">
        <f>IFERROR(__xludf.DUMMYFUNCTION("""COMPUTED_VALUE"""),"RUSLAN NOVO PHARMACIAUTICALS")</f>
        <v>RUSLAN NOVO PHARMACIAUTICALS</v>
      </c>
    </row>
    <row r="2441">
      <c r="H2441" s="5" t="str">
        <f>IFERROR(__xludf.DUMMYFUNCTION("""COMPUTED_VALUE"""),"RUSOMA LABORATORIES PVT LTD")</f>
        <v>RUSOMA LABORATORIES PVT LTD</v>
      </c>
    </row>
    <row r="2442">
      <c r="H2442" s="5" t="str">
        <f>IFERROR(__xludf.DUMMYFUNCTION("""COMPUTED_VALUE"""),"RUTURAJ AYURVEDIC GRUH UDHYOG")</f>
        <v>RUTURAJ AYURVEDIC GRUH UDHYOG</v>
      </c>
    </row>
    <row r="2443">
      <c r="H2443" s="5" t="str">
        <f>IFERROR(__xludf.DUMMYFUNCTION("""COMPUTED_VALUE"""),"RYAN HEALTHCARE")</f>
        <v>RYAN HEALTHCARE</v>
      </c>
    </row>
    <row r="2444">
      <c r="H2444" s="5" t="str">
        <f>IFERROR(__xludf.DUMMYFUNCTION("""COMPUTED_VALUE"""),"RYZE LIFECARE")</f>
        <v>RYZE LIFECARE</v>
      </c>
    </row>
    <row r="2445">
      <c r="H2445" s="5" t="str">
        <f>IFERROR(__xludf.DUMMYFUNCTION("""COMPUTED_VALUE"""),"S A REMEDIES")</f>
        <v>S A REMEDIES</v>
      </c>
    </row>
    <row r="2446">
      <c r="H2446" s="5" t="str">
        <f>IFERROR(__xludf.DUMMYFUNCTION("""COMPUTED_VALUE"""),"S ABDUR RASHEED")</f>
        <v>S ABDUR RASHEED</v>
      </c>
    </row>
    <row r="2447">
      <c r="H2447" s="5" t="str">
        <f>IFERROR(__xludf.DUMMYFUNCTION("""COMPUTED_VALUE"""),"S R BIOTECH")</f>
        <v>S R BIOTECH</v>
      </c>
    </row>
    <row r="2448">
      <c r="H2448" s="5" t="str">
        <f>IFERROR(__xludf.DUMMYFUNCTION("""COMPUTED_VALUE"""),"S V BIOVAC PHARMACEUTICALS")</f>
        <v>S V BIOVAC PHARMACEUTICALS</v>
      </c>
    </row>
    <row r="2449">
      <c r="H2449" s="5" t="str">
        <f>IFERROR(__xludf.DUMMYFUNCTION("""COMPUTED_VALUE"""),"S.K.J.S. PHARMACEUTICALS")</f>
        <v>S.K.J.S. PHARMACEUTICALS</v>
      </c>
    </row>
    <row r="2450">
      <c r="H2450" s="5" t="str">
        <f>IFERROR(__xludf.DUMMYFUNCTION("""COMPUTED_VALUE"""),"SAC PHARMACEUTICAL")</f>
        <v>SAC PHARMACEUTICAL</v>
      </c>
    </row>
    <row r="2451">
      <c r="H2451" s="5" t="str">
        <f>IFERROR(__xludf.DUMMYFUNCTION("""COMPUTED_VALUE"""),"SAF FERMION (NUVO)")</f>
        <v>SAF FERMION (NUVO)</v>
      </c>
    </row>
    <row r="2452">
      <c r="H2452" s="5" t="str">
        <f>IFERROR(__xludf.DUMMYFUNCTION("""COMPUTED_VALUE"""),"SAF Fermion Ltd")</f>
        <v>SAF Fermion Ltd</v>
      </c>
    </row>
    <row r="2453">
      <c r="H2453" s="5" t="str">
        <f>IFERROR(__xludf.DUMMYFUNCTION("""COMPUTED_VALUE"""),"SAFFRON FORMULATION")</f>
        <v>SAFFRON FORMULATION</v>
      </c>
    </row>
    <row r="2454">
      <c r="H2454" s="5" t="str">
        <f>IFERROR(__xludf.DUMMYFUNCTION("""COMPUTED_VALUE"""),"Saffron Therapeutics Pvt Ltd")</f>
        <v>Saffron Therapeutics Pvt Ltd</v>
      </c>
    </row>
    <row r="2455">
      <c r="H2455" s="5" t="str">
        <f>IFERROR(__xludf.DUMMYFUNCTION("""COMPUTED_VALUE"""),"SAGA LABORATORIES")</f>
        <v>SAGA LABORATORIES</v>
      </c>
    </row>
    <row r="2456">
      <c r="H2456" s="5" t="str">
        <f>IFERROR(__xludf.DUMMYFUNCTION("""COMPUTED_VALUE"""),"SAHAJANAND HEALTH CARE (SHC)")</f>
        <v>SAHAJANAND HEALTH CARE (SHC)</v>
      </c>
    </row>
    <row r="2457">
      <c r="H2457" s="5" t="str">
        <f>IFERROR(__xludf.DUMMYFUNCTION("""COMPUTED_VALUE"""),"SAHAJANAND HERBALS")</f>
        <v>SAHAJANAND HERBALS</v>
      </c>
    </row>
    <row r="2458">
      <c r="H2458" s="5" t="str">
        <f>IFERROR(__xludf.DUMMYFUNCTION("""COMPUTED_VALUE"""),"SAIBOON LIFECARE")</f>
        <v>SAIBOON LIFECARE</v>
      </c>
    </row>
    <row r="2459">
      <c r="H2459" s="5" t="str">
        <f>IFERROR(__xludf.DUMMYFUNCTION("""COMPUTED_VALUE"""),"SAIFA SEVAAASHRAM")</f>
        <v>SAIFA SEVAAASHRAM</v>
      </c>
    </row>
    <row r="2460">
      <c r="H2460" s="5" t="str">
        <f>IFERROR(__xludf.DUMMYFUNCTION("""COMPUTED_VALUE"""),"SAIN MICHEAL BIOTECH")</f>
        <v>SAIN MICHEAL BIOTECH</v>
      </c>
    </row>
    <row r="2461">
      <c r="H2461" s="5" t="str">
        <f>IFERROR(__xludf.DUMMYFUNCTION("""COMPUTED_VALUE"""),"SAINTLIFE PHARMACEUTICALS LTD")</f>
        <v>SAINTLIFE PHARMACEUTICALS LTD</v>
      </c>
    </row>
    <row r="2462">
      <c r="H2462" s="5" t="str">
        <f>IFERROR(__xludf.DUMMYFUNCTION("""COMPUTED_VALUE"""),"SAITECH MEDICARE PVT.LTD.K")</f>
        <v>SAITECH MEDICARE PVT.LTD.K</v>
      </c>
    </row>
    <row r="2463">
      <c r="H2463" s="5" t="str">
        <f>IFERROR(__xludf.DUMMYFUNCTION("""COMPUTED_VALUE"""),"SALASAR BLESSED HERBALS")</f>
        <v>SALASAR BLESSED HERBALS</v>
      </c>
    </row>
    <row r="2464">
      <c r="H2464" s="5" t="str">
        <f>IFERROR(__xludf.DUMMYFUNCTION("""COMPUTED_VALUE"""),"SALASAR PHARMACEUTICALS")</f>
        <v>SALASAR PHARMACEUTICALS</v>
      </c>
    </row>
    <row r="2465">
      <c r="H2465" s="5" t="str">
        <f>IFERROR(__xludf.DUMMYFUNCTION("""COMPUTED_VALUE"""),"SALIUS PHARMA PVT LTD")</f>
        <v>SALIUS PHARMA PVT LTD</v>
      </c>
    </row>
    <row r="2466">
      <c r="H2466" s="5" t="str">
        <f>IFERROR(__xludf.DUMMYFUNCTION("""COMPUTED_VALUE"""),"Salud Care India Pvt Ltd")</f>
        <v>Salud Care India Pvt Ltd</v>
      </c>
    </row>
    <row r="2467">
      <c r="H2467" s="5" t="str">
        <f>IFERROR(__xludf.DUMMYFUNCTION("""COMPUTED_VALUE"""),"SALUTE")</f>
        <v>SALUTE</v>
      </c>
    </row>
    <row r="2468">
      <c r="H2468" s="5" t="str">
        <f>IFERROR(__xludf.DUMMYFUNCTION("""COMPUTED_VALUE"""),"SALVADOR BIOTECH")</f>
        <v>SALVADOR BIOTECH</v>
      </c>
    </row>
    <row r="2469">
      <c r="H2469" s="5" t="str">
        <f>IFERROR(__xludf.DUMMYFUNCTION("""COMPUTED_VALUE"""),"SALVEO LIFE SCIENCES LTD")</f>
        <v>SALVEO LIFE SCIENCES LTD</v>
      </c>
    </row>
    <row r="2470">
      <c r="H2470" s="5" t="str">
        <f>IFERROR(__xludf.DUMMYFUNCTION("""COMPUTED_VALUE"""),"SAMARTH LIFE SCIENCES")</f>
        <v>SAMARTH LIFE SCIENCES</v>
      </c>
    </row>
    <row r="2471">
      <c r="H2471" s="5" t="str">
        <f>IFERROR(__xludf.DUMMYFUNCTION("""COMPUTED_VALUE"""),"SAMARTH PHARMA")</f>
        <v>SAMARTH PHARMA</v>
      </c>
    </row>
    <row r="2472">
      <c r="H2472" s="5" t="str">
        <f>IFERROR(__xludf.DUMMYFUNCTION("""COMPUTED_VALUE"""),"SAMARTH PHARMA (ANCARD)")</f>
        <v>SAMARTH PHARMA (ANCARD)</v>
      </c>
    </row>
    <row r="2473">
      <c r="H2473" s="5" t="str">
        <f>IFERROR(__xludf.DUMMYFUNCTION("""COMPUTED_VALUE"""),"SAMARTH PHARMA (CRITIGEN)")</f>
        <v>SAMARTH PHARMA (CRITIGEN)</v>
      </c>
    </row>
    <row r="2474">
      <c r="H2474" s="5" t="str">
        <f>IFERROR(__xludf.DUMMYFUNCTION("""COMPUTED_VALUE"""),"SAMARTH PHARMA (EUGENIC)")</f>
        <v>SAMARTH PHARMA (EUGENIC)</v>
      </c>
    </row>
    <row r="2475">
      <c r="H2475" s="5" t="str">
        <f>IFERROR(__xludf.DUMMYFUNCTION("""COMPUTED_VALUE"""),"SAMARTH PHARMA (SAMGEN)")</f>
        <v>SAMARTH PHARMA (SAMGEN)</v>
      </c>
    </row>
    <row r="2476">
      <c r="H2476" s="5" t="str">
        <f>IFERROR(__xludf.DUMMYFUNCTION("""COMPUTED_VALUE"""),"SAMAY SURGICALS")</f>
        <v>SAMAY SURGICALS</v>
      </c>
    </row>
    <row r="2477">
      <c r="H2477" s="5" t="str">
        <f>IFERROR(__xludf.DUMMYFUNCTION("""COMPUTED_VALUE"""),"SAMKEM PHARMACEUTICALS PVT LTD")</f>
        <v>SAMKEM PHARMACEUTICALS PVT LTD</v>
      </c>
    </row>
    <row r="2478">
      <c r="H2478" s="5" t="str">
        <f>IFERROR(__xludf.DUMMYFUNCTION("""COMPUTED_VALUE"""),"SAMSON LAB P LTD, SOLAN")</f>
        <v>SAMSON LAB P LTD, SOLAN</v>
      </c>
    </row>
    <row r="2479">
      <c r="H2479" s="5" t="str">
        <f>IFERROR(__xludf.DUMMYFUNCTION("""COMPUTED_VALUE"""),"SAMTECH REMEDIES")</f>
        <v>SAMTECH REMEDIES</v>
      </c>
    </row>
    <row r="2480">
      <c r="H2480" s="5" t="str">
        <f>IFERROR(__xludf.DUMMYFUNCTION("""COMPUTED_VALUE"""),"SANA GENETICA")</f>
        <v>SANA GENETICA</v>
      </c>
    </row>
    <row r="2481">
      <c r="H2481" s="5" t="str">
        <f>IFERROR(__xludf.DUMMYFUNCTION("""COMPUTED_VALUE"""),"Sanat Products Ltd")</f>
        <v>Sanat Products Ltd</v>
      </c>
    </row>
    <row r="2482">
      <c r="H2482" s="5" t="str">
        <f>IFERROR(__xludf.DUMMYFUNCTION("""COMPUTED_VALUE"""),"Sanctus Global")</f>
        <v>Sanctus Global</v>
      </c>
    </row>
    <row r="2483">
      <c r="H2483" s="5" t="str">
        <f>IFERROR(__xludf.DUMMYFUNCTION("""COMPUTED_VALUE"""),"SANDOZ (GENERIC)")</f>
        <v>SANDOZ (GENERIC)</v>
      </c>
    </row>
    <row r="2484">
      <c r="H2484" s="5" t="str">
        <f>IFERROR(__xludf.DUMMYFUNCTION("""COMPUTED_VALUE"""),"SANDU BROTHERS")</f>
        <v>SANDU BROTHERS</v>
      </c>
    </row>
    <row r="2485">
      <c r="H2485" s="5" t="str">
        <f>IFERROR(__xludf.DUMMYFUNCTION("""COMPUTED_VALUE"""),"SANIFY HEALTHCARE")</f>
        <v>SANIFY HEALTHCARE</v>
      </c>
    </row>
    <row r="2486">
      <c r="H2486" s="5" t="str">
        <f>IFERROR(__xludf.DUMMYFUNCTION("""COMPUTED_VALUE"""),"SANIX FORMULATION PVT LTD")</f>
        <v>SANIX FORMULATION PVT LTD</v>
      </c>
    </row>
    <row r="2487">
      <c r="H2487" s="5" t="str">
        <f>IFERROR(__xludf.DUMMYFUNCTION("""COMPUTED_VALUE"""),"SANJIVNI PARENTERAL")</f>
        <v>SANJIVNI PARENTERAL</v>
      </c>
    </row>
    <row r="2488">
      <c r="H2488" s="5" t="str">
        <f>IFERROR(__xludf.DUMMYFUNCTION("""COMPUTED_VALUE"""),"SANMATI UDYOG")</f>
        <v>SANMATI UDYOG</v>
      </c>
    </row>
    <row r="2489">
      <c r="H2489" s="5" t="str">
        <f>IFERROR(__xludf.DUMMYFUNCTION("""COMPUTED_VALUE"""),"SANOFI GENZYME")</f>
        <v>SANOFI GENZYME</v>
      </c>
    </row>
    <row r="2490">
      <c r="H2490" s="5" t="str">
        <f>IFERROR(__xludf.DUMMYFUNCTION("""COMPUTED_VALUE"""),"Sanofi India Ltd")</f>
        <v>Sanofi India Ltd</v>
      </c>
    </row>
    <row r="2491">
      <c r="H2491" s="5" t="str">
        <f>IFERROR(__xludf.DUMMYFUNCTION("""COMPUTED_VALUE"""),"SANOFI PASTEUR")</f>
        <v>SANOFI PASTEUR</v>
      </c>
    </row>
    <row r="2492">
      <c r="H2492" s="5" t="str">
        <f>IFERROR(__xludf.DUMMYFUNCTION("""COMPUTED_VALUE"""),"SANTIAGO LIFE SCIENCES")</f>
        <v>SANTIAGO LIFE SCIENCES</v>
      </c>
    </row>
    <row r="2493">
      <c r="H2493" s="5" t="str">
        <f>IFERROR(__xludf.DUMMYFUNCTION("""COMPUTED_VALUE"""),"SANTO MEDI SCIENCES")</f>
        <v>SANTO MEDI SCIENCES</v>
      </c>
    </row>
    <row r="2494">
      <c r="H2494" s="5" t="str">
        <f>IFERROR(__xludf.DUMMYFUNCTION("""COMPUTED_VALUE"""),"SANZYME (ART)")</f>
        <v>SANZYME (ART)</v>
      </c>
    </row>
    <row r="2495">
      <c r="H2495" s="5" t="str">
        <f>IFERROR(__xludf.DUMMYFUNCTION("""COMPUTED_VALUE"""),"Sanzyme Ltd (NEPHRO URO)")</f>
        <v>Sanzyme Ltd (NEPHRO URO)</v>
      </c>
    </row>
    <row r="2496">
      <c r="H2496" s="5" t="str">
        <f>IFERROR(__xludf.DUMMYFUNCTION("""COMPUTED_VALUE"""),"Sanzyme Ltd (UNI SANKYO)")</f>
        <v>Sanzyme Ltd (UNI SANKYO)</v>
      </c>
    </row>
    <row r="2497">
      <c r="H2497" s="5" t="str">
        <f>IFERROR(__xludf.DUMMYFUNCTION("""COMPUTED_VALUE"""),"Sanzyme Ltd (ZEST)")</f>
        <v>Sanzyme Ltd (ZEST)</v>
      </c>
    </row>
    <row r="2498">
      <c r="H2498" s="5" t="str">
        <f>IFERROR(__xludf.DUMMYFUNCTION("""COMPUTED_VALUE"""),"SAPAT &amp; COMPANY")</f>
        <v>SAPAT &amp; COMPANY</v>
      </c>
    </row>
    <row r="2499">
      <c r="H2499" s="5" t="str">
        <f>IFERROR(__xludf.DUMMYFUNCTION("""COMPUTED_VALUE"""),"SAPHNIX LIFE SCIENCES")</f>
        <v>SAPHNIX LIFE SCIENCES</v>
      </c>
    </row>
    <row r="2500">
      <c r="H2500" s="5" t="str">
        <f>IFERROR(__xludf.DUMMYFUNCTION("""COMPUTED_VALUE"""),"SAPIENT LABORATORIES")</f>
        <v>SAPIENT LABORATORIES</v>
      </c>
    </row>
    <row r="2501">
      <c r="H2501" s="5" t="str">
        <f>IFERROR(__xludf.DUMMYFUNCTION("""COMPUTED_VALUE"""),"SARA LIFE SCIENCE")</f>
        <v>SARA LIFE SCIENCE</v>
      </c>
    </row>
    <row r="2502">
      <c r="H2502" s="5" t="str">
        <f>IFERROR(__xludf.DUMMYFUNCTION("""COMPUTED_VALUE"""),"SARA REMEDIES LTD")</f>
        <v>SARA REMEDIES LTD</v>
      </c>
    </row>
    <row r="2503">
      <c r="H2503" s="5" t="str">
        <f>IFERROR(__xludf.DUMMYFUNCTION("""COMPUTED_VALUE"""),"SARABHAI CHEMICALS")</f>
        <v>SARABHAI CHEMICALS</v>
      </c>
    </row>
    <row r="2504">
      <c r="H2504" s="5" t="str">
        <f>IFERROR(__xludf.DUMMYFUNCTION("""COMPUTED_VALUE"""),"SARANSH PHARMACEUTICALS")</f>
        <v>SARANSH PHARMACEUTICALS</v>
      </c>
    </row>
    <row r="2505">
      <c r="H2505" s="5" t="str">
        <f>IFERROR(__xludf.DUMMYFUNCTION("""COMPUTED_VALUE"""),"SARIAN HEALTHCARE")</f>
        <v>SARIAN HEALTHCARE</v>
      </c>
    </row>
    <row r="2506">
      <c r="H2506" s="5" t="str">
        <f>IFERROR(__xludf.DUMMYFUNCTION("""COMPUTED_VALUE"""),"SARTHAK BIOTECHNICS")</f>
        <v>SARTHAK BIOTECHNICS</v>
      </c>
    </row>
    <row r="2507">
      <c r="H2507" s="5" t="str">
        <f>IFERROR(__xludf.DUMMYFUNCTION("""COMPUTED_VALUE"""),"SAS BIOSYNTH")</f>
        <v>SAS BIOSYNTH</v>
      </c>
    </row>
    <row r="2508">
      <c r="H2508" s="5" t="str">
        <f>IFERROR(__xludf.DUMMYFUNCTION("""COMPUTED_VALUE"""),"SATNAM HERBALS")</f>
        <v>SATNAM HERBALS</v>
      </c>
    </row>
    <row r="2509">
      <c r="H2509" s="5" t="str">
        <f>IFERROR(__xludf.DUMMYFUNCTION("""COMPUTED_VALUE"""),"SATURN LAB")</f>
        <v>SATURN LAB</v>
      </c>
    </row>
    <row r="2510">
      <c r="H2510" s="5" t="str">
        <f>IFERROR(__xludf.DUMMYFUNCTION("""COMPUTED_VALUE"""),"SATYAM HEALTHCARE P.LTD.")</f>
        <v>SATYAM HEALTHCARE P.LTD.</v>
      </c>
    </row>
    <row r="2511">
      <c r="H2511" s="5" t="str">
        <f>IFERROR(__xludf.DUMMYFUNCTION("""COMPUTED_VALUE"""),"SATYAM OPHTHALMICS")</f>
        <v>SATYAM OPHTHALMICS</v>
      </c>
    </row>
    <row r="2512">
      <c r="H2512" s="5" t="str">
        <f>IFERROR(__xludf.DUMMYFUNCTION("""COMPUTED_VALUE"""),"SATYAM REMEDIES")</f>
        <v>SATYAM REMEDIES</v>
      </c>
    </row>
    <row r="2513">
      <c r="H2513" s="5" t="str">
        <f>IFERROR(__xludf.DUMMYFUNCTION("""COMPUTED_VALUE"""),"SAVA MEDICA LTD")</f>
        <v>SAVA MEDICA LTD</v>
      </c>
    </row>
    <row r="2514">
      <c r="H2514" s="5" t="str">
        <f>IFERROR(__xludf.DUMMYFUNCTION("""COMPUTED_VALUE"""),"SAVESOL PHARMA")</f>
        <v>SAVESOL PHARMA</v>
      </c>
    </row>
    <row r="2515">
      <c r="H2515" s="5" t="str">
        <f>IFERROR(__xludf.DUMMYFUNCTION("""COMPUTED_VALUE"""),"SAYRE THERAPEUTICS")</f>
        <v>SAYRE THERAPEUTICS</v>
      </c>
    </row>
    <row r="2516">
      <c r="H2516" s="5" t="str">
        <f>IFERROR(__xludf.DUMMYFUNCTION("""COMPUTED_VALUE"""),"SAYUJYA PHARMACEUTICALS")</f>
        <v>SAYUJYA PHARMACEUTICALS</v>
      </c>
    </row>
    <row r="2517">
      <c r="H2517" s="5" t="str">
        <f>IFERROR(__xludf.DUMMYFUNCTION("""COMPUTED_VALUE"""),"SB LIFESCIENCE")</f>
        <v>SB LIFESCIENCE</v>
      </c>
    </row>
    <row r="2518">
      <c r="H2518" s="5" t="str">
        <f>IFERROR(__xludf.DUMMYFUNCTION("""COMPUTED_VALUE"""),"Sbeed Pharmaceuticals")</f>
        <v>Sbeed Pharmaceuticals</v>
      </c>
    </row>
    <row r="2519">
      <c r="H2519" s="5" t="str">
        <f>IFERROR(__xludf.DUMMYFUNCTION("""COMPUTED_VALUE"""),"SBL")</f>
        <v>SBL</v>
      </c>
    </row>
    <row r="2520">
      <c r="H2520" s="5" t="str">
        <f>IFERROR(__xludf.DUMMYFUNCTION("""COMPUTED_VALUE"""),"SBS BIOTECH")</f>
        <v>SBS BIOTECH</v>
      </c>
    </row>
    <row r="2521">
      <c r="H2521" s="5" t="str">
        <f>IFERROR(__xludf.DUMMYFUNCTION("""COMPUTED_VALUE"""),"SCALA PHARMACEUTICALS")</f>
        <v>SCALA PHARMACEUTICALS</v>
      </c>
    </row>
    <row r="2522">
      <c r="H2522" s="5" t="str">
        <f>IFERROR(__xludf.DUMMYFUNCTION("""COMPUTED_VALUE"""),"SCHNELLER HEATHCARE")</f>
        <v>SCHNELLER HEATHCARE</v>
      </c>
    </row>
    <row r="2523">
      <c r="H2523" s="5" t="str">
        <f>IFERROR(__xludf.DUMMYFUNCTION("""COMPUTED_VALUE"""),"SCHON PHARMACEUTICALS LTD")</f>
        <v>SCHON PHARMACEUTICALS LTD</v>
      </c>
    </row>
    <row r="2524">
      <c r="H2524" s="5" t="str">
        <f>IFERROR(__xludf.DUMMYFUNCTION("""COMPUTED_VALUE"""),"SCORRTIS PHARMA")</f>
        <v>SCORRTIS PHARMA</v>
      </c>
    </row>
    <row r="2525">
      <c r="H2525" s="5" t="str">
        <f>IFERROR(__xludf.DUMMYFUNCTION("""COMPUTED_VALUE"""),"Scott Edil Pharmacia Ltd")</f>
        <v>Scott Edil Pharmacia Ltd</v>
      </c>
    </row>
    <row r="2526">
      <c r="H2526" s="5" t="str">
        <f>IFERROR(__xludf.DUMMYFUNCTION("""COMPUTED_VALUE"""),"SDD TORIC")</f>
        <v>SDD TORIC</v>
      </c>
    </row>
    <row r="2527">
      <c r="H2527" s="5" t="str">
        <f>IFERROR(__xludf.DUMMYFUNCTION("""COMPUTED_VALUE"""),"SDS NUTRACEUTICALS")</f>
        <v>SDS NUTRACEUTICALS</v>
      </c>
    </row>
    <row r="2528">
      <c r="H2528" s="5" t="str">
        <f>IFERROR(__xludf.DUMMYFUNCTION("""COMPUTED_VALUE"""),"SEAGULL PHARMACEUTICALS PVT LTD")</f>
        <v>SEAGULL PHARMACEUTICALS PVT LTD</v>
      </c>
    </row>
    <row r="2529">
      <c r="H2529" s="5" t="str">
        <f>IFERROR(__xludf.DUMMYFUNCTION("""COMPUTED_VALUE"""),"SEARCH CREATION")</f>
        <v>SEARCH CREATION</v>
      </c>
    </row>
    <row r="2530">
      <c r="H2530" s="5" t="str">
        <f>IFERROR(__xludf.DUMMYFUNCTION("""COMPUTED_VALUE"""),"SEARUB")</f>
        <v>SEARUB</v>
      </c>
    </row>
    <row r="2531">
      <c r="H2531" s="5" t="str">
        <f>IFERROR(__xludf.DUMMYFUNCTION("""COMPUTED_VALUE"""),"SEEMA INTERNATIONAL")</f>
        <v>SEEMA INTERNATIONAL</v>
      </c>
    </row>
    <row r="2532">
      <c r="H2532" s="5" t="str">
        <f>IFERROR(__xludf.DUMMYFUNCTION("""COMPUTED_VALUE"""),"SEGMENT CARE")</f>
        <v>SEGMENT CARE</v>
      </c>
    </row>
    <row r="2533">
      <c r="H2533" s="5" t="str">
        <f>IFERROR(__xludf.DUMMYFUNCTION("""COMPUTED_VALUE"""),"SELVADOR LTD")</f>
        <v>SELVADOR LTD</v>
      </c>
    </row>
    <row r="2534">
      <c r="H2534" s="5" t="str">
        <f>IFERROR(__xludf.DUMMYFUNCTION("""COMPUTED_VALUE"""),"SELWAY LIFE SCIENCES PVT LTD")</f>
        <v>SELWAY LIFE SCIENCES PVT LTD</v>
      </c>
    </row>
    <row r="2535">
      <c r="H2535" s="5" t="str">
        <f>IFERROR(__xludf.DUMMYFUNCTION("""COMPUTED_VALUE"""),"SENATE LABORATORIES ROORKE")</f>
        <v>SENATE LABORATORIES ROORKE</v>
      </c>
    </row>
    <row r="2536">
      <c r="H2536" s="5" t="str">
        <f>IFERROR(__xludf.DUMMYFUNCTION("""COMPUTED_VALUE"""),"SENCARE LIFE SCIENCES")</f>
        <v>SENCARE LIFE SCIENCES</v>
      </c>
    </row>
    <row r="2537">
      <c r="H2537" s="5" t="str">
        <f>IFERROR(__xludf.DUMMYFUNCTION("""COMPUTED_VALUE"""),"SENEN BIOTECH")</f>
        <v>SENEN BIOTECH</v>
      </c>
    </row>
    <row r="2538">
      <c r="H2538" s="5" t="str">
        <f>IFERROR(__xludf.DUMMYFUNCTION("""COMPUTED_VALUE"""),"SENERA ESSENTIALS")</f>
        <v>SENERA ESSENTIALS</v>
      </c>
    </row>
    <row r="2539">
      <c r="H2539" s="5" t="str">
        <f>IFERROR(__xludf.DUMMYFUNCTION("""COMPUTED_VALUE"""),"SENERA ETHICAL")</f>
        <v>SENERA ETHICAL</v>
      </c>
    </row>
    <row r="2540">
      <c r="H2540" s="5" t="str">
        <f>IFERROR(__xludf.DUMMYFUNCTION("""COMPUTED_VALUE"""),"SENSES PHARMACEUTICALS")</f>
        <v>SENSES PHARMACEUTICALS</v>
      </c>
    </row>
    <row r="2541">
      <c r="H2541" s="5" t="str">
        <f>IFERROR(__xludf.DUMMYFUNCTION("""COMPUTED_VALUE"""),"SENTISS PHARMA")</f>
        <v>SENTISS PHARMA</v>
      </c>
    </row>
    <row r="2542">
      <c r="H2542" s="5" t="str">
        <f>IFERROR(__xludf.DUMMYFUNCTION("""COMPUTED_VALUE"""),"SEPTALYST LIFESCIENCES (CNS)")</f>
        <v>SEPTALYST LIFESCIENCES (CNS)</v>
      </c>
    </row>
    <row r="2543">
      <c r="H2543" s="5" t="str">
        <f>IFERROR(__xludf.DUMMYFUNCTION("""COMPUTED_VALUE"""),"SEPTALYST LIFESCIENCES (NEPHRO)")</f>
        <v>SEPTALYST LIFESCIENCES (NEPHRO)</v>
      </c>
    </row>
    <row r="2544">
      <c r="H2544" s="5" t="str">
        <f>IFERROR(__xludf.DUMMYFUNCTION("""COMPUTED_VALUE"""),"Septalyst Lifesciences Pvt. Ltd")</f>
        <v>Septalyst Lifesciences Pvt. Ltd</v>
      </c>
    </row>
    <row r="2545">
      <c r="H2545" s="5" t="str">
        <f>IFERROR(__xludf.DUMMYFUNCTION("""COMPUTED_VALUE"""),"Serdia Pharmaceuticals India Pvt Ltd")</f>
        <v>Serdia Pharmaceuticals India Pvt Ltd</v>
      </c>
    </row>
    <row r="2546">
      <c r="H2546" s="5" t="str">
        <f>IFERROR(__xludf.DUMMYFUNCTION("""COMPUTED_VALUE"""),"SERUM BIOTECH LTD")</f>
        <v>SERUM BIOTECH LTD</v>
      </c>
    </row>
    <row r="2547">
      <c r="H2547" s="5" t="str">
        <f>IFERROR(__xludf.DUMMYFUNCTION("""COMPUTED_VALUE"""),"Serum Institute Of India Ltd")</f>
        <v>Serum Institute Of India Ltd</v>
      </c>
    </row>
    <row r="2548">
      <c r="H2548" s="5" t="str">
        <f>IFERROR(__xludf.DUMMYFUNCTION("""COMPUTED_VALUE"""),"SERVETUS")</f>
        <v>SERVETUS</v>
      </c>
    </row>
    <row r="2549">
      <c r="H2549" s="5" t="str">
        <f>IFERROR(__xludf.DUMMYFUNCTION("""COMPUTED_VALUE"""),"SERWINA PHARMACEUTICALS (GENERIC)")</f>
        <v>SERWINA PHARMACEUTICALS (GENERIC)</v>
      </c>
    </row>
    <row r="2550">
      <c r="H2550" s="5" t="str">
        <f>IFERROR(__xludf.DUMMYFUNCTION("""COMPUTED_VALUE"""),"SEVA HEALTHCARE(P)LTD")</f>
        <v>SEVA HEALTHCARE(P)LTD</v>
      </c>
    </row>
    <row r="2551">
      <c r="H2551" s="5" t="str">
        <f>IFERROR(__xludf.DUMMYFUNCTION("""COMPUTED_VALUE"""),"SEVEN BIOSCIENCES")</f>
        <v>SEVEN BIOSCIENCES</v>
      </c>
    </row>
    <row r="2552">
      <c r="H2552" s="5" t="str">
        <f>IFERROR(__xludf.DUMMYFUNCTION("""COMPUTED_VALUE"""),"SEVEN SEAS")</f>
        <v>SEVEN SEAS</v>
      </c>
    </row>
    <row r="2553">
      <c r="H2553" s="5" t="str">
        <f>IFERROR(__xludf.DUMMYFUNCTION("""COMPUTED_VALUE"""),"SEVENHILLS LIFESCIENCES")</f>
        <v>SEVENHILLS LIFESCIENCES</v>
      </c>
    </row>
    <row r="2554">
      <c r="H2554" s="5" t="str">
        <f>IFERROR(__xludf.DUMMYFUNCTION("""COMPUTED_VALUE"""),"SG LIFECARE")</f>
        <v>SG LIFECARE</v>
      </c>
    </row>
    <row r="2555">
      <c r="H2555" s="5" t="str">
        <f>IFERROR(__xludf.DUMMYFUNCTION("""COMPUTED_VALUE"""),"SG PHARMA")</f>
        <v>SG PHARMA</v>
      </c>
    </row>
    <row r="2556">
      <c r="H2556" s="5" t="str">
        <f>IFERROR(__xludf.DUMMYFUNCTION("""COMPUTED_VALUE"""),"SG PHYTO PHARMA P LTD")</f>
        <v>SG PHYTO PHARMA P LTD</v>
      </c>
    </row>
    <row r="2557">
      <c r="H2557" s="5" t="str">
        <f>IFERROR(__xludf.DUMMYFUNCTION("""COMPUTED_VALUE"""),"SGS")</f>
        <v>SGS</v>
      </c>
    </row>
    <row r="2558">
      <c r="H2558" s="5" t="str">
        <f>IFERROR(__xludf.DUMMYFUNCTION("""COMPUTED_VALUE"""),"SH PHARMACEUTICALS LTD")</f>
        <v>SH PHARMACEUTICALS LTD</v>
      </c>
    </row>
    <row r="2559">
      <c r="H2559" s="5" t="str">
        <f>IFERROR(__xludf.DUMMYFUNCTION("""COMPUTED_VALUE"""),"SHALMAN PHARMACEUTICAL")</f>
        <v>SHALMAN PHARMACEUTICAL</v>
      </c>
    </row>
    <row r="2560">
      <c r="H2560" s="5" t="str">
        <f>IFERROR(__xludf.DUMMYFUNCTION("""COMPUTED_VALUE"""),"SHAMAC HEALTHCARE")</f>
        <v>SHAMAC HEALTHCARE</v>
      </c>
    </row>
    <row r="2561">
      <c r="H2561" s="5" t="str">
        <f>IFERROR(__xludf.DUMMYFUNCTION("""COMPUTED_VALUE"""),"SHANKHIN HEALTHCARE")</f>
        <v>SHANKHIN HEALTHCARE</v>
      </c>
    </row>
    <row r="2562">
      <c r="H2562" s="5" t="str">
        <f>IFERROR(__xludf.DUMMYFUNCTION("""COMPUTED_VALUE"""),"SHANKUS ACME PHARMA")</f>
        <v>SHANKUS ACME PHARMA</v>
      </c>
    </row>
    <row r="2563">
      <c r="H2563" s="5" t="str">
        <f>IFERROR(__xludf.DUMMYFUNCTION("""COMPUTED_VALUE"""),"SHANTA BIOTECH LTD")</f>
        <v>SHANTA BIOTECH LTD</v>
      </c>
    </row>
    <row r="2564">
      <c r="H2564" s="5" t="str">
        <f>IFERROR(__xludf.DUMMYFUNCTION("""COMPUTED_VALUE"""),"SHARANGDHAR")</f>
        <v>SHARANGDHAR</v>
      </c>
    </row>
    <row r="2565">
      <c r="H2565" s="5" t="str">
        <f>IFERROR(__xludf.DUMMYFUNCTION("""COMPUTED_VALUE"""),"SHARMAYU AYURVED BHAWAN")</f>
        <v>SHARMAYU AYURVED BHAWAN</v>
      </c>
    </row>
    <row r="2566">
      <c r="H2566" s="5" t="str">
        <f>IFERROR(__xludf.DUMMYFUNCTION("""COMPUTED_VALUE"""),"SHE BIOLOGICALS")</f>
        <v>SHE BIOLOGICALS</v>
      </c>
    </row>
    <row r="2567">
      <c r="H2567" s="5" t="str">
        <f>IFERROR(__xludf.DUMMYFUNCTION("""COMPUTED_VALUE"""),"SHEBA INDUSTRIES")</f>
        <v>SHEBA INDUSTRIES</v>
      </c>
    </row>
    <row r="2568">
      <c r="H2568" s="5" t="str">
        <f>IFERROR(__xludf.DUMMYFUNCTION("""COMPUTED_VALUE"""),"SHERINGS")</f>
        <v>SHERINGS</v>
      </c>
    </row>
    <row r="2569">
      <c r="H2569" s="5" t="str">
        <f>IFERROR(__xludf.DUMMYFUNCTION("""COMPUTED_VALUE"""),"SHETH BROS.")</f>
        <v>SHETH BROS.</v>
      </c>
    </row>
    <row r="2570">
      <c r="H2570" s="5" t="str">
        <f>IFERROR(__xludf.DUMMYFUNCTION("""COMPUTED_VALUE"""),"SHILPACHEM INDUSTRIES")</f>
        <v>SHILPACHEM INDUSTRIES</v>
      </c>
    </row>
    <row r="2571">
      <c r="H2571" s="5" t="str">
        <f>IFERROR(__xludf.DUMMYFUNCTION("""COMPUTED_VALUE"""),"Shine Pharmaceuticals Ltd")</f>
        <v>Shine Pharmaceuticals Ltd</v>
      </c>
    </row>
    <row r="2572">
      <c r="H2572" s="5" t="str">
        <f>IFERROR(__xludf.DUMMYFUNCTION("""COMPUTED_VALUE"""),"SHINTO ORGANICS")</f>
        <v>SHINTO ORGANICS</v>
      </c>
    </row>
    <row r="2573">
      <c r="H2573" s="5" t="str">
        <f>IFERROR(__xludf.DUMMYFUNCTION("""COMPUTED_VALUE"""),"SHIVANI COTTON")</f>
        <v>SHIVANI COTTON</v>
      </c>
    </row>
    <row r="2574">
      <c r="H2574" s="5" t="str">
        <f>IFERROR(__xludf.DUMMYFUNCTION("""COMPUTED_VALUE"""),"SHIVAYU HERBAL CARE")</f>
        <v>SHIVAYU HERBAL CARE</v>
      </c>
    </row>
    <row r="2575">
      <c r="H2575" s="5" t="str">
        <f>IFERROR(__xludf.DUMMYFUNCTION("""COMPUTED_VALUE"""),"SHIVAYUR HEALTHCARE (GENERIC)")</f>
        <v>SHIVAYUR HEALTHCARE (GENERIC)</v>
      </c>
    </row>
    <row r="2576">
      <c r="H2576" s="5" t="str">
        <f>IFERROR(__xludf.DUMMYFUNCTION("""COMPUTED_VALUE"""),"SHL")</f>
        <v>SHL</v>
      </c>
    </row>
    <row r="2577">
      <c r="H2577" s="5" t="str">
        <f>IFERROR(__xludf.DUMMYFUNCTION("""COMPUTED_VALUE"""),"Shree Baidyanath Ayurved Bhawan Pvt Ltd")</f>
        <v>Shree Baidyanath Ayurved Bhawan Pvt Ltd</v>
      </c>
    </row>
    <row r="2578">
      <c r="H2578" s="5" t="str">
        <f>IFERROR(__xludf.DUMMYFUNCTION("""COMPUTED_VALUE"""),"SHREE DHANWANTRI HERBALS")</f>
        <v>SHREE DHANWANTRI HERBALS</v>
      </c>
    </row>
    <row r="2579">
      <c r="H2579" s="5" t="str">
        <f>IFERROR(__xludf.DUMMYFUNCTION("""COMPUTED_VALUE"""),"SHREE GANESH PHARMACEUTICALS")</f>
        <v>SHREE GANESH PHARMACEUTICALS</v>
      </c>
    </row>
    <row r="2580">
      <c r="H2580" s="5" t="str">
        <f>IFERROR(__xludf.DUMMYFUNCTION("""COMPUTED_VALUE"""),"SHREE KRISHNA PHARMACEUTICALS")</f>
        <v>SHREE KRISHNA PHARMACEUTICALS</v>
      </c>
    </row>
    <row r="2581">
      <c r="H2581" s="5" t="str">
        <f>IFERROR(__xludf.DUMMYFUNCTION("""COMPUTED_VALUE"""),"SHREE MARUTI HERBAL")</f>
        <v>SHREE MARUTI HERBAL</v>
      </c>
    </row>
    <row r="2582">
      <c r="H2582" s="5" t="str">
        <f>IFERROR(__xludf.DUMMYFUNCTION("""COMPUTED_VALUE"""),"SHREE NATH PHARMACEUTICALS LTD")</f>
        <v>SHREE NATH PHARMACEUTICALS LTD</v>
      </c>
    </row>
    <row r="2583">
      <c r="H2583" s="5" t="str">
        <f>IFERROR(__xludf.DUMMYFUNCTION("""COMPUTED_VALUE"""),"SHREE NUTRITIONS VIDHYAVIH")</f>
        <v>SHREE NUTRITIONS VIDHYAVIH</v>
      </c>
    </row>
    <row r="2584">
      <c r="H2584" s="5" t="str">
        <f>IFERROR(__xludf.DUMMYFUNCTION("""COMPUTED_VALUE"""),"SHREE SHARMA AYURVED MANDIR")</f>
        <v>SHREE SHARMA AYURVED MANDIR</v>
      </c>
    </row>
    <row r="2585">
      <c r="H2585" s="5" t="str">
        <f>IFERROR(__xludf.DUMMYFUNCTION("""COMPUTED_VALUE"""),"SHREE SIDDHA AYURVED &amp; RESEARCH")</f>
        <v>SHREE SIDDHA AYURVED &amp; RESEARCH</v>
      </c>
    </row>
    <row r="2586">
      <c r="H2586" s="5" t="str">
        <f>IFERROR(__xludf.DUMMYFUNCTION("""COMPUTED_VALUE"""),"SHREE SITARAGHAVA VAIDYASALA")</f>
        <v>SHREE SITARAGHAVA VAIDYASALA</v>
      </c>
    </row>
    <row r="2587">
      <c r="H2587" s="5" t="str">
        <f>IFERROR(__xludf.DUMMYFUNCTION("""COMPUTED_VALUE"""),"SHREEJI AGENCY (OMP)")</f>
        <v>SHREEJI AGENCY (OMP)</v>
      </c>
    </row>
    <row r="2588">
      <c r="H2588" s="5" t="str">
        <f>IFERROR(__xludf.DUMMYFUNCTION("""COMPUTED_VALUE"""),"SHREEM DRUGS P LTD")</f>
        <v>SHREEM DRUGS P LTD</v>
      </c>
    </row>
    <row r="2589">
      <c r="H2589" s="5" t="str">
        <f>IFERROR(__xludf.DUMMYFUNCTION("""COMPUTED_VALUE"""),"SHREEYAM HEALTH CARE")</f>
        <v>SHREEYAM HEALTH CARE</v>
      </c>
    </row>
    <row r="2590">
      <c r="H2590" s="5" t="str">
        <f>IFERROR(__xludf.DUMMYFUNCTION("""COMPUTED_VALUE"""),"Shreeyam Healthcare")</f>
        <v>Shreeyam Healthcare</v>
      </c>
    </row>
    <row r="2591">
      <c r="H2591" s="5" t="str">
        <f>IFERROR(__xludf.DUMMYFUNCTION("""COMPUTED_VALUE"""),"Shrey Nutraceuticals &amp; Herbals Pvt Ltd")</f>
        <v>Shrey Nutraceuticals &amp; Herbals Pvt Ltd</v>
      </c>
    </row>
    <row r="2592">
      <c r="H2592" s="5" t="str">
        <f>IFERROR(__xludf.DUMMYFUNCTION("""COMPUTED_VALUE"""),"Shreya Life Sciences Pvt Ltd")</f>
        <v>Shreya Life Sciences Pvt Ltd</v>
      </c>
    </row>
    <row r="2593">
      <c r="H2593" s="5" t="str">
        <f>IFERROR(__xludf.DUMMYFUNCTION("""COMPUTED_VALUE"""),"SHRI AYURVED SEVA SADAN")</f>
        <v>SHRI AYURVED SEVA SADAN</v>
      </c>
    </row>
    <row r="2594">
      <c r="H2594" s="5" t="str">
        <f>IFERROR(__xludf.DUMMYFUNCTION("""COMPUTED_VALUE"""),"SHRINIVAS (ESSENTIAL)")</f>
        <v>SHRINIVAS (ESSENTIAL)</v>
      </c>
    </row>
    <row r="2595">
      <c r="H2595" s="5" t="str">
        <f>IFERROR(__xludf.DUMMYFUNCTION("""COMPUTED_VALUE"""),"SHRINIVAS (GUJRAT) LABORATORIES")</f>
        <v>SHRINIVAS (GUJRAT) LABORATORIES</v>
      </c>
    </row>
    <row r="2596">
      <c r="H2596" s="5" t="str">
        <f>IFERROR(__xludf.DUMMYFUNCTION("""COMPUTED_VALUE"""),"SIDDHAYU")</f>
        <v>SIDDHAYU</v>
      </c>
    </row>
    <row r="2597">
      <c r="H2597" s="5" t="str">
        <f>IFERROR(__xludf.DUMMYFUNCTION("""COMPUTED_VALUE"""),"SIENNA FORMULATIONS")</f>
        <v>SIENNA FORMULATIONS</v>
      </c>
    </row>
    <row r="2598">
      <c r="H2598" s="5" t="str">
        <f>IFERROR(__xludf.DUMMYFUNCTION("""COMPUTED_VALUE"""),"SIESTA PHARMA")</f>
        <v>SIESTA PHARMA</v>
      </c>
    </row>
    <row r="2599">
      <c r="H2599" s="5" t="str">
        <f>IFERROR(__xludf.DUMMYFUNCTION("""COMPUTED_VALUE"""),"SIFCO PHARMA")</f>
        <v>SIFCO PHARMA</v>
      </c>
    </row>
    <row r="2600">
      <c r="H2600" s="5" t="str">
        <f>IFERROR(__xludf.DUMMYFUNCTION("""COMPUTED_VALUE"""),"SIGMA LABORATORIES")</f>
        <v>SIGMA LABORATORIES</v>
      </c>
    </row>
    <row r="2601">
      <c r="H2601" s="5" t="str">
        <f>IFERROR(__xludf.DUMMYFUNCTION("""COMPUTED_VALUE"""),"SIGMAN WELLNESS")</f>
        <v>SIGMAN WELLNESS</v>
      </c>
    </row>
    <row r="2602">
      <c r="H2602" s="5" t="str">
        <f>IFERROR(__xludf.DUMMYFUNCTION("""COMPUTED_VALUE"""),"Sigmund Promedica")</f>
        <v>Sigmund Promedica</v>
      </c>
    </row>
    <row r="2603">
      <c r="H2603" s="5" t="str">
        <f>IFERROR(__xludf.DUMMYFUNCTION("""COMPUTED_VALUE"""),"SIGNITY PHARMACEUTICALS")</f>
        <v>SIGNITY PHARMACEUTICALS</v>
      </c>
    </row>
    <row r="2604">
      <c r="H2604" s="5" t="str">
        <f>IFERROR(__xludf.DUMMYFUNCTION("""COMPUTED_VALUE"""),"Signova Pharma Pvt Ltd")</f>
        <v>Signova Pharma Pvt Ltd</v>
      </c>
    </row>
    <row r="2605">
      <c r="H2605" s="5" t="str">
        <f>IFERROR(__xludf.DUMMYFUNCTION("""COMPUTED_VALUE"""),"SIGNUTRA INC")</f>
        <v>SIGNUTRA INC</v>
      </c>
    </row>
    <row r="2606">
      <c r="H2606" s="5" t="str">
        <f>IFERROR(__xludf.DUMMYFUNCTION("""COMPUTED_VALUE"""),"SIMCO ORGANICS")</f>
        <v>SIMCO ORGANICS</v>
      </c>
    </row>
    <row r="2607">
      <c r="H2607" s="5" t="str">
        <f>IFERROR(__xludf.DUMMYFUNCTION("""COMPUTED_VALUE"""),"SIMPLY SATVIK")</f>
        <v>SIMPLY SATVIK</v>
      </c>
    </row>
    <row r="2608">
      <c r="H2608" s="5" t="str">
        <f>IFERROR(__xludf.DUMMYFUNCTION("""COMPUTED_VALUE"""),"SINGHAL PHARMA")</f>
        <v>SINGHAL PHARMA</v>
      </c>
    </row>
    <row r="2609">
      <c r="H2609" s="5" t="str">
        <f>IFERROR(__xludf.DUMMYFUNCTION("""COMPUTED_VALUE"""),"SINSAN PHARMACEUTICALS")</f>
        <v>SINSAN PHARMACEUTICALS</v>
      </c>
    </row>
    <row r="2610">
      <c r="H2610" s="5" t="str">
        <f>IFERROR(__xludf.DUMMYFUNCTION("""COMPUTED_VALUE"""),"SIXTH SENSE PHARMACEUTICALS")</f>
        <v>SIXTH SENSE PHARMACEUTICALS</v>
      </c>
    </row>
    <row r="2611">
      <c r="H2611" s="5" t="str">
        <f>IFERROR(__xludf.DUMMYFUNCTION("""COMPUTED_VALUE"""),"SKIN SCIENCE")</f>
        <v>SKIN SCIENCE</v>
      </c>
    </row>
    <row r="2612">
      <c r="H2612" s="5" t="str">
        <f>IFERROR(__xludf.DUMMYFUNCTION("""COMPUTED_VALUE"""),"SKINWAVE INDIA")</f>
        <v>SKINWAVE INDIA</v>
      </c>
    </row>
    <row r="2613">
      <c r="H2613" s="5" t="str">
        <f>IFERROR(__xludf.DUMMYFUNCTION("""COMPUTED_VALUE"""),"SKN ORGANICS")</f>
        <v>SKN ORGANICS</v>
      </c>
    </row>
    <row r="2614">
      <c r="H2614" s="5" t="str">
        <f>IFERROR(__xludf.DUMMYFUNCTION("""COMPUTED_VALUE"""),"SL  TORIC")</f>
        <v>SL  TORIC</v>
      </c>
    </row>
    <row r="2615">
      <c r="H2615" s="5" t="str">
        <f>IFERROR(__xludf.DUMMYFUNCTION("""COMPUTED_VALUE"""),"SLANEY HEALTHCARE")</f>
        <v>SLANEY HEALTHCARE</v>
      </c>
    </row>
    <row r="2616">
      <c r="H2616" s="5" t="str">
        <f>IFERROR(__xludf.DUMMYFUNCTION("""COMPUTED_VALUE"""),"SMART LABORATORIES (CONVEX)")</f>
        <v>SMART LABORATORIES (CONVEX)</v>
      </c>
    </row>
    <row r="2617">
      <c r="H2617" s="5" t="str">
        <f>IFERROR(__xludf.DUMMYFUNCTION("""COMPUTED_VALUE"""),"SMITHSONS LIFE SCIENCE")</f>
        <v>SMITHSONS LIFE SCIENCE</v>
      </c>
    </row>
    <row r="2618">
      <c r="H2618" s="5" t="str">
        <f>IFERROR(__xludf.DUMMYFUNCTION("""COMPUTED_VALUE"""),"SNDAR")</f>
        <v>SNDAR</v>
      </c>
    </row>
    <row r="2619">
      <c r="H2619" s="5" t="str">
        <f>IFERROR(__xludf.DUMMYFUNCTION("""COMPUTED_VALUE"""),"SNERVOTEC PHARMACIUTICAL B")</f>
        <v>SNERVOTEC PHARMACIUTICAL B</v>
      </c>
    </row>
    <row r="2620">
      <c r="H2620" s="5" t="str">
        <f>IFERROR(__xludf.DUMMYFUNCTION("""COMPUTED_VALUE"""),"SNERVOTEC PHARMACUTICAL")</f>
        <v>SNERVOTEC PHARMACUTICAL</v>
      </c>
    </row>
    <row r="2621">
      <c r="H2621" s="5" t="str">
        <f>IFERROR(__xludf.DUMMYFUNCTION("""COMPUTED_VALUE"""),"SOCRUS PHARMACUTICAL")</f>
        <v>SOCRUS PHARMACUTICAL</v>
      </c>
    </row>
    <row r="2622">
      <c r="H2622" s="5" t="str">
        <f>IFERROR(__xludf.DUMMYFUNCTION("""COMPUTED_VALUE"""),"SOFLENS DAILY DISP")</f>
        <v>SOFLENS DAILY DISP</v>
      </c>
    </row>
    <row r="2623">
      <c r="H2623" s="5" t="str">
        <f>IFERROR(__xludf.DUMMYFUNCTION("""COMPUTED_VALUE"""),"SOFT MEDICAPS")</f>
        <v>SOFT MEDICAPS</v>
      </c>
    </row>
    <row r="2624">
      <c r="H2624" s="5" t="str">
        <f>IFERROR(__xludf.DUMMYFUNCTION("""COMPUTED_VALUE"""),"Sol Derma")</f>
        <v>Sol Derma</v>
      </c>
    </row>
    <row r="2625">
      <c r="H2625" s="5" t="str">
        <f>IFERROR(__xludf.DUMMYFUNCTION("""COMPUTED_VALUE"""),"SOLACE (CARMENTA)")</f>
        <v>SOLACE (CARMENTA)</v>
      </c>
    </row>
    <row r="2626">
      <c r="H2626" s="5" t="str">
        <f>IFERROR(__xludf.DUMMYFUNCTION("""COMPUTED_VALUE"""),"SOLACE (DENTAL)")</f>
        <v>SOLACE (DENTAL)</v>
      </c>
    </row>
    <row r="2627">
      <c r="H2627" s="5" t="str">
        <f>IFERROR(__xludf.DUMMYFUNCTION("""COMPUTED_VALUE"""),"SOLACE (EOS)")</f>
        <v>SOLACE (EOS)</v>
      </c>
    </row>
    <row r="2628">
      <c r="H2628" s="5" t="str">
        <f>IFERROR(__xludf.DUMMYFUNCTION("""COMPUTED_VALUE"""),"SOLACE (NUTRITION NEXT )")</f>
        <v>SOLACE (NUTRITION NEXT )</v>
      </c>
    </row>
    <row r="2629">
      <c r="H2629" s="5" t="str">
        <f>IFERROR(__xludf.DUMMYFUNCTION("""COMPUTED_VALUE"""),"SOLACE (NUTRITION NEXT)")</f>
        <v>SOLACE (NUTRITION NEXT)</v>
      </c>
    </row>
    <row r="2630">
      <c r="H2630" s="5" t="str">
        <f>IFERROR(__xludf.DUMMYFUNCTION("""COMPUTED_VALUE"""),"SOLACE (OSTEO)")</f>
        <v>SOLACE (OSTEO)</v>
      </c>
    </row>
    <row r="2631">
      <c r="H2631" s="5" t="str">
        <f>IFERROR(__xludf.DUMMYFUNCTION("""COMPUTED_VALUE"""),"SOLACE (PICCOLO)")</f>
        <v>SOLACE (PICCOLO)</v>
      </c>
    </row>
    <row r="2632">
      <c r="H2632" s="5" t="str">
        <f>IFERROR(__xludf.DUMMYFUNCTION("""COMPUTED_VALUE"""),"SOLACE (SOLTECH)")</f>
        <v>SOLACE (SOLTECH)</v>
      </c>
    </row>
    <row r="2633">
      <c r="H2633" s="5" t="str">
        <f>IFERROR(__xludf.DUMMYFUNCTION("""COMPUTED_VALUE"""),"Solace Biotech Ltd")</f>
        <v>Solace Biotech Ltd</v>
      </c>
    </row>
    <row r="2634">
      <c r="H2634" s="5" t="str">
        <f>IFERROR(__xludf.DUMMYFUNCTION("""COMPUTED_VALUE"""),"SOLEIL INTERNATIONAL")</f>
        <v>SOLEIL INTERNATIONAL</v>
      </c>
    </row>
    <row r="2635">
      <c r="H2635" s="5" t="str">
        <f>IFERROR(__xludf.DUMMYFUNCTION("""COMPUTED_VALUE"""),"SOLERA LIFE SCIENCES P LTD")</f>
        <v>SOLERA LIFE SCIENCES P LTD</v>
      </c>
    </row>
    <row r="2636">
      <c r="H2636" s="5" t="str">
        <f>IFERROR(__xludf.DUMMYFUNCTION("""COMPUTED_VALUE"""),"SOLOWIN PHARMA")</f>
        <v>SOLOWIN PHARMA</v>
      </c>
    </row>
    <row r="2637">
      <c r="H2637" s="5" t="str">
        <f>IFERROR(__xludf.DUMMYFUNCTION("""COMPUTED_VALUE"""),"SOLOZEN LIFESCIENCES")</f>
        <v>SOLOZEN LIFESCIENCES</v>
      </c>
    </row>
    <row r="2638">
      <c r="H2638" s="5" t="str">
        <f>IFERROR(__xludf.DUMMYFUNCTION("""COMPUTED_VALUE"""),"Solumiks Piramal Ltd")</f>
        <v>Solumiks Piramal Ltd</v>
      </c>
    </row>
    <row r="2639">
      <c r="H2639" s="5" t="str">
        <f>IFERROR(__xludf.DUMMYFUNCTION("""COMPUTED_VALUE"""),"SOLUTION ENTERPRISES PVT LTD")</f>
        <v>SOLUTION ENTERPRISES PVT LTD</v>
      </c>
    </row>
    <row r="2640">
      <c r="H2640" s="5" t="str">
        <f>IFERROR(__xludf.DUMMYFUNCTION("""COMPUTED_VALUE"""),"Solvate Laboratries Pvt Ltd")</f>
        <v>Solvate Laboratries Pvt Ltd</v>
      </c>
    </row>
    <row r="2641">
      <c r="H2641" s="5" t="str">
        <f>IFERROR(__xludf.DUMMYFUNCTION("""COMPUTED_VALUE"""),"SONAM PHARMA (OTHER PRODUCTS)")</f>
        <v>SONAM PHARMA (OTHER PRODUCTS)</v>
      </c>
    </row>
    <row r="2642">
      <c r="H2642" s="5" t="str">
        <f>IFERROR(__xludf.DUMMYFUNCTION("""COMPUTED_VALUE"""),"SONIKA LIFE SCIENCE")</f>
        <v>SONIKA LIFE SCIENCE</v>
      </c>
    </row>
    <row r="2643">
      <c r="H2643" s="5" t="str">
        <f>IFERROR(__xludf.DUMMYFUNCTION("""COMPUTED_VALUE"""),"SONTEX ROLLED BANDAGE WORKS")</f>
        <v>SONTEX ROLLED BANDAGE WORKS</v>
      </c>
    </row>
    <row r="2644">
      <c r="H2644" s="5" t="str">
        <f>IFERROR(__xludf.DUMMYFUNCTION("""COMPUTED_VALUE"""),"SOUL PHARMA")</f>
        <v>SOUL PHARMA</v>
      </c>
    </row>
    <row r="2645">
      <c r="H2645" s="5" t="str">
        <f>IFERROR(__xludf.DUMMYFUNCTION("""COMPUTED_VALUE"""),"SPA NEWTRACEUTICALS")</f>
        <v>SPA NEWTRACEUTICALS</v>
      </c>
    </row>
    <row r="2646">
      <c r="H2646" s="5" t="str">
        <f>IFERROR(__xludf.DUMMYFUNCTION("""COMPUTED_VALUE"""),"SPARK BLESS PHARMA")</f>
        <v>SPARK BLESS PHARMA</v>
      </c>
    </row>
    <row r="2647">
      <c r="H2647" s="5" t="str">
        <f>IFERROR(__xludf.DUMMYFUNCTION("""COMPUTED_VALUE"""),"SPECTRUM PHARMACEUTICAL")</f>
        <v>SPECTRUM PHARMACEUTICAL</v>
      </c>
    </row>
    <row r="2648">
      <c r="H2648" s="5" t="str">
        <f>IFERROR(__xludf.DUMMYFUNCTION("""COMPUTED_VALUE"""),"SPEY MEDICAL P LTD")</f>
        <v>SPEY MEDICAL P LTD</v>
      </c>
    </row>
    <row r="2649">
      <c r="H2649" s="5" t="str">
        <f>IFERROR(__xludf.DUMMYFUNCTION("""COMPUTED_VALUE"""),"SPLENDID PHARMACEUTICALS")</f>
        <v>SPLENDID PHARMACEUTICALS</v>
      </c>
    </row>
    <row r="2650">
      <c r="H2650" s="5" t="str">
        <f>IFERROR(__xludf.DUMMYFUNCTION("""COMPUTED_VALUE"""),"SR PHARMA")</f>
        <v>SR PHARMA</v>
      </c>
    </row>
    <row r="2651">
      <c r="H2651" s="5" t="str">
        <f>IFERROR(__xludf.DUMMYFUNCTION("""COMPUTED_VALUE"""),"SRESAN")</f>
        <v>SRESAN</v>
      </c>
    </row>
    <row r="2652">
      <c r="H2652" s="5" t="str">
        <f>IFERROR(__xludf.DUMMYFUNCTION("""COMPUTED_VALUE"""),"SRI MAHALAKSHMI TEXTILES")</f>
        <v>SRI MAHALAKSHMI TEXTILES</v>
      </c>
    </row>
    <row r="2653">
      <c r="H2653" s="5" t="str">
        <f>IFERROR(__xludf.DUMMYFUNCTION("""COMPUTED_VALUE"""),"SRI SIDDHDATA FARMLAD PVT LTD")</f>
        <v>SRI SIDDHDATA FARMLAD PVT LTD</v>
      </c>
    </row>
    <row r="2654">
      <c r="H2654" s="5" t="str">
        <f>IFERROR(__xludf.DUMMYFUNCTION("""COMPUTED_VALUE"""),"ST GABERIEL PHARMACEUTICALS")</f>
        <v>ST GABERIEL PHARMACEUTICALS</v>
      </c>
    </row>
    <row r="2655">
      <c r="H2655" s="5" t="str">
        <f>IFERROR(__xludf.DUMMYFUNCTION("""COMPUTED_VALUE"""),"Stadchem Of India")</f>
        <v>Stadchem Of India</v>
      </c>
    </row>
    <row r="2656">
      <c r="H2656" s="5" t="str">
        <f>IFERROR(__xludf.DUMMYFUNCTION("""COMPUTED_VALUE"""),"STADIA BIOTECH")</f>
        <v>STADIA BIOTECH</v>
      </c>
    </row>
    <row r="2657">
      <c r="H2657" s="5" t="str">
        <f>IFERROR(__xludf.DUMMYFUNCTION("""COMPUTED_VALUE"""),"Stadmed Pvt Ltd")</f>
        <v>Stadmed Pvt Ltd</v>
      </c>
    </row>
    <row r="2658">
      <c r="H2658" s="5" t="str">
        <f>IFERROR(__xludf.DUMMYFUNCTION("""COMPUTED_VALUE"""),"Stallion Laboratories Pvt Ltd")</f>
        <v>Stallion Laboratories Pvt Ltd</v>
      </c>
    </row>
    <row r="2659">
      <c r="H2659" s="5" t="str">
        <f>IFERROR(__xludf.DUMMYFUNCTION("""COMPUTED_VALUE"""),"STALWART REMEDIES")</f>
        <v>STALWART REMEDIES</v>
      </c>
    </row>
    <row r="2660">
      <c r="H2660" s="5" t="str">
        <f>IFERROR(__xludf.DUMMYFUNCTION("""COMPUTED_VALUE"""),"STAMINE")</f>
        <v>STAMINE</v>
      </c>
    </row>
    <row r="2661">
      <c r="H2661" s="5" t="str">
        <f>IFERROR(__xludf.DUMMYFUNCTION("""COMPUTED_VALUE"""),"STANMARK PHARMA")</f>
        <v>STANMARK PHARMA</v>
      </c>
    </row>
    <row r="2662">
      <c r="H2662" s="5" t="str">
        <f>IFERROR(__xludf.DUMMYFUNCTION("""COMPUTED_VALUE"""),"STARELL BIOCEUTICALS PVT LTD")</f>
        <v>STARELL BIOCEUTICALS PVT LTD</v>
      </c>
    </row>
    <row r="2663">
      <c r="H2663" s="5" t="str">
        <f>IFERROR(__xludf.DUMMYFUNCTION("""COMPUTED_VALUE"""),"STARUS PHARMACEUTICALS P LTD")</f>
        <v>STARUS PHARMACEUTICALS P LTD</v>
      </c>
    </row>
    <row r="2664">
      <c r="H2664" s="5" t="str">
        <f>IFERROR(__xludf.DUMMYFUNCTION("""COMPUTED_VALUE"""),"STAUNCH HEALTH CARE")</f>
        <v>STAUNCH HEALTH CARE</v>
      </c>
    </row>
    <row r="2665">
      <c r="H2665" s="5" t="str">
        <f>IFERROR(__xludf.DUMMYFUNCTION("""COMPUTED_VALUE"""),"Staunch Health Care Pvt Ltd")</f>
        <v>Staunch Health Care Pvt Ltd</v>
      </c>
    </row>
    <row r="2666">
      <c r="H2666" s="5" t="str">
        <f>IFERROR(__xludf.DUMMYFUNCTION("""COMPUTED_VALUE"""),"STAYWELL FORMULATION P LTD")</f>
        <v>STAYWELL FORMULATION P LTD</v>
      </c>
    </row>
    <row r="2667">
      <c r="H2667" s="5" t="str">
        <f>IFERROR(__xludf.DUMMYFUNCTION("""COMPUTED_VALUE"""),"STEADFAST MEDISHIELD PVT LTD")</f>
        <v>STEADFAST MEDISHIELD PVT LTD</v>
      </c>
    </row>
    <row r="2668">
      <c r="H2668" s="5" t="str">
        <f>IFERROR(__xludf.DUMMYFUNCTION("""COMPUTED_VALUE"""),"Stedman Pharmaceuticals Pvt Ltd")</f>
        <v>Stedman Pharmaceuticals Pvt Ltd</v>
      </c>
    </row>
    <row r="2669">
      <c r="H2669" s="5" t="str">
        <f>IFERROR(__xludf.DUMMYFUNCTION("""COMPUTED_VALUE"""),"STEIGEN PHARMA")</f>
        <v>STEIGEN PHARMA</v>
      </c>
    </row>
    <row r="2670">
      <c r="H2670" s="5" t="str">
        <f>IFERROR(__xludf.DUMMYFUNCTION("""COMPUTED_VALUE"""),"STELLAR BIO LABS")</f>
        <v>STELLAR BIO LABS</v>
      </c>
    </row>
    <row r="2671">
      <c r="H2671" s="5" t="str">
        <f>IFERROR(__xludf.DUMMYFUNCTION("""COMPUTED_VALUE"""),"STENHIL LABS")</f>
        <v>STENHIL LABS</v>
      </c>
    </row>
    <row r="2672">
      <c r="H2672" s="5" t="str">
        <f>IFERROR(__xludf.DUMMYFUNCTION("""COMPUTED_VALUE"""),"STENROZ BIOTECH")</f>
        <v>STENROZ BIOTECH</v>
      </c>
    </row>
    <row r="2673">
      <c r="H2673" s="5" t="str">
        <f>IFERROR(__xludf.DUMMYFUNCTION("""COMPUTED_VALUE"""),"STEPAN LABORATORIES P LTD")</f>
        <v>STEPAN LABORATORIES P LTD</v>
      </c>
    </row>
    <row r="2674">
      <c r="H2674" s="5" t="str">
        <f>IFERROR(__xludf.DUMMYFUNCTION("""COMPUTED_VALUE"""),"STERANCO HEALTHCARE PVT LTD")</f>
        <v>STERANCO HEALTHCARE PVT LTD</v>
      </c>
    </row>
    <row r="2675">
      <c r="H2675" s="5" t="str">
        <f>IFERROR(__xludf.DUMMYFUNCTION("""COMPUTED_VALUE"""),"STERIS HEALTHCARE PVT LTD")</f>
        <v>STERIS HEALTHCARE PVT LTD</v>
      </c>
    </row>
    <row r="2676">
      <c r="H2676" s="5" t="str">
        <f>IFERROR(__xludf.DUMMYFUNCTION("""COMPUTED_VALUE"""),"Stiefel India Pvt Ltd")</f>
        <v>Stiefel India Pvt Ltd</v>
      </c>
    </row>
    <row r="2677">
      <c r="H2677" s="5" t="str">
        <f>IFERROR(__xludf.DUMMYFUNCTION("""COMPUTED_VALUE"""),"STIM BRUSHES")</f>
        <v>STIM BRUSHES</v>
      </c>
    </row>
    <row r="2678">
      <c r="H2678" s="5" t="str">
        <f>IFERROR(__xludf.DUMMYFUNCTION("""COMPUTED_VALUE"""),"Strassenburg Pharmaceuticals.Ltd")</f>
        <v>Strassenburg Pharmaceuticals.Ltd</v>
      </c>
    </row>
    <row r="2679">
      <c r="H2679" s="5" t="str">
        <f>IFERROR(__xludf.DUMMYFUNCTION("""COMPUTED_VALUE"""),"STRENGTHEN PHARMA")</f>
        <v>STRENGTHEN PHARMA</v>
      </c>
    </row>
    <row r="2680">
      <c r="H2680" s="5" t="str">
        <f>IFERROR(__xludf.DUMMYFUNCTION("""COMPUTED_VALUE"""),"STRIDES SHASUN")</f>
        <v>STRIDES SHASUN</v>
      </c>
    </row>
    <row r="2681">
      <c r="H2681" s="5" t="str">
        <f>IFERROR(__xludf.DUMMYFUNCTION("""COMPUTED_VALUE"""),"STRIDES SHASUN (AVETO)")</f>
        <v>STRIDES SHASUN (AVETO)</v>
      </c>
    </row>
    <row r="2682">
      <c r="H2682" s="5" t="str">
        <f>IFERROR(__xludf.DUMMYFUNCTION("""COMPUTED_VALUE"""),"STRIDES SHASUN (EXCEDO)")</f>
        <v>STRIDES SHASUN (EXCEDO)</v>
      </c>
    </row>
    <row r="2683">
      <c r="H2683" s="5" t="str">
        <f>IFERROR(__xludf.DUMMYFUNCTION("""COMPUTED_VALUE"""),"SUBLIME THERAPEUTICS PVT LTD")</f>
        <v>SUBLIME THERAPEUTICS PVT LTD</v>
      </c>
    </row>
    <row r="2684">
      <c r="H2684" s="5" t="str">
        <f>IFERROR(__xludf.DUMMYFUNCTION("""COMPUTED_VALUE"""),"SUBSIST PHARMA")</f>
        <v>SUBSIST PHARMA</v>
      </c>
    </row>
    <row r="2685">
      <c r="H2685" s="5" t="str">
        <f>IFERROR(__xludf.DUMMYFUNCTION("""COMPUTED_VALUE"""),"SUDHA")</f>
        <v>SUDHA</v>
      </c>
    </row>
    <row r="2686">
      <c r="H2686" s="5" t="str">
        <f>IFERROR(__xludf.DUMMYFUNCTION("""COMPUTED_VALUE"""),"SUFFUSE PHARMA")</f>
        <v>SUFFUSE PHARMA</v>
      </c>
    </row>
    <row r="2687">
      <c r="H2687" s="5" t="str">
        <f>IFERROR(__xludf.DUMMYFUNCTION("""COMPUTED_VALUE"""),"SUGANDHA LABOROTRIES")</f>
        <v>SUGANDHA LABOROTRIES</v>
      </c>
    </row>
    <row r="2688">
      <c r="H2688" s="5" t="str">
        <f>IFERROR(__xludf.DUMMYFUNCTION("""COMPUTED_VALUE"""),"SUJANIL CHEMO INDUSTRIES")</f>
        <v>SUJANIL CHEMO INDUSTRIES</v>
      </c>
    </row>
    <row r="2689">
      <c r="H2689" s="5" t="str">
        <f>IFERROR(__xludf.DUMMYFUNCTION("""COMPUTED_VALUE"""),"SUJATA MEDICOSE (OTHER PRODUCTS)")</f>
        <v>SUJATA MEDICOSE (OTHER PRODUCTS)</v>
      </c>
    </row>
    <row r="2690">
      <c r="H2690" s="5" t="str">
        <f>IFERROR(__xludf.DUMMYFUNCTION("""COMPUTED_VALUE"""),"SULZDERM PHARMA")</f>
        <v>SULZDERM PHARMA</v>
      </c>
    </row>
    <row r="2691">
      <c r="H2691" s="5" t="str">
        <f>IFERROR(__xludf.DUMMYFUNCTION("""COMPUTED_VALUE"""),"SUMANDEEP LIFE SCIENCES LLP")</f>
        <v>SUMANDEEP LIFE SCIENCES LLP</v>
      </c>
    </row>
    <row r="2692">
      <c r="H2692" s="5" t="str">
        <f>IFERROR(__xludf.DUMMYFUNCTION("""COMPUTED_VALUE"""),"SUMER HEALTHCARE")</f>
        <v>SUMER HEALTHCARE</v>
      </c>
    </row>
    <row r="2693">
      <c r="H2693" s="5" t="str">
        <f>IFERROR(__xludf.DUMMYFUNCTION("""COMPUTED_VALUE"""),"SUN (ONCOLOGY)")</f>
        <v>SUN (ONCOLOGY)</v>
      </c>
    </row>
    <row r="2694">
      <c r="H2694" s="5" t="str">
        <f>IFERROR(__xludf.DUMMYFUNCTION("""COMPUTED_VALUE"""),"SUN AJ PHARMA")</f>
        <v>SUN AJ PHARMA</v>
      </c>
    </row>
    <row r="2695">
      <c r="H2695" s="5" t="str">
        <f>IFERROR(__xludf.DUMMYFUNCTION("""COMPUTED_VALUE"""),"SUN HERITAGE PHARMA")</f>
        <v>SUN HERITAGE PHARMA</v>
      </c>
    </row>
    <row r="2696">
      <c r="H2696" s="5" t="str">
        <f>IFERROR(__xludf.DUMMYFUNCTION("""COMPUTED_VALUE"""),"SUN INDIA LABORATORIES")</f>
        <v>SUN INDIA LABORATORIES</v>
      </c>
    </row>
    <row r="2697">
      <c r="H2697" s="5" t="str">
        <f>IFERROR(__xludf.DUMMYFUNCTION("""COMPUTED_VALUE"""),"SUN LIFE SCIENCES PVT LTD")</f>
        <v>SUN LIFE SCIENCES PVT LTD</v>
      </c>
    </row>
    <row r="2698">
      <c r="H2698" s="5" t="str">
        <f>IFERROR(__xludf.DUMMYFUNCTION("""COMPUTED_VALUE"""),"SUN PHARMA (AKUNA AV)")</f>
        <v>SUN PHARMA (AKUNA AV)</v>
      </c>
    </row>
    <row r="2699">
      <c r="H2699" s="5" t="str">
        <f>IFERROR(__xludf.DUMMYFUNCTION("""COMPUTED_VALUE"""),"SUN PHARMA (AKUNA)")</f>
        <v>SUN PHARMA (AKUNA)</v>
      </c>
    </row>
    <row r="2700">
      <c r="H2700" s="5" t="str">
        <f>IFERROR(__xludf.DUMMYFUNCTION("""COMPUTED_VALUE"""),"SUN PHARMA (ALTAN)")</f>
        <v>SUN PHARMA (ALTAN)</v>
      </c>
    </row>
    <row r="2701">
      <c r="H2701" s="5" t="str">
        <f>IFERROR(__xludf.DUMMYFUNCTION("""COMPUTED_VALUE"""),"SUN PHARMA (ARIAN)")</f>
        <v>SUN PHARMA (ARIAN)</v>
      </c>
    </row>
    <row r="2702">
      <c r="H2702" s="5" t="str">
        <f>IFERROR(__xludf.DUMMYFUNCTION("""COMPUTED_VALUE"""),"SUN PHARMA (AVESTA)")</f>
        <v>SUN PHARMA (AVESTA)</v>
      </c>
    </row>
    <row r="2703">
      <c r="H2703" s="5" t="str">
        <f>IFERROR(__xludf.DUMMYFUNCTION("""COMPUTED_VALUE"""),"SUN PHARMA (AVIOR)")</f>
        <v>SUN PHARMA (AVIOR)</v>
      </c>
    </row>
    <row r="2704">
      <c r="H2704" s="5" t="str">
        <f>IFERROR(__xludf.DUMMYFUNCTION("""COMPUTED_VALUE"""),"SUN PHARMA (AZURA LIFE)")</f>
        <v>SUN PHARMA (AZURA LIFE)</v>
      </c>
    </row>
    <row r="2705">
      <c r="H2705" s="5" t="str">
        <f>IFERROR(__xludf.DUMMYFUNCTION("""COMPUTED_VALUE"""),"SUN PHARMA (AZURA)")</f>
        <v>SUN PHARMA (AZURA)</v>
      </c>
    </row>
    <row r="2706">
      <c r="H2706" s="5" t="str">
        <f>IFERROR(__xludf.DUMMYFUNCTION("""COMPUTED_VALUE"""),"SUN PHARMA (CORONUS)")</f>
        <v>SUN PHARMA (CORONUS)</v>
      </c>
    </row>
    <row r="2707">
      <c r="H2707" s="5" t="str">
        <f>IFERROR(__xludf.DUMMYFUNCTION("""COMPUTED_VALUE"""),"SUN PHARMA (INCA)")</f>
        <v>SUN PHARMA (INCA)</v>
      </c>
    </row>
    <row r="2708">
      <c r="H2708" s="5" t="str">
        <f>IFERROR(__xludf.DUMMYFUNCTION("""COMPUTED_VALUE"""),"SUN PHARMA (MAIN)")</f>
        <v>SUN PHARMA (MAIN)</v>
      </c>
    </row>
    <row r="2709">
      <c r="H2709" s="5" t="str">
        <f>IFERROR(__xludf.DUMMYFUNCTION("""COMPUTED_VALUE"""),"SUN PHARMA (MILMEL)")</f>
        <v>SUN PHARMA (MILMEL)</v>
      </c>
    </row>
    <row r="2710">
      <c r="H2710" s="5" t="str">
        <f>IFERROR(__xludf.DUMMYFUNCTION("""COMPUTED_VALUE"""),"SUN PHARMA (MILMET)")</f>
        <v>SUN PHARMA (MILMET)</v>
      </c>
    </row>
    <row r="2711">
      <c r="H2711" s="5" t="str">
        <f>IFERROR(__xludf.DUMMYFUNCTION("""COMPUTED_VALUE"""),"SUN PHARMA (ORTUS)")</f>
        <v>SUN PHARMA (ORTUS)</v>
      </c>
    </row>
    <row r="2712">
      <c r="H2712" s="5" t="str">
        <f>IFERROR(__xludf.DUMMYFUNCTION("""COMPUTED_VALUE"""),"SUN PHARMA (OTC)")</f>
        <v>SUN PHARMA (OTC)</v>
      </c>
    </row>
    <row r="2713">
      <c r="H2713" s="5" t="str">
        <f>IFERROR(__xludf.DUMMYFUNCTION("""COMPUTED_VALUE"""),"SUN PHARMA (PRIMALENT)")</f>
        <v>SUN PHARMA (PRIMALENT)</v>
      </c>
    </row>
    <row r="2714">
      <c r="H2714" s="5" t="str">
        <f>IFERROR(__xludf.DUMMYFUNCTION("""COMPUTED_VALUE"""),"SUN PHARMA (RADIANT)")</f>
        <v>SUN PHARMA (RADIANT)</v>
      </c>
    </row>
    <row r="2715">
      <c r="H2715" s="5" t="str">
        <f>IFERROR(__xludf.DUMMYFUNCTION("""COMPUTED_VALUE"""),"SUN PHARMA (SELECTA)")</f>
        <v>SUN PHARMA (SELECTA)</v>
      </c>
    </row>
    <row r="2716">
      <c r="H2716" s="5" t="str">
        <f>IFERROR(__xludf.DUMMYFUNCTION("""COMPUTED_VALUE"""),"SUN PHARMA (SENORA)")</f>
        <v>SUN PHARMA (SENORA)</v>
      </c>
    </row>
    <row r="2717">
      <c r="H2717" s="5" t="str">
        <f>IFERROR(__xludf.DUMMYFUNCTION("""COMPUTED_VALUE"""),"SUN PHARMA (SEPHEUS)")</f>
        <v>SUN PHARMA (SEPHEUS)</v>
      </c>
    </row>
    <row r="2718">
      <c r="H2718" s="5" t="str">
        <f>IFERROR(__xludf.DUMMYFUNCTION("""COMPUTED_VALUE"""),"SUN PHARMA (SIRIUS)")</f>
        <v>SUN PHARMA (SIRIUS)</v>
      </c>
    </row>
    <row r="2719">
      <c r="H2719" s="5" t="str">
        <f>IFERROR(__xludf.DUMMYFUNCTION("""COMPUTED_VALUE"""),"SUN PHARMA (SOLARES)")</f>
        <v>SUN PHARMA (SOLARES)</v>
      </c>
    </row>
    <row r="2720">
      <c r="H2720" s="5" t="str">
        <f>IFERROR(__xludf.DUMMYFUNCTION("""COMPUTED_VALUE"""),"SUN PHARMA (SPECTRA)")</f>
        <v>SUN PHARMA (SPECTRA)</v>
      </c>
    </row>
    <row r="2721">
      <c r="H2721" s="5" t="str">
        <f>IFERROR(__xludf.DUMMYFUNCTION("""COMPUTED_VALUE"""),"SUN PHARMA (SUNRION)")</f>
        <v>SUN PHARMA (SUNRION)</v>
      </c>
    </row>
    <row r="2722">
      <c r="H2722" s="5" t="str">
        <f>IFERROR(__xludf.DUMMYFUNCTION("""COMPUTED_VALUE"""),"SUN PHARMA (SYGUNS)")</f>
        <v>SUN PHARMA (SYGUNS)</v>
      </c>
    </row>
    <row r="2723">
      <c r="H2723" s="5" t="str">
        <f>IFERROR(__xludf.DUMMYFUNCTION("""COMPUTED_VALUE"""),"SUN PHARMA (SYMBIOSIS)")</f>
        <v>SUN PHARMA (SYMBIOSIS)</v>
      </c>
    </row>
    <row r="2724">
      <c r="H2724" s="5" t="str">
        <f>IFERROR(__xludf.DUMMYFUNCTION("""COMPUTED_VALUE"""),"SUN PHARMA (SYMENTA)")</f>
        <v>SUN PHARMA (SYMENTA)</v>
      </c>
    </row>
    <row r="2725">
      <c r="H2725" s="5" t="str">
        <f>IFERROR(__xludf.DUMMYFUNCTION("""COMPUTED_VALUE"""),"SUN PHARMA (SYNERGY)")</f>
        <v>SUN PHARMA (SYNERGY)</v>
      </c>
    </row>
    <row r="2726">
      <c r="H2726" s="5" t="str">
        <f>IFERROR(__xludf.DUMMYFUNCTION("""COMPUTED_VALUE"""),"SUN PHARMA (TR)")</f>
        <v>SUN PHARMA (TR)</v>
      </c>
    </row>
    <row r="2727">
      <c r="H2727" s="5" t="str">
        <f>IFERROR(__xludf.DUMMYFUNCTION("""COMPUTED_VALUE"""),"Sun Pharmaceuticals")</f>
        <v>Sun Pharmaceuticals</v>
      </c>
    </row>
    <row r="2728">
      <c r="H2728" s="5" t="str">
        <f>IFERROR(__xludf.DUMMYFUNCTION("""COMPUTED_VALUE"""),"SUN VISION HEALTHCARE")</f>
        <v>SUN VISION HEALTHCARE</v>
      </c>
    </row>
    <row r="2729">
      <c r="H2729" s="5" t="str">
        <f>IFERROR(__xludf.DUMMYFUNCTION("""COMPUTED_VALUE"""),"SUN-AJ PHARMA")</f>
        <v>SUN-AJ PHARMA</v>
      </c>
    </row>
    <row r="2730">
      <c r="H2730" s="5" t="str">
        <f>IFERROR(__xludf.DUMMYFUNCTION("""COMPUTED_VALUE"""),"SUNCARE PHARMACETUCALS")</f>
        <v>SUNCARE PHARMACETUCALS</v>
      </c>
    </row>
    <row r="2731">
      <c r="H2731" s="5" t="str">
        <f>IFERROR(__xludf.DUMMYFUNCTION("""COMPUTED_VALUE"""),"Sundyota Numandis Pharmaceuticals Pvt Ltd")</f>
        <v>Sundyota Numandis Pharmaceuticals Pvt Ltd</v>
      </c>
    </row>
    <row r="2732">
      <c r="H2732" s="5" t="str">
        <f>IFERROR(__xludf.DUMMYFUNCTION("""COMPUTED_VALUE"""),"SUNRISE PHARMACEUTICALS")</f>
        <v>SUNRISE PHARMACEUTICALS</v>
      </c>
    </row>
    <row r="2733">
      <c r="H2733" s="5" t="str">
        <f>IFERROR(__xludf.DUMMYFUNCTION("""COMPUTED_VALUE"""),"SUNUP HUMACARE PVT LTD")</f>
        <v>SUNUP HUMACARE PVT LTD</v>
      </c>
    </row>
    <row r="2734">
      <c r="H2734" s="5" t="str">
        <f>IFERROR(__xludf.DUMMYFUNCTION("""COMPUTED_VALUE"""),"SUNVET PHARMA P LTD, SIRMOR")</f>
        <v>SUNVET PHARMA P LTD, SIRMOR</v>
      </c>
    </row>
    <row r="2735">
      <c r="H2735" s="5" t="str">
        <f>IFERROR(__xludf.DUMMYFUNCTION("""COMPUTED_VALUE"""),"SUNVIJ DRUGS")</f>
        <v>SUNVIJ DRUGS</v>
      </c>
    </row>
    <row r="2736">
      <c r="H2736" s="5" t="str">
        <f>IFERROR(__xludf.DUMMYFUNCTION("""COMPUTED_VALUE"""),"Sunways India Pvt Ltd")</f>
        <v>Sunways India Pvt Ltd</v>
      </c>
    </row>
    <row r="2737">
      <c r="H2737" s="5" t="str">
        <f>IFERROR(__xludf.DUMMYFUNCTION("""COMPUTED_VALUE"""),"SUPER PHARMA")</f>
        <v>SUPER PHARMA</v>
      </c>
    </row>
    <row r="2738">
      <c r="H2738" s="5" t="str">
        <f>IFERROR(__xludf.DUMMYFUNCTION("""COMPUTED_VALUE"""),"SUPERB PHARMA")</f>
        <v>SUPERB PHARMA</v>
      </c>
    </row>
    <row r="2739">
      <c r="H2739" s="5" t="str">
        <f>IFERROR(__xludf.DUMMYFUNCTION("""COMPUTED_VALUE"""),"SUPERLATIVE HEALTHCARE")</f>
        <v>SUPERLATIVE HEALTHCARE</v>
      </c>
    </row>
    <row r="2740">
      <c r="H2740" s="5" t="str">
        <f>IFERROR(__xludf.DUMMYFUNCTION("""COMPUTED_VALUE"""),"SUPREX LABORATORIES")</f>
        <v>SUPREX LABORATORIES</v>
      </c>
    </row>
    <row r="2741">
      <c r="H2741" s="5" t="str">
        <f>IFERROR(__xludf.DUMMYFUNCTION("""COMPUTED_VALUE"""),"SURE LIFESCIENCE")</f>
        <v>SURE LIFESCIENCE</v>
      </c>
    </row>
    <row r="2742">
      <c r="H2742" s="5" t="str">
        <f>IFERROR(__xludf.DUMMYFUNCTION("""COMPUTED_VALUE"""),"SURGE PHARMACEUTICAL PVT LTD")</f>
        <v>SURGE PHARMACEUTICAL PVT LTD</v>
      </c>
    </row>
    <row r="2743">
      <c r="H2743" s="5" t="str">
        <f>IFERROR(__xludf.DUMMYFUNCTION("""COMPUTED_VALUE"""),"SURGICARE")</f>
        <v>SURGICARE</v>
      </c>
    </row>
    <row r="2744">
      <c r="H2744" s="5" t="str">
        <f>IFERROR(__xludf.DUMMYFUNCTION("""COMPUTED_VALUE"""),"SURJAN AYURVEDIC PHARMACY")</f>
        <v>SURJAN AYURVEDIC PHARMACY</v>
      </c>
    </row>
    <row r="2745">
      <c r="H2745" s="5" t="str">
        <f>IFERROR(__xludf.DUMMYFUNCTION("""COMPUTED_VALUE"""),"SURYA PHARMA AYURVEDIC")</f>
        <v>SURYA PHARMA AYURVEDIC</v>
      </c>
    </row>
    <row r="2746">
      <c r="H2746" s="5" t="str">
        <f>IFERROR(__xludf.DUMMYFUNCTION("""COMPUTED_VALUE"""),"SURYA PHARMA, VARANASI")</f>
        <v>SURYA PHARMA, VARANASI</v>
      </c>
    </row>
    <row r="2747">
      <c r="H2747" s="5" t="str">
        <f>IFERROR(__xludf.DUMMYFUNCTION("""COMPUTED_VALUE"""),"SURYA PHARMACEUTICALS")</f>
        <v>SURYA PHARMACEUTICALS</v>
      </c>
    </row>
    <row r="2748">
      <c r="H2748" s="5" t="str">
        <f>IFERROR(__xludf.DUMMYFUNCTION("""COMPUTED_VALUE"""),"SV LIFECARE")</f>
        <v>SV LIFECARE</v>
      </c>
    </row>
    <row r="2749">
      <c r="H2749" s="5" t="str">
        <f>IFERROR(__xludf.DUMMYFUNCTION("""COMPUTED_VALUE"""),"SVEN GENTECH LTD")</f>
        <v>SVEN GENTECH LTD</v>
      </c>
    </row>
    <row r="2750">
      <c r="H2750" s="5" t="str">
        <f>IFERROR(__xludf.DUMMYFUNCTION("""COMPUTED_VALUE"""),"SVIZERA")</f>
        <v>SVIZERA</v>
      </c>
    </row>
    <row r="2751">
      <c r="H2751" s="5" t="str">
        <f>IFERROR(__xludf.DUMMYFUNCTION("""COMPUTED_VALUE"""),"SWAGDARE LIFESCIENCE")</f>
        <v>SWAGDARE LIFESCIENCE</v>
      </c>
    </row>
    <row r="2752">
      <c r="H2752" s="5" t="str">
        <f>IFERROR(__xludf.DUMMYFUNCTION("""COMPUTED_VALUE"""),"SWAROOP PHARMACEUTICALS PVT LTD")</f>
        <v>SWAROOP PHARMACEUTICALS PVT LTD</v>
      </c>
    </row>
    <row r="2753">
      <c r="H2753" s="5" t="str">
        <f>IFERROR(__xludf.DUMMYFUNCTION("""COMPUTED_VALUE"""),"SWASTH BIOTECH P LTD")</f>
        <v>SWASTH BIOTECH P LTD</v>
      </c>
    </row>
    <row r="2754">
      <c r="H2754" s="5" t="str">
        <f>IFERROR(__xludf.DUMMYFUNCTION("""COMPUTED_VALUE"""),"SWASTIK FORMULATION PVT LTD")</f>
        <v>SWASTIK FORMULATION PVT LTD</v>
      </c>
    </row>
    <row r="2755">
      <c r="H2755" s="5" t="str">
        <f>IFERROR(__xludf.DUMMYFUNCTION("""COMPUTED_VALUE"""),"SWEDISH LIFESCIENCES")</f>
        <v>SWEDISH LIFESCIENCES</v>
      </c>
    </row>
    <row r="2756">
      <c r="H2756" s="5" t="str">
        <f>IFERROR(__xludf.DUMMYFUNCTION("""COMPUTED_VALUE"""),"SWEIZ PHARMACEUTICAL PVT LTD")</f>
        <v>SWEIZ PHARMACEUTICAL PVT LTD</v>
      </c>
    </row>
    <row r="2757">
      <c r="H2757" s="5" t="str">
        <f>IFERROR(__xludf.DUMMYFUNCTION("""COMPUTED_VALUE"""),"SWISS INTERNATIONAL")</f>
        <v>SWISS INTERNATIONAL</v>
      </c>
    </row>
    <row r="2758">
      <c r="H2758" s="5" t="str">
        <f>IFERROR(__xludf.DUMMYFUNCTION("""COMPUTED_VALUE"""),"SYGNUS BIOTECH")</f>
        <v>SYGNUS BIOTECH</v>
      </c>
    </row>
    <row r="2759">
      <c r="H2759" s="5" t="str">
        <f>IFERROR(__xludf.DUMMYFUNCTION("""COMPUTED_VALUE"""),"Symbiosis Lab")</f>
        <v>Symbiosis Lab</v>
      </c>
    </row>
    <row r="2760">
      <c r="H2760" s="5" t="str">
        <f>IFERROR(__xludf.DUMMYFUNCTION("""COMPUTED_VALUE"""),"SYMBIOSIS LIFESCIENCES")</f>
        <v>SYMBIOSIS LIFESCIENCES</v>
      </c>
    </row>
    <row r="2761">
      <c r="H2761" s="5" t="str">
        <f>IFERROR(__xludf.DUMMYFUNCTION("""COMPUTED_VALUE"""),"SYMBIOSIS PHARMA")</f>
        <v>SYMBIOSIS PHARMA</v>
      </c>
    </row>
    <row r="2762">
      <c r="H2762" s="5" t="str">
        <f>IFERROR(__xludf.DUMMYFUNCTION("""COMPUTED_VALUE"""),"Synchem Lab")</f>
        <v>Synchem Lab</v>
      </c>
    </row>
    <row r="2763">
      <c r="H2763" s="5" t="str">
        <f>IFERROR(__xludf.DUMMYFUNCTION("""COMPUTED_VALUE"""),"SYNCOM FORMULATIONS (INDIA) LTD")</f>
        <v>SYNCOM FORMULATIONS (INDIA) LTD</v>
      </c>
    </row>
    <row r="2764">
      <c r="H2764" s="5" t="str">
        <f>IFERROR(__xludf.DUMMYFUNCTION("""COMPUTED_VALUE"""),"SYNCOM FORMULATIONS PVT LTD")</f>
        <v>SYNCOM FORMULATIONS PVT LTD</v>
      </c>
    </row>
    <row r="2765">
      <c r="H2765" s="5" t="str">
        <f>IFERROR(__xludf.DUMMYFUNCTION("""COMPUTED_VALUE"""),"SYNDICATE PHARMA")</f>
        <v>SYNDICATE PHARMA</v>
      </c>
    </row>
    <row r="2766">
      <c r="H2766" s="5" t="str">
        <f>IFERROR(__xludf.DUMMYFUNCTION("""COMPUTED_VALUE"""),"SYNERGY")</f>
        <v>SYNERGY</v>
      </c>
    </row>
    <row r="2767">
      <c r="H2767" s="5" t="str">
        <f>IFERROR(__xludf.DUMMYFUNCTION("""COMPUTED_VALUE"""),"SYNERGY DIAGNOSTICS")</f>
        <v>SYNERGY DIAGNOSTICS</v>
      </c>
    </row>
    <row r="2768">
      <c r="H2768" s="5" t="str">
        <f>IFERROR(__xludf.DUMMYFUNCTION("""COMPUTED_VALUE"""),"SYNERGY VACCINES LLP")</f>
        <v>SYNERGY VACCINES LLP</v>
      </c>
    </row>
    <row r="2769">
      <c r="H2769" s="5" t="str">
        <f>IFERROR(__xludf.DUMMYFUNCTION("""COMPUTED_VALUE"""),"SYNODIC LIFESCIENCES P LTD")</f>
        <v>SYNODIC LIFESCIENCES P LTD</v>
      </c>
    </row>
    <row r="2770">
      <c r="H2770" s="5" t="str">
        <f>IFERROR(__xludf.DUMMYFUNCTION("""COMPUTED_VALUE"""),"SYNOPTIC LIFE SCIENCES")</f>
        <v>SYNOPTIC LIFE SCIENCES</v>
      </c>
    </row>
    <row r="2771">
      <c r="H2771" s="5" t="str">
        <f>IFERROR(__xludf.DUMMYFUNCTION("""COMPUTED_VALUE"""),"SYNOVIA LIFESCIENCES")</f>
        <v>SYNOVIA LIFESCIENCES</v>
      </c>
    </row>
    <row r="2772">
      <c r="H2772" s="5" t="str">
        <f>IFERROR(__xludf.DUMMYFUNCTION("""COMPUTED_VALUE"""),"SYNTHESIS")</f>
        <v>SYNTHESIS</v>
      </c>
    </row>
    <row r="2773">
      <c r="H2773" s="5" t="str">
        <f>IFERROR(__xludf.DUMMYFUNCTION("""COMPUTED_VALUE"""),"SYNTHIKO EXPORTS")</f>
        <v>SYNTHIKO EXPORTS</v>
      </c>
    </row>
    <row r="2774">
      <c r="H2774" s="5" t="str">
        <f>IFERROR(__xludf.DUMMYFUNCTION("""COMPUTED_VALUE"""),"Syntho Pharmaceuticals Pvt Ltd")</f>
        <v>Syntho Pharmaceuticals Pvt Ltd</v>
      </c>
    </row>
    <row r="2775">
      <c r="H2775" s="5" t="str">
        <f>IFERROR(__xludf.DUMMYFUNCTION("""COMPUTED_VALUE"""),"SYNTHOKIND PHARMACEUTICALS PVT LTD")</f>
        <v>SYNTHOKIND PHARMACEUTICALS PVT LTD</v>
      </c>
    </row>
    <row r="2776">
      <c r="H2776" s="5" t="str">
        <f>IFERROR(__xludf.DUMMYFUNCTION("""COMPUTED_VALUE"""),"SYNTONIX BIOFARM")</f>
        <v>SYNTONIX BIOFARM</v>
      </c>
    </row>
    <row r="2777">
      <c r="H2777" s="5" t="str">
        <f>IFERROR(__xludf.DUMMYFUNCTION("""COMPUTED_VALUE"""),"SYSCOM")</f>
        <v>SYSCOM</v>
      </c>
    </row>
    <row r="2778">
      <c r="H2778" s="5" t="str">
        <f>IFERROR(__xludf.DUMMYFUNCTION("""COMPUTED_VALUE"""),"SYSMED LABORATORIES PVT LTD")</f>
        <v>SYSMED LABORATORIES PVT LTD</v>
      </c>
    </row>
    <row r="2779">
      <c r="H2779" s="5" t="str">
        <f>IFERROR(__xludf.DUMMYFUNCTION("""COMPUTED_VALUE"""),"SYSTEMIC HEALTHCARE")</f>
        <v>SYSTEMIC HEALTHCARE</v>
      </c>
    </row>
    <row r="2780">
      <c r="H2780" s="5" t="str">
        <f>IFERROR(__xludf.DUMMYFUNCTION("""COMPUTED_VALUE"""),"SYSTOCHEM")</f>
        <v>SYSTOCHEM</v>
      </c>
    </row>
    <row r="2781">
      <c r="H2781" s="5" t="str">
        <f>IFERROR(__xludf.DUMMYFUNCTION("""COMPUTED_VALUE"""),"Systopic Laboratories Pvt Ltd")</f>
        <v>Systopic Laboratories Pvt Ltd</v>
      </c>
    </row>
    <row r="2782">
      <c r="H2782" s="5" t="str">
        <f>IFERROR(__xludf.DUMMYFUNCTION("""COMPUTED_VALUE"""),"TABLETS INDIA")</f>
        <v>TABLETS INDIA</v>
      </c>
    </row>
    <row r="2783">
      <c r="H2783" s="5" t="str">
        <f>IFERROR(__xludf.DUMMYFUNCTION("""COMPUTED_VALUE"""),"TABLETS INDIA (LUCID)")</f>
        <v>TABLETS INDIA (LUCID)</v>
      </c>
    </row>
    <row r="2784">
      <c r="H2784" s="5" t="str">
        <f>IFERROR(__xludf.DUMMYFUNCTION("""COMPUTED_VALUE"""),"TABLETS INDIA (TABZEN)")</f>
        <v>TABLETS INDIA (TABZEN)</v>
      </c>
    </row>
    <row r="2785">
      <c r="H2785" s="5" t="str">
        <f>IFERROR(__xludf.DUMMYFUNCTION("""COMPUTED_VALUE"""),"TABLETS INDIA (VIBRANZ)")</f>
        <v>TABLETS INDIA (VIBRANZ)</v>
      </c>
    </row>
    <row r="2786">
      <c r="H2786" s="5" t="str">
        <f>IFERROR(__xludf.DUMMYFUNCTION("""COMPUTED_VALUE"""),"Talent Healthcare")</f>
        <v>Talent Healthcare</v>
      </c>
    </row>
    <row r="2787">
      <c r="H2787" s="5" t="str">
        <f>IFERROR(__xludf.DUMMYFUNCTION("""COMPUTED_VALUE"""),"TALIN REMEDIES")</f>
        <v>TALIN REMEDIES</v>
      </c>
    </row>
    <row r="2788">
      <c r="H2788" s="5" t="str">
        <f>IFERROR(__xludf.DUMMYFUNCTION("""COMPUTED_VALUE"""),"TARAGOD PHARMACALS")</f>
        <v>TARAGOD PHARMACALS</v>
      </c>
    </row>
    <row r="2789">
      <c r="H2789" s="5" t="str">
        <f>IFERROR(__xludf.DUMMYFUNCTION("""COMPUTED_VALUE"""),"taronto")</f>
        <v>taronto</v>
      </c>
    </row>
    <row r="2790">
      <c r="H2790" s="5" t="str">
        <f>IFERROR(__xludf.DUMMYFUNCTION("""COMPUTED_VALUE"""),"TASMED LAB")</f>
        <v>TASMED LAB</v>
      </c>
    </row>
    <row r="2791">
      <c r="H2791" s="5" t="str">
        <f>IFERROR(__xludf.DUMMYFUNCTION("""COMPUTED_VALUE"""),"TASMED LAB (DERMA)")</f>
        <v>TASMED LAB (DERMA)</v>
      </c>
    </row>
    <row r="2792">
      <c r="H2792" s="5" t="str">
        <f>IFERROR(__xludf.DUMMYFUNCTION("""COMPUTED_VALUE"""),"TEBLIK DRUG P LTD")</f>
        <v>TEBLIK DRUG P LTD</v>
      </c>
    </row>
    <row r="2793">
      <c r="H2793" s="5" t="str">
        <f>IFERROR(__xludf.DUMMYFUNCTION("""COMPUTED_VALUE"""),"TECHNOPHARMA PHARMACEUTICALS")</f>
        <v>TECHNOPHARMA PHARMACEUTICALS</v>
      </c>
    </row>
    <row r="2794">
      <c r="H2794" s="5" t="str">
        <f>IFERROR(__xludf.DUMMYFUNCTION("""COMPUTED_VALUE"""),"TEETHYS INC")</f>
        <v>TEETHYS INC</v>
      </c>
    </row>
    <row r="2795">
      <c r="H2795" s="5" t="str">
        <f>IFERROR(__xludf.DUMMYFUNCTION("""COMPUTED_VALUE"""),"TEMOMAPS 100")</f>
        <v>TEMOMAPS 100</v>
      </c>
    </row>
    <row r="2796">
      <c r="H2796" s="5" t="str">
        <f>IFERROR(__xludf.DUMMYFUNCTION("""COMPUTED_VALUE"""),"TEMOMAPS 20")</f>
        <v>TEMOMAPS 20</v>
      </c>
    </row>
    <row r="2797">
      <c r="H2797" s="5" t="str">
        <f>IFERROR(__xludf.DUMMYFUNCTION("""COMPUTED_VALUE"""),"TEMOMAPS 250")</f>
        <v>TEMOMAPS 250</v>
      </c>
    </row>
    <row r="2798">
      <c r="H2798" s="5" t="str">
        <f>IFERROR(__xludf.DUMMYFUNCTION("""COMPUTED_VALUE"""),"TERAPIO PHARMA P LTD")</f>
        <v>TERAPIO PHARMA P LTD</v>
      </c>
    </row>
    <row r="2799">
      <c r="H2799" s="5" t="str">
        <f>IFERROR(__xludf.DUMMYFUNCTION("""COMPUTED_VALUE"""),"TETRAMED BIOTEK PVT LTD")</f>
        <v>TETRAMED BIOTEK PVT LTD</v>
      </c>
    </row>
    <row r="2800">
      <c r="H2800" s="5" t="str">
        <f>IFERROR(__xludf.DUMMYFUNCTION("""COMPUTED_VALUE"""),"THE ARIYANPHARMACEUTICALS")</f>
        <v>THE ARIYANPHARMACEUTICALS</v>
      </c>
    </row>
    <row r="2801">
      <c r="H2801" s="5" t="str">
        <f>IFERROR(__xludf.DUMMYFUNCTION("""COMPUTED_VALUE"""),"THE BIHARI AYURVEDIC PHARMACY")</f>
        <v>THE BIHARI AYURVEDIC PHARMACY</v>
      </c>
    </row>
    <row r="2802">
      <c r="H2802" s="5" t="str">
        <f>IFERROR(__xludf.DUMMYFUNCTION("""COMPUTED_VALUE"""),"THE TAYYEBI DAWAKHANA")</f>
        <v>THE TAYYEBI DAWAKHANA</v>
      </c>
    </row>
    <row r="2803">
      <c r="H2803" s="5" t="str">
        <f>IFERROR(__xludf.DUMMYFUNCTION("""COMPUTED_VALUE"""),"THE ZONE CHEMICAL COMPANY")</f>
        <v>THE ZONE CHEMICAL COMPANY</v>
      </c>
    </row>
    <row r="2804">
      <c r="H2804" s="5" t="str">
        <f>IFERROR(__xludf.DUMMYFUNCTION("""COMPUTED_VALUE"""),"Themis Medicare Ltd")</f>
        <v>Themis Medicare Ltd</v>
      </c>
    </row>
    <row r="2805">
      <c r="H2805" s="5" t="str">
        <f>IFERROR(__xludf.DUMMYFUNCTION("""COMPUTED_VALUE"""),"Themis Medicare Ltd (SPECIALITY)")</f>
        <v>Themis Medicare Ltd (SPECIALITY)</v>
      </c>
    </row>
    <row r="2806">
      <c r="H2806" s="5" t="str">
        <f>IFERROR(__xludf.DUMMYFUNCTION("""COMPUTED_VALUE"""),"THEOGEN P LTD")</f>
        <v>THEOGEN P LTD</v>
      </c>
    </row>
    <row r="2807">
      <c r="H2807" s="5" t="str">
        <f>IFERROR(__xludf.DUMMYFUNCTION("""COMPUTED_VALUE"""),"THERMED LIFESCIENCES")</f>
        <v>THERMED LIFESCIENCES</v>
      </c>
    </row>
    <row r="2808">
      <c r="H2808" s="5" t="str">
        <f>IFERROR(__xludf.DUMMYFUNCTION("""COMPUTED_VALUE"""),"Theta Lab Pvt Ltd")</f>
        <v>Theta Lab Pvt Ltd</v>
      </c>
    </row>
    <row r="2809">
      <c r="H2809" s="5" t="str">
        <f>IFERROR(__xludf.DUMMYFUNCTION("""COMPUTED_VALUE"""),"TIARA")</f>
        <v>TIARA</v>
      </c>
    </row>
    <row r="2810">
      <c r="H2810" s="5" t="str">
        <f>IFERROR(__xludf.DUMMYFUNCTION("""COMPUTED_VALUE"""),"Tidal Laboratories Pvt Ltd")</f>
        <v>Tidal Laboratories Pvt Ltd</v>
      </c>
    </row>
    <row r="2811">
      <c r="H2811" s="5" t="str">
        <f>IFERROR(__xludf.DUMMYFUNCTION("""COMPUTED_VALUE"""),"TILLU SOUL PHARMA")</f>
        <v>TILLU SOUL PHARMA</v>
      </c>
    </row>
    <row r="2812">
      <c r="H2812" s="5" t="str">
        <f>IFERROR(__xludf.DUMMYFUNCTION("""COMPUTED_VALUE"""),"TIRUPATI MEDICARE LTD")</f>
        <v>TIRUPATI MEDICARE LTD</v>
      </c>
    </row>
    <row r="2813">
      <c r="H2813" s="5" t="str">
        <f>IFERROR(__xludf.DUMMYFUNCTION("""COMPUTED_VALUE"""),"TISCON")</f>
        <v>TISCON</v>
      </c>
    </row>
    <row r="2814">
      <c r="H2814" s="5" t="str">
        <f>IFERROR(__xludf.DUMMYFUNCTION("""COMPUTED_VALUE"""),"TITAN (BIOSCIENCES)")</f>
        <v>TITAN (BIOSCIENCES)</v>
      </c>
    </row>
    <row r="2815">
      <c r="H2815" s="5" t="str">
        <f>IFERROR(__xludf.DUMMYFUNCTION("""COMPUTED_VALUE"""),"TITAN (FUTURA)")</f>
        <v>TITAN (FUTURA)</v>
      </c>
    </row>
    <row r="2816">
      <c r="H2816" s="5" t="str">
        <f>IFERROR(__xludf.DUMMYFUNCTION("""COMPUTED_VALUE"""),"TJS BEAUTY SECREAT")</f>
        <v>TJS BEAUTY SECREAT</v>
      </c>
    </row>
    <row r="2817">
      <c r="H2817" s="5" t="str">
        <f>IFERROR(__xludf.DUMMYFUNCTION("""COMPUTED_VALUE"""),"TN SYS MERYL PHARMA PVT LTD")</f>
        <v>TN SYS MERYL PHARMA PVT LTD</v>
      </c>
    </row>
    <row r="2818">
      <c r="H2818" s="5" t="str">
        <f>IFERROR(__xludf.DUMMYFUNCTION("""COMPUTED_VALUE"""),"TODAY REMEDIES")</f>
        <v>TODAY REMEDIES</v>
      </c>
    </row>
    <row r="2819">
      <c r="H2819" s="5" t="str">
        <f>IFERROR(__xludf.DUMMYFUNCTION("""COMPUTED_VALUE"""),"TORAINSE LIFECARE")</f>
        <v>TORAINSE LIFECARE</v>
      </c>
    </row>
    <row r="2820">
      <c r="H2820" s="5" t="str">
        <f>IFERROR(__xludf.DUMMYFUNCTION("""COMPUTED_VALUE"""),"TORINO LABOTATORIES PVT LTD")</f>
        <v>TORINO LABOTATORIES PVT LTD</v>
      </c>
    </row>
    <row r="2821">
      <c r="H2821" s="5" t="str">
        <f>IFERROR(__xludf.DUMMYFUNCTION("""COMPUTED_VALUE"""),"Torque Pharmaceuticals Pvt Ltd")</f>
        <v>Torque Pharmaceuticals Pvt Ltd</v>
      </c>
    </row>
    <row r="2822">
      <c r="H2822" s="5" t="str">
        <f>IFERROR(__xludf.DUMMYFUNCTION("""COMPUTED_VALUE"""),"TORQUE PHRAMACUETICAL")</f>
        <v>TORQUE PHRAMACUETICAL</v>
      </c>
    </row>
    <row r="2823">
      <c r="H2823" s="5" t="str">
        <f>IFERROR(__xludf.DUMMYFUNCTION("""COMPUTED_VALUE"""),"TORRENT (AXON)")</f>
        <v>TORRENT (AXON)</v>
      </c>
    </row>
    <row r="2824">
      <c r="H2824" s="5" t="str">
        <f>IFERROR(__xludf.DUMMYFUNCTION("""COMPUTED_VALUE"""),"TORRENT (AZUCA)")</f>
        <v>TORRENT (AZUCA)</v>
      </c>
    </row>
    <row r="2825">
      <c r="H2825" s="5" t="str">
        <f>IFERROR(__xludf.DUMMYFUNCTION("""COMPUTED_VALUE"""),"TORRENT (B WELL)")</f>
        <v>TORRENT (B WELL)</v>
      </c>
    </row>
    <row r="2826">
      <c r="H2826" s="5" t="str">
        <f>IFERROR(__xludf.DUMMYFUNCTION("""COMPUTED_VALUE"""),"TORRENT (B-GYNE)")</f>
        <v>TORRENT (B-GYNE)</v>
      </c>
    </row>
    <row r="2827">
      <c r="H2827" s="5" t="str">
        <f>IFERROR(__xludf.DUMMYFUNCTION("""COMPUTED_VALUE"""),"TORRENT (DELTA)")</f>
        <v>TORRENT (DELTA)</v>
      </c>
    </row>
    <row r="2828">
      <c r="H2828" s="5" t="str">
        <f>IFERROR(__xludf.DUMMYFUNCTION("""COMPUTED_VALUE"""),"TORRENT (MIND)")</f>
        <v>TORRENT (MIND)</v>
      </c>
    </row>
    <row r="2829">
      <c r="H2829" s="5" t="str">
        <f>IFERROR(__xludf.DUMMYFUNCTION("""COMPUTED_VALUE"""),"TORRENT (NEURON)")</f>
        <v>TORRENT (NEURON)</v>
      </c>
    </row>
    <row r="2830">
      <c r="H2830" s="5" t="str">
        <f>IFERROR(__xludf.DUMMYFUNCTION("""COMPUTED_VALUE"""),"TORRENT (PRIMA)")</f>
        <v>TORRENT (PRIMA)</v>
      </c>
    </row>
    <row r="2831">
      <c r="H2831" s="5" t="str">
        <f>IFERROR(__xludf.DUMMYFUNCTION("""COMPUTED_VALUE"""),"TORRENT (PSYCAN-CND)")</f>
        <v>TORRENT (PSYCAN-CND)</v>
      </c>
    </row>
    <row r="2832">
      <c r="H2832" s="5" t="str">
        <f>IFERROR(__xludf.DUMMYFUNCTION("""COMPUTED_VALUE"""),"TORRENT (PSYCAN)")</f>
        <v>TORRENT (PSYCAN)</v>
      </c>
    </row>
    <row r="2833">
      <c r="H2833" s="5" t="str">
        <f>IFERROR(__xludf.DUMMYFUNCTION("""COMPUTED_VALUE"""),"TORRENT (SENSA PV)")</f>
        <v>TORRENT (SENSA PV)</v>
      </c>
    </row>
    <row r="2834">
      <c r="H2834" s="5" t="str">
        <f>IFERROR(__xludf.DUMMYFUNCTION("""COMPUTED_VALUE"""),"TORRENT (SPARSH)")</f>
        <v>TORRENT (SPARSH)</v>
      </c>
    </row>
    <row r="2835">
      <c r="H2835" s="5" t="str">
        <f>IFERROR(__xludf.DUMMYFUNCTION("""COMPUTED_VALUE"""),"TORRENT (SPRRITUS)")</f>
        <v>TORRENT (SPRRITUS)</v>
      </c>
    </row>
    <row r="2836">
      <c r="H2836" s="5" t="str">
        <f>IFERROR(__xludf.DUMMYFUNCTION("""COMPUTED_VALUE"""),"TORRENT (Unichem-UVA)")</f>
        <v>TORRENT (Unichem-UVA)</v>
      </c>
    </row>
    <row r="2837">
      <c r="H2837" s="5" t="str">
        <f>IFERROR(__xludf.DUMMYFUNCTION("""COMPUTED_VALUE"""),"TORRENT (UNO SPRIT)")</f>
        <v>TORRENT (UNO SPRIT)</v>
      </c>
    </row>
    <row r="2838">
      <c r="H2838" s="5" t="str">
        <f>IFERROR(__xludf.DUMMYFUNCTION("""COMPUTED_VALUE"""),"TORRENT (UNO VISTA)")</f>
        <v>TORRENT (UNO VISTA)</v>
      </c>
    </row>
    <row r="2839">
      <c r="H2839" s="5" t="str">
        <f>IFERROR(__xludf.DUMMYFUNCTION("""COMPUTED_VALUE"""),"TORRENT (VISTA)")</f>
        <v>TORRENT (VISTA)</v>
      </c>
    </row>
    <row r="2840">
      <c r="H2840" s="5" t="str">
        <f>IFERROR(__xludf.DUMMYFUNCTION("""COMPUTED_VALUE"""),"TORRENT (VIVA)")</f>
        <v>TORRENT (VIVA)</v>
      </c>
    </row>
    <row r="2841">
      <c r="H2841" s="5" t="str">
        <f>IFERROR(__xludf.DUMMYFUNCTION("""COMPUTED_VALUE"""),"Torrent Pharmaceuticals Ltd")</f>
        <v>Torrent Pharmaceuticals Ltd</v>
      </c>
    </row>
    <row r="2842">
      <c r="H2842" s="5" t="str">
        <f>IFERROR(__xludf.DUMMYFUNCTION("""COMPUTED_VALUE"""),"TREATWELL PHARMA")</f>
        <v>TREATWELL PHARMA</v>
      </c>
    </row>
    <row r="2843">
      <c r="H2843" s="5" t="str">
        <f>IFERROR(__xludf.DUMMYFUNCTION("""COMPUTED_VALUE"""),"TRIBUNE PHARMACEUTICALS")</f>
        <v>TRIBUNE PHARMACEUTICALS</v>
      </c>
    </row>
    <row r="2844">
      <c r="H2844" s="5" t="str">
        <f>IFERROR(__xludf.DUMMYFUNCTION("""COMPUTED_VALUE"""),"TRIFARMA")</f>
        <v>TRIFARMA</v>
      </c>
    </row>
    <row r="2845">
      <c r="H2845" s="5" t="str">
        <f>IFERROR(__xludf.DUMMYFUNCTION("""COMPUTED_VALUE"""),"TRIGLOBAL BIOSCIENCE")</f>
        <v>TRIGLOBAL BIOSCIENCE</v>
      </c>
    </row>
    <row r="2846">
      <c r="H2846" s="5" t="str">
        <f>IFERROR(__xludf.DUMMYFUNCTION("""COMPUTED_VALUE"""),"TRIKONA PHARMACEUTICALS PVT LTD")</f>
        <v>TRIKONA PHARMACEUTICALS PVT LTD</v>
      </c>
    </row>
    <row r="2847">
      <c r="H2847" s="5" t="str">
        <f>IFERROR(__xludf.DUMMYFUNCTION("""COMPUTED_VALUE"""),"TRIO LIFESCIENCE")</f>
        <v>TRIO LIFESCIENCE</v>
      </c>
    </row>
    <row r="2848">
      <c r="H2848" s="5" t="str">
        <f>IFERROR(__xludf.DUMMYFUNCTION("""COMPUTED_VALUE"""),"TRIPADA HEALTHCARE")</f>
        <v>TRIPADA HEALTHCARE</v>
      </c>
    </row>
    <row r="2849">
      <c r="H2849" s="5" t="str">
        <f>IFERROR(__xludf.DUMMYFUNCTION("""COMPUTED_VALUE"""),"TRIPADA LIFECARE")</f>
        <v>TRIPADA LIFECARE</v>
      </c>
    </row>
    <row r="2850">
      <c r="H2850" s="5" t="str">
        <f>IFERROR(__xludf.DUMMYFUNCTION("""COMPUTED_VALUE"""),"TRITON")</f>
        <v>TRITON</v>
      </c>
    </row>
    <row r="2851">
      <c r="H2851" s="5" t="str">
        <f>IFERROR(__xludf.DUMMYFUNCTION("""COMPUTED_VALUE"""),"TRIUMPH")</f>
        <v>TRIUMPH</v>
      </c>
    </row>
    <row r="2852">
      <c r="H2852" s="5" t="str">
        <f>IFERROR(__xludf.DUMMYFUNCTION("""COMPUTED_VALUE"""),"TRIVIGYA BIOSCIENCE")</f>
        <v>TRIVIGYA BIOSCIENCE</v>
      </c>
    </row>
    <row r="2853">
      <c r="H2853" s="5" t="str">
        <f>IFERROR(__xludf.DUMMYFUNCTION("""COMPUTED_VALUE"""),"TROIKAA (ALTIUS)")</f>
        <v>TROIKAA (ALTIUS)</v>
      </c>
    </row>
    <row r="2854">
      <c r="H2854" s="5" t="str">
        <f>IFERROR(__xludf.DUMMYFUNCTION("""COMPUTED_VALUE"""),"TROIKAA (AURA)")</f>
        <v>TROIKAA (AURA)</v>
      </c>
    </row>
    <row r="2855">
      <c r="H2855" s="5" t="str">
        <f>IFERROR(__xludf.DUMMYFUNCTION("""COMPUTED_VALUE"""),"TROIKAA (CITIUS)")</f>
        <v>TROIKAA (CITIUS)</v>
      </c>
    </row>
    <row r="2856">
      <c r="H2856" s="5" t="str">
        <f>IFERROR(__xludf.DUMMYFUNCTION("""COMPUTED_VALUE"""),"TROIKAA (GENERIC)")</f>
        <v>TROIKAA (GENERIC)</v>
      </c>
    </row>
    <row r="2857">
      <c r="H2857" s="5" t="str">
        <f>IFERROR(__xludf.DUMMYFUNCTION("""COMPUTED_VALUE"""),"TROIKAA (HOS)")</f>
        <v>TROIKAA (HOS)</v>
      </c>
    </row>
    <row r="2858">
      <c r="H2858" s="5" t="str">
        <f>IFERROR(__xludf.DUMMYFUNCTION("""COMPUTED_VALUE"""),"TROIKAA (SPECTRA)")</f>
        <v>TROIKAA (SPECTRA)</v>
      </c>
    </row>
    <row r="2859">
      <c r="H2859" s="5" t="str">
        <f>IFERROR(__xludf.DUMMYFUNCTION("""COMPUTED_VALUE"""),"Troikaa Pharmaceuticals Ltd")</f>
        <v>Troikaa Pharmaceuticals Ltd</v>
      </c>
    </row>
    <row r="2860">
      <c r="H2860" s="5" t="str">
        <f>IFERROR(__xludf.DUMMYFUNCTION("""COMPUTED_VALUE"""),"TROPHIC (WELLNESS)")</f>
        <v>TROPHIC (WELLNESS)</v>
      </c>
    </row>
    <row r="2861">
      <c r="H2861" s="5" t="str">
        <f>IFERROR(__xludf.DUMMYFUNCTION("""COMPUTED_VALUE"""),"TRULAM LIFE SCIENCES")</f>
        <v>TRULAM LIFE SCIENCES</v>
      </c>
    </row>
    <row r="2862">
      <c r="H2862" s="5" t="str">
        <f>IFERROR(__xludf.DUMMYFUNCTION("""COMPUTED_VALUE"""),"TRUMAC HEALTHCARE PVT LTD")</f>
        <v>TRUMAC HEALTHCARE PVT LTD</v>
      </c>
    </row>
    <row r="2863">
      <c r="H2863" s="5" t="str">
        <f>IFERROR(__xludf.DUMMYFUNCTION("""COMPUTED_VALUE"""),"TRUWORTH HEALTHCARE")</f>
        <v>TRUWORTH HEALTHCARE</v>
      </c>
    </row>
    <row r="2864">
      <c r="H2864" s="5" t="str">
        <f>IFERROR(__xludf.DUMMYFUNCTION("""COMPUTED_VALUE"""),"TRY BIRD HEALTHCARE PVT LTD")</f>
        <v>TRY BIRD HEALTHCARE PVT LTD</v>
      </c>
    </row>
    <row r="2865">
      <c r="H2865" s="5" t="str">
        <f>IFERROR(__xludf.DUMMYFUNCTION("""COMPUTED_VALUE"""),"TTK HEALTHCARE (ENDURA)")</f>
        <v>TTK HEALTHCARE (ENDURA)</v>
      </c>
    </row>
    <row r="2866">
      <c r="H2866" s="5" t="str">
        <f>IFERROR(__xludf.DUMMYFUNCTION("""COMPUTED_VALUE"""),"TTK HEALTHCARE (NOVA)")</f>
        <v>TTK HEALTHCARE (NOVA)</v>
      </c>
    </row>
    <row r="2867">
      <c r="H2867" s="5" t="str">
        <f>IFERROR(__xludf.DUMMYFUNCTION("""COMPUTED_VALUE"""),"TTK HEALTHCARE (VENTURA GYNIC)")</f>
        <v>TTK HEALTHCARE (VENTURA GYNIC)</v>
      </c>
    </row>
    <row r="2868">
      <c r="H2868" s="5" t="str">
        <f>IFERROR(__xludf.DUMMYFUNCTION("""COMPUTED_VALUE"""),"TTK HEALTHCARE (VENTURA)")</f>
        <v>TTK HEALTHCARE (VENTURA)</v>
      </c>
    </row>
    <row r="2869">
      <c r="H2869" s="5" t="str">
        <f>IFERROR(__xludf.DUMMYFUNCTION("""COMPUTED_VALUE"""),"TTK Healthcare Ltd")</f>
        <v>TTK Healthcare Ltd</v>
      </c>
    </row>
    <row r="2870">
      <c r="H2870" s="5" t="str">
        <f>IFERROR(__xludf.DUMMYFUNCTION("""COMPUTED_VALUE"""),"TUHI LIFE SCIENCES P LTD")</f>
        <v>TUHI LIFE SCIENCES P LTD</v>
      </c>
    </row>
    <row r="2871">
      <c r="H2871" s="5" t="str">
        <f>IFERROR(__xludf.DUMMYFUNCTION("""COMPUTED_VALUE"""),"TULAS PHARMACEUTICALS PVT LTD")</f>
        <v>TULAS PHARMACEUTICALS PVT LTD</v>
      </c>
    </row>
    <row r="2872">
      <c r="H2872" s="5" t="str">
        <f>IFERROR(__xludf.DUMMYFUNCTION("""COMPUTED_VALUE"""),"TULIP LAB PVT LTD")</f>
        <v>TULIP LAB PVT LTD</v>
      </c>
    </row>
    <row r="2873">
      <c r="H2873" s="5" t="str">
        <f>IFERROR(__xludf.DUMMYFUNCTION("""COMPUTED_VALUE"""),"TUTON PHARMACEUTICALS")</f>
        <v>TUTON PHARMACEUTICALS</v>
      </c>
    </row>
    <row r="2874">
      <c r="H2874" s="5" t="str">
        <f>IFERROR(__xludf.DUMMYFUNCTION("""COMPUTED_VALUE"""),"TWEET INDIA")</f>
        <v>TWEET INDIA</v>
      </c>
    </row>
    <row r="2875">
      <c r="H2875" s="5" t="str">
        <f>IFERROR(__xludf.DUMMYFUNCTION("""COMPUTED_VALUE"""),"UA BIOTECH PVT LTD")</f>
        <v>UA BIOTECH PVT LTD</v>
      </c>
    </row>
    <row r="2876">
      <c r="H2876" s="5" t="str">
        <f>IFERROR(__xludf.DUMMYFUNCTION("""COMPUTED_VALUE"""),"UCB India Pvt Ltd")</f>
        <v>UCB India Pvt Ltd</v>
      </c>
    </row>
    <row r="2877">
      <c r="H2877" s="5" t="str">
        <f>IFERROR(__xludf.DUMMYFUNCTION("""COMPUTED_VALUE"""),"ULTRATECH PHARMACEUTICALS")</f>
        <v>ULTRATECH PHARMACEUTICALS</v>
      </c>
    </row>
    <row r="2878">
      <c r="H2878" s="5" t="str">
        <f>IFERROR(__xludf.DUMMYFUNCTION("""COMPUTED_VALUE"""),"ULTRON PHARMA PVT TD")</f>
        <v>ULTRON PHARMA PVT TD</v>
      </c>
    </row>
    <row r="2879">
      <c r="H2879" s="5" t="str">
        <f>IFERROR(__xludf.DUMMYFUNCTION("""COMPUTED_VALUE"""),"UMARK PHARMACEUTICALS")</f>
        <v>UMARK PHARMACEUTICALS</v>
      </c>
    </row>
    <row r="2880">
      <c r="H2880" s="5" t="str">
        <f>IFERROR(__xludf.DUMMYFUNCTION("""COMPUTED_VALUE"""),"UNANI AYUR SEWA ASHRAM")</f>
        <v>UNANI AYUR SEWA ASHRAM</v>
      </c>
    </row>
    <row r="2881">
      <c r="H2881" s="5" t="str">
        <f>IFERROR(__xludf.DUMMYFUNCTION("""COMPUTED_VALUE"""),"UNI PLUS HEALTHCARE INDIA PVT LTD")</f>
        <v>UNI PLUS HEALTHCARE INDIA PVT LTD</v>
      </c>
    </row>
    <row r="2882">
      <c r="H2882" s="5" t="str">
        <f>IFERROR(__xludf.DUMMYFUNCTION("""COMPUTED_VALUE"""),"UNIALL PHARMA")</f>
        <v>UNIALL PHARMA</v>
      </c>
    </row>
    <row r="2883">
      <c r="H2883" s="5" t="str">
        <f>IFERROR(__xludf.DUMMYFUNCTION("""COMPUTED_VALUE"""),"UNIASTHA LIFE SCIENCES,SOLAN")</f>
        <v>UNIASTHA LIFE SCIENCES,SOLAN</v>
      </c>
    </row>
    <row r="2884">
      <c r="H2884" s="5" t="str">
        <f>IFERROR(__xludf.DUMMYFUNCTION("""COMPUTED_VALUE"""),"UNICHEM (GENERIC)")</f>
        <v>UNICHEM (GENERIC)</v>
      </c>
    </row>
    <row r="2885">
      <c r="H2885" s="5" t="str">
        <f>IFERROR(__xludf.DUMMYFUNCTION("""COMPUTED_VALUE"""),"Unichem Laboratories (LIFECARE)")</f>
        <v>Unichem Laboratories (LIFECARE)</v>
      </c>
    </row>
    <row r="2886">
      <c r="H2886" s="5" t="str">
        <f>IFERROR(__xludf.DUMMYFUNCTION("""COMPUTED_VALUE"""),"UNICHEM LABORATORIES LTD")</f>
        <v>UNICHEM LABORATORIES LTD</v>
      </c>
    </row>
    <row r="2887">
      <c r="H2887" s="5" t="str">
        <f>IFERROR(__xludf.DUMMYFUNCTION("""COMPUTED_VALUE"""),"Unicure India Pvt Ltd")</f>
        <v>Unicure India Pvt Ltd</v>
      </c>
    </row>
    <row r="2888">
      <c r="H2888" s="5" t="str">
        <f>IFERROR(__xludf.DUMMYFUNCTION("""COMPUTED_VALUE"""),"Unicure Remedies Pvt Ltd")</f>
        <v>Unicure Remedies Pvt Ltd</v>
      </c>
    </row>
    <row r="2889">
      <c r="H2889" s="5" t="str">
        <f>IFERROR(__xludf.DUMMYFUNCTION("""COMPUTED_VALUE"""),"UNIFAITH  BIOTECH P LTD")</f>
        <v>UNIFAITH  BIOTECH P LTD</v>
      </c>
    </row>
    <row r="2890">
      <c r="H2890" s="5" t="str">
        <f>IFERROR(__xludf.DUMMYFUNCTION("""COMPUTED_VALUE"""),"UNIFARMA HERBALS")</f>
        <v>UNIFARMA HERBALS</v>
      </c>
    </row>
    <row r="2891">
      <c r="H2891" s="5" t="str">
        <f>IFERROR(__xludf.DUMMYFUNCTION("""COMPUTED_VALUE"""),"UNIJULES LIFESCIENCES (UNIVERSAL MEDIKIT)")</f>
        <v>UNIJULES LIFESCIENCES (UNIVERSAL MEDIKIT)</v>
      </c>
    </row>
    <row r="2892">
      <c r="H2892" s="5" t="str">
        <f>IFERROR(__xludf.DUMMYFUNCTION("""COMPUTED_VALUE"""),"UNIKIND PHARMA")</f>
        <v>UNIKIND PHARMA</v>
      </c>
    </row>
    <row r="2893">
      <c r="H2893" s="5" t="str">
        <f>IFERROR(__xludf.DUMMYFUNCTION("""COMPUTED_VALUE"""),"Unimarck Healthcare Ltd")</f>
        <v>Unimarck Healthcare Ltd</v>
      </c>
    </row>
    <row r="2894">
      <c r="H2894" s="5" t="str">
        <f>IFERROR(__xludf.DUMMYFUNCTION("""COMPUTED_VALUE"""),"UNIMARCK PHARMA INDIA LTD")</f>
        <v>UNIMARCK PHARMA INDIA LTD</v>
      </c>
    </row>
    <row r="2895">
      <c r="H2895" s="5" t="str">
        <f>IFERROR(__xludf.DUMMYFUNCTION("""COMPUTED_VALUE"""),"Unimark Remedies Ltd")</f>
        <v>Unimark Remedies Ltd</v>
      </c>
    </row>
    <row r="2896">
      <c r="H2896" s="5" t="str">
        <f>IFERROR(__xludf.DUMMYFUNCTION("""COMPUTED_VALUE"""),"UNINOR BIOTECH")</f>
        <v>UNINOR BIOTECH</v>
      </c>
    </row>
    <row r="2897">
      <c r="H2897" s="5" t="str">
        <f>IFERROR(__xludf.DUMMYFUNCTION("""COMPUTED_VALUE"""),"UNIPEX")</f>
        <v>UNIPEX</v>
      </c>
    </row>
    <row r="2898">
      <c r="H2898" s="5" t="str">
        <f>IFERROR(__xludf.DUMMYFUNCTION("""COMPUTED_VALUE"""),"UNIQUE DRUGS LAB NEEMANVAS")</f>
        <v>UNIQUE DRUGS LAB NEEMANVAS</v>
      </c>
    </row>
    <row r="2899">
      <c r="H2899" s="5" t="str">
        <f>IFERROR(__xludf.DUMMYFUNCTION("""COMPUTED_VALUE"""),"UNIROSE PHARMA PVT LTD")</f>
        <v>UNIROSE PHARMA PVT LTD</v>
      </c>
    </row>
    <row r="2900">
      <c r="H2900" s="5" t="str">
        <f>IFERROR(__xludf.DUMMYFUNCTION("""COMPUTED_VALUE"""),"UNISAFE BIOSCIENCE")</f>
        <v>UNISAFE BIOSCIENCE</v>
      </c>
    </row>
    <row r="2901">
      <c r="H2901" s="5" t="str">
        <f>IFERROR(__xludf.DUMMYFUNCTION("""COMPUTED_VALUE"""),"UNISANKYO")</f>
        <v>UNISANKYO</v>
      </c>
    </row>
    <row r="2902">
      <c r="H2902" s="5" t="str">
        <f>IFERROR(__xludf.DUMMYFUNCTION("""COMPUTED_VALUE"""),"Unison Pharmaceutical (UNICARE)")</f>
        <v>Unison Pharmaceutical (UNICARE)</v>
      </c>
    </row>
    <row r="2903">
      <c r="H2903" s="5" t="str">
        <f>IFERROR(__xludf.DUMMYFUNCTION("""COMPUTED_VALUE"""),"UNISON PHARMACEUTICALS PVT LTD")</f>
        <v>UNISON PHARMACEUTICALS PVT LTD</v>
      </c>
    </row>
    <row r="2904">
      <c r="H2904" s="5" t="str">
        <f>IFERROR(__xludf.DUMMYFUNCTION("""COMPUTED_VALUE"""),"UNISURE BIOTECH")</f>
        <v>UNISURE BIOTECH</v>
      </c>
    </row>
    <row r="2905">
      <c r="H2905" s="5" t="str">
        <f>IFERROR(__xludf.DUMMYFUNCTION("""COMPUTED_VALUE"""),"UNITECH HEALTHCARE")</f>
        <v>UNITECH HEALTHCARE</v>
      </c>
    </row>
    <row r="2906">
      <c r="H2906" s="5" t="str">
        <f>IFERROR(__xludf.DUMMYFUNCTION("""COMPUTED_VALUE"""),"UNITECH HEALTHCARE P LTD")</f>
        <v>UNITECH HEALTHCARE P LTD</v>
      </c>
    </row>
    <row r="2907">
      <c r="H2907" s="5" t="str">
        <f>IFERROR(__xludf.DUMMYFUNCTION("""COMPUTED_VALUE"""),"UNITED BIOTECH")</f>
        <v>UNITED BIOTECH</v>
      </c>
    </row>
    <row r="2908">
      <c r="H2908" s="5" t="str">
        <f>IFERROR(__xludf.DUMMYFUNCTION("""COMPUTED_VALUE"""),"UNITED BIOTECH (CRITICAL CARE)")</f>
        <v>UNITED BIOTECH (CRITICAL CARE)</v>
      </c>
    </row>
    <row r="2909">
      <c r="H2909" s="5" t="str">
        <f>IFERROR(__xludf.DUMMYFUNCTION("""COMPUTED_VALUE"""),"UNITED BIOTECH (HYGEA DIVISION)")</f>
        <v>UNITED BIOTECH (HYGEA DIVISION)</v>
      </c>
    </row>
    <row r="2910">
      <c r="H2910" s="5" t="str">
        <f>IFERROR(__xludf.DUMMYFUNCTION("""COMPUTED_VALUE"""),"UNITED BIOTECH (SPECIALTY DIVISION)")</f>
        <v>UNITED BIOTECH (SPECIALTY DIVISION)</v>
      </c>
    </row>
    <row r="2911">
      <c r="H2911" s="5" t="str">
        <f>IFERROR(__xludf.DUMMYFUNCTION("""COMPUTED_VALUE"""),"UNIVENTIS")</f>
        <v>UNIVENTIS</v>
      </c>
    </row>
    <row r="2912">
      <c r="H2912" s="5" t="str">
        <f>IFERROR(__xludf.DUMMYFUNCTION("""COMPUTED_VALUE"""),"UNIVENTIS MEDICARE LTD")</f>
        <v>UNIVENTIS MEDICARE LTD</v>
      </c>
    </row>
    <row r="2913">
      <c r="H2913" s="5" t="str">
        <f>IFERROR(__xludf.DUMMYFUNCTION("""COMPUTED_VALUE"""),"UNIVERSAL BIOSCIENCES (GENERIC)")</f>
        <v>UNIVERSAL BIOSCIENCES (GENERIC)</v>
      </c>
    </row>
    <row r="2914">
      <c r="H2914" s="5" t="str">
        <f>IFERROR(__xludf.DUMMYFUNCTION("""COMPUTED_VALUE"""),"Universal Drug House Pvt Ltd")</f>
        <v>Universal Drug House Pvt Ltd</v>
      </c>
    </row>
    <row r="2915">
      <c r="H2915" s="5" t="str">
        <f>IFERROR(__xludf.DUMMYFUNCTION("""COMPUTED_VALUE"""),"UNIVERSAL HELTHCARE BADDI")</f>
        <v>UNIVERSAL HELTHCARE BADDI</v>
      </c>
    </row>
    <row r="2916">
      <c r="H2916" s="5" t="str">
        <f>IFERROR(__xludf.DUMMYFUNCTION("""COMPUTED_VALUE"""),"UNIVERSAL LIFE SCIENCES (GENERIC)")</f>
        <v>UNIVERSAL LIFE SCIENCES (GENERIC)</v>
      </c>
    </row>
    <row r="2917">
      <c r="H2917" s="5" t="str">
        <f>IFERROR(__xludf.DUMMYFUNCTION("""COMPUTED_VALUE"""),"UNIVERSAL LTD")</f>
        <v>UNIVERSAL LTD</v>
      </c>
    </row>
    <row r="2918">
      <c r="H2918" s="5" t="str">
        <f>IFERROR(__xludf.DUMMYFUNCTION("""COMPUTED_VALUE"""),"Universal Medikit")</f>
        <v>Universal Medikit</v>
      </c>
    </row>
    <row r="2919">
      <c r="H2919" s="5" t="str">
        <f>IFERROR(__xludf.DUMMYFUNCTION("""COMPUTED_VALUE"""),"Universal Twin Labs (GENERIC)")</f>
        <v>Universal Twin Labs (GENERIC)</v>
      </c>
    </row>
    <row r="2920">
      <c r="H2920" s="5" t="str">
        <f>IFERROR(__xludf.DUMMYFUNCTION("""COMPUTED_VALUE"""),"UNIVICTOR HEALTHCARE")</f>
        <v>UNIVICTOR HEALTHCARE</v>
      </c>
    </row>
    <row r="2921">
      <c r="H2921" s="5" t="str">
        <f>IFERROR(__xludf.DUMMYFUNCTION("""COMPUTED_VALUE"""),"UNIX")</f>
        <v>UNIX</v>
      </c>
    </row>
    <row r="2922">
      <c r="H2922" s="5" t="str">
        <f>IFERROR(__xludf.DUMMYFUNCTION("""COMPUTED_VALUE"""),"UNIZA HEALTHCARE")</f>
        <v>UNIZA HEALTHCARE</v>
      </c>
    </row>
    <row r="2923">
      <c r="H2923" s="5" t="str">
        <f>IFERROR(__xludf.DUMMYFUNCTION("""COMPUTED_VALUE"""),"UNJHA PHARMACY")</f>
        <v>UNJHA PHARMACY</v>
      </c>
    </row>
    <row r="2924">
      <c r="H2924" s="5" t="str">
        <f>IFERROR(__xludf.DUMMYFUNCTION("""COMPUTED_VALUE"""),"UPJONE LAB PVT LTD")</f>
        <v>UPJONE LAB PVT LTD</v>
      </c>
    </row>
    <row r="2925">
      <c r="H2925" s="5" t="str">
        <f>IFERROR(__xludf.DUMMYFUNCTION("""COMPUTED_VALUE"""),"URIHK PHARMACEUTICAL PVT LTD")</f>
        <v>URIHK PHARMACEUTICAL PVT LTD</v>
      </c>
    </row>
    <row r="2926">
      <c r="H2926" s="5" t="str">
        <f>IFERROR(__xludf.DUMMYFUNCTION("""COMPUTED_VALUE"""),"URMED PHARMACEUTICAL")</f>
        <v>URMED PHARMACEUTICAL</v>
      </c>
    </row>
    <row r="2927">
      <c r="H2927" s="5" t="str">
        <f>IFERROR(__xludf.DUMMYFUNCTION("""COMPUTED_VALUE"""),"USV (CENTRA)")</f>
        <v>USV (CENTRA)</v>
      </c>
    </row>
    <row r="2928">
      <c r="H2928" s="5" t="str">
        <f>IFERROR(__xludf.DUMMYFUNCTION("""COMPUTED_VALUE"""),"USV (CHANNEL)")</f>
        <v>USV (CHANNEL)</v>
      </c>
    </row>
    <row r="2929">
      <c r="H2929" s="5" t="str">
        <f>IFERROR(__xludf.DUMMYFUNCTION("""COMPUTED_VALUE"""),"USV (CLASSIC)")</f>
        <v>USV (CLASSIC)</v>
      </c>
    </row>
    <row r="2930">
      <c r="H2930" s="5" t="str">
        <f>IFERROR(__xludf.DUMMYFUNCTION("""COMPUTED_VALUE"""),"USV (CONDOR)")</f>
        <v>USV (CONDOR)</v>
      </c>
    </row>
    <row r="2931">
      <c r="H2931" s="5" t="str">
        <f>IFERROR(__xludf.DUMMYFUNCTION("""COMPUTED_VALUE"""),"USV (CONQUER)")</f>
        <v>USV (CONQUER)</v>
      </c>
    </row>
    <row r="2932">
      <c r="H2932" s="5" t="str">
        <f>IFERROR(__xludf.DUMMYFUNCTION("""COMPUTED_VALUE"""),"USV (CORONA)")</f>
        <v>USV (CORONA)</v>
      </c>
    </row>
    <row r="2933">
      <c r="H2933" s="5" t="str">
        <f>IFERROR(__xludf.DUMMYFUNCTION("""COMPUTED_VALUE"""),"USV (CORVETT)")</f>
        <v>USV (CORVETT)</v>
      </c>
    </row>
    <row r="2934">
      <c r="H2934" s="5" t="str">
        <f>IFERROR(__xludf.DUMMYFUNCTION("""COMPUTED_VALUE"""),"USV (COSMETICS)")</f>
        <v>USV (COSMETICS)</v>
      </c>
    </row>
    <row r="2935">
      <c r="H2935" s="5" t="str">
        <f>IFERROR(__xludf.DUMMYFUNCTION("""COMPUTED_VALUE"""),"USV (CRESCENDO)")</f>
        <v>USV (CRESCENDO)</v>
      </c>
    </row>
    <row r="2936">
      <c r="H2936" s="5" t="str">
        <f>IFERROR(__xludf.DUMMYFUNCTION("""COMPUTED_VALUE"""),"USV (CREST)")</f>
        <v>USV (CREST)</v>
      </c>
    </row>
    <row r="2937">
      <c r="H2937" s="5" t="str">
        <f>IFERROR(__xludf.DUMMYFUNCTION("""COMPUTED_VALUE"""),"USV (GENERAL)")</f>
        <v>USV (GENERAL)</v>
      </c>
    </row>
    <row r="2938">
      <c r="H2938" s="5" t="str">
        <f>IFERROR(__xludf.DUMMYFUNCTION("""COMPUTED_VALUE"""),"USV (LIFEON)")</f>
        <v>USV (LIFEON)</v>
      </c>
    </row>
    <row r="2939">
      <c r="H2939" s="5" t="str">
        <f>IFERROR(__xludf.DUMMYFUNCTION("""COMPUTED_VALUE"""),"USV (MULTI SPECIALITY)")</f>
        <v>USV (MULTI SPECIALITY)</v>
      </c>
    </row>
    <row r="2940">
      <c r="H2940" s="5" t="str">
        <f>IFERROR(__xludf.DUMMYFUNCTION("""COMPUTED_VALUE"""),"USV (TAZLOC TEAM)")</f>
        <v>USV (TAZLOC TEAM)</v>
      </c>
    </row>
    <row r="2941">
      <c r="H2941" s="5" t="str">
        <f>IFERROR(__xludf.DUMMYFUNCTION("""COMPUTED_VALUE"""),"USV Ltd")</f>
        <v>USV Ltd</v>
      </c>
    </row>
    <row r="2942">
      <c r="H2942" s="5" t="str">
        <f>IFERROR(__xludf.DUMMYFUNCTION("""COMPUTED_VALUE"""),"UTH Healthcare")</f>
        <v>UTH Healthcare</v>
      </c>
    </row>
    <row r="2943">
      <c r="H2943" s="5" t="str">
        <f>IFERROR(__xludf.DUMMYFUNCTION("""COMPUTED_VALUE"""),"UTLTRAMED")</f>
        <v>UTLTRAMED</v>
      </c>
    </row>
    <row r="2944">
      <c r="H2944" s="5" t="str">
        <f>IFERROR(__xludf.DUMMYFUNCTION("""COMPUTED_VALUE"""),"VAARDAAN")</f>
        <v>VAARDAAN</v>
      </c>
    </row>
    <row r="2945">
      <c r="H2945" s="5" t="str">
        <f>IFERROR(__xludf.DUMMYFUNCTION("""COMPUTED_VALUE"""),"VADNARE CHEMICAL WORKS")</f>
        <v>VADNARE CHEMICAL WORKS</v>
      </c>
    </row>
    <row r="2946">
      <c r="H2946" s="5" t="str">
        <f>IFERROR(__xludf.DUMMYFUNCTION("""COMPUTED_VALUE"""),"VADNARE CHEMICALS")</f>
        <v>VADNARE CHEMICALS</v>
      </c>
    </row>
    <row r="2947">
      <c r="H2947" s="5" t="str">
        <f>IFERROR(__xludf.DUMMYFUNCTION("""COMPUTED_VALUE"""),"VAIDRISHI LABORATORIES")</f>
        <v>VAIDRISHI LABORATORIES</v>
      </c>
    </row>
    <row r="2948">
      <c r="H2948" s="5" t="str">
        <f>IFERROR(__xludf.DUMMYFUNCTION("""COMPUTED_VALUE"""),"VAIDYA PATANKAR PHARMACY")</f>
        <v>VAIDYA PATANKAR PHARMACY</v>
      </c>
    </row>
    <row r="2949">
      <c r="H2949" s="5" t="str">
        <f>IFERROR(__xludf.DUMMYFUNCTION("""COMPUTED_VALUE"""),"VALCRET")</f>
        <v>VALCRET</v>
      </c>
    </row>
    <row r="2950">
      <c r="H2950" s="5" t="str">
        <f>IFERROR(__xludf.DUMMYFUNCTION("""COMPUTED_VALUE"""),"VALENS PHARMACEUTICALS")</f>
        <v>VALENS PHARMACEUTICALS</v>
      </c>
    </row>
    <row r="2951">
      <c r="H2951" s="5" t="str">
        <f>IFERROR(__xludf.DUMMYFUNCTION("""COMPUTED_VALUE"""),"VALLABH VIJAY COMPANY")</f>
        <v>VALLABH VIJAY COMPANY</v>
      </c>
    </row>
    <row r="2952">
      <c r="H2952" s="5" t="str">
        <f>IFERROR(__xludf.DUMMYFUNCTION("""COMPUTED_VALUE"""),"VALLEY PHARMA")</f>
        <v>VALLEY PHARMA</v>
      </c>
    </row>
    <row r="2953">
      <c r="H2953" s="5" t="str">
        <f>IFERROR(__xludf.DUMMYFUNCTION("""COMPUTED_VALUE"""),"VAMSI")</f>
        <v>VAMSI</v>
      </c>
    </row>
    <row r="2954">
      <c r="H2954" s="5" t="str">
        <f>IFERROR(__xludf.DUMMYFUNCTION("""COMPUTED_VALUE"""),"Vanguard Therapeutics Pvt Ltd")</f>
        <v>Vanguard Therapeutics Pvt Ltd</v>
      </c>
    </row>
    <row r="2955">
      <c r="H2955" s="5" t="str">
        <f>IFERROR(__xludf.DUMMYFUNCTION("""COMPUTED_VALUE"""),"VANMART PHARMACEUTICALS &amp; BIOTECH")</f>
        <v>VANMART PHARMACEUTICALS &amp; BIOTECH</v>
      </c>
    </row>
    <row r="2956">
      <c r="H2956" s="5" t="str">
        <f>IFERROR(__xludf.DUMMYFUNCTION("""COMPUTED_VALUE"""),"VARDHAN HEALTH CARE")</f>
        <v>VARDHAN HEALTH CARE</v>
      </c>
    </row>
    <row r="2957">
      <c r="H2957" s="5" t="str">
        <f>IFERROR(__xludf.DUMMYFUNCTION("""COMPUTED_VALUE"""),"VARENYAM HEALTHCARE")</f>
        <v>VARENYAM HEALTHCARE</v>
      </c>
    </row>
    <row r="2958">
      <c r="H2958" s="5" t="str">
        <f>IFERROR(__xludf.DUMMYFUNCTION("""COMPUTED_VALUE"""),"VARLIN BIOSCIENCE")</f>
        <v>VARLIN BIOSCIENCE</v>
      </c>
    </row>
    <row r="2959">
      <c r="H2959" s="5" t="str">
        <f>IFERROR(__xludf.DUMMYFUNCTION("""COMPUTED_VALUE"""),"Vasu Pharmaceuticals Pvt Ltd")</f>
        <v>Vasu Pharmaceuticals Pvt Ltd</v>
      </c>
    </row>
    <row r="2960">
      <c r="H2960" s="5" t="str">
        <f>IFERROR(__xludf.DUMMYFUNCTION("""COMPUTED_VALUE"""),"VASU SPORTS INTERNATIONAL")</f>
        <v>VASU SPORTS INTERNATIONAL</v>
      </c>
    </row>
    <row r="2961">
      <c r="H2961" s="5" t="str">
        <f>IFERROR(__xludf.DUMMYFUNCTION("""COMPUTED_VALUE"""),"VAZES CO OFFICE PILLS")</f>
        <v>VAZES CO OFFICE PILLS</v>
      </c>
    </row>
    <row r="2962">
      <c r="H2962" s="5" t="str">
        <f>IFERROR(__xludf.DUMMYFUNCTION("""COMPUTED_VALUE"""),"VEANA CR")</f>
        <v>VEANA CR</v>
      </c>
    </row>
    <row r="2963">
      <c r="H2963" s="5" t="str">
        <f>IFERROR(__xludf.DUMMYFUNCTION("""COMPUTED_VALUE"""),"VEE REMEDIES")</f>
        <v>VEE REMEDIES</v>
      </c>
    </row>
    <row r="2964">
      <c r="H2964" s="5" t="str">
        <f>IFERROR(__xludf.DUMMYFUNCTION("""COMPUTED_VALUE"""),"VEEMAL")</f>
        <v>VEEMAL</v>
      </c>
    </row>
    <row r="2965">
      <c r="H2965" s="5" t="str">
        <f>IFERROR(__xludf.DUMMYFUNCTION("""COMPUTED_VALUE"""),"VELGRET HEALTHCARE")</f>
        <v>VELGRET HEALTHCARE</v>
      </c>
    </row>
    <row r="2966">
      <c r="H2966" s="5" t="str">
        <f>IFERROR(__xludf.DUMMYFUNCTION("""COMPUTED_VALUE"""),"VELITE")</f>
        <v>VELITE</v>
      </c>
    </row>
    <row r="2967">
      <c r="H2967" s="5" t="str">
        <f>IFERROR(__xludf.DUMMYFUNCTION("""COMPUTED_VALUE"""),"VELLINTON HEALTHCARE")</f>
        <v>VELLINTON HEALTHCARE</v>
      </c>
    </row>
    <row r="2968">
      <c r="H2968" s="5" t="str">
        <f>IFERROR(__xludf.DUMMYFUNCTION("""COMPUTED_VALUE"""),"VENISTRO BIOTECH")</f>
        <v>VENISTRO BIOTECH</v>
      </c>
    </row>
    <row r="2969">
      <c r="H2969" s="5" t="str">
        <f>IFERROR(__xludf.DUMMYFUNCTION("""COMPUTED_VALUE"""),"VENKY'S NUTRITION")</f>
        <v>VENKY'S NUTRITION</v>
      </c>
    </row>
    <row r="2970">
      <c r="H2970" s="5" t="str">
        <f>IFERROR(__xludf.DUMMYFUNCTION("""COMPUTED_VALUE"""),"VENSAT BIO")</f>
        <v>VENSAT BIO</v>
      </c>
    </row>
    <row r="2971">
      <c r="H2971" s="5" t="str">
        <f>IFERROR(__xludf.DUMMYFUNCTION("""COMPUTED_VALUE"""),"Venus Remedies Ltd")</f>
        <v>Venus Remedies Ltd</v>
      </c>
    </row>
    <row r="2972">
      <c r="H2972" s="5" t="str">
        <f>IFERROR(__xludf.DUMMYFUNCTION("""COMPUTED_VALUE"""),"Veritaz Healthcare Ltd")</f>
        <v>Veritaz Healthcare Ltd</v>
      </c>
    </row>
    <row r="2973">
      <c r="H2973" s="5" t="str">
        <f>IFERROR(__xludf.DUMMYFUNCTION("""COMPUTED_VALUE"""),"VERITAZHEALTHCARE (COSMOCARE)")</f>
        <v>VERITAZHEALTHCARE (COSMOCARE)</v>
      </c>
    </row>
    <row r="2974">
      <c r="H2974" s="5" t="str">
        <f>IFERROR(__xludf.DUMMYFUNCTION("""COMPUTED_VALUE"""),"VERIZON PHARMA")</f>
        <v>VERIZON PHARMA</v>
      </c>
    </row>
    <row r="2975">
      <c r="H2975" s="5" t="str">
        <f>IFERROR(__xludf.DUMMYFUNCTION("""COMPUTED_VALUE"""),"VERNA HEALTHCARE (GENERIC)")</f>
        <v>VERNA HEALTHCARE (GENERIC)</v>
      </c>
    </row>
    <row r="2976">
      <c r="H2976" s="5" t="str">
        <f>IFERROR(__xludf.DUMMYFUNCTION("""COMPUTED_VALUE"""),"VERRILL HEALTHCARE")</f>
        <v>VERRILL HEALTHCARE</v>
      </c>
    </row>
    <row r="2977">
      <c r="H2977" s="5" t="str">
        <f>IFERROR(__xludf.DUMMYFUNCTION("""COMPUTED_VALUE"""),"VERTEX PHARMACEUTICALS")</f>
        <v>VERTEX PHARMACEUTICALS</v>
      </c>
    </row>
    <row r="2978">
      <c r="H2978" s="5" t="str">
        <f>IFERROR(__xludf.DUMMYFUNCTION("""COMPUTED_VALUE"""),"VHB LIFESCIENCES")</f>
        <v>VHB LIFESCIENCES</v>
      </c>
    </row>
    <row r="2979">
      <c r="H2979" s="5" t="str">
        <f>IFERROR(__xludf.DUMMYFUNCTION("""COMPUTED_VALUE"""),"VIBCARE PHARMA PVT LTD")</f>
        <v>VIBCARE PHARMA PVT LTD</v>
      </c>
    </row>
    <row r="2980">
      <c r="H2980" s="5" t="str">
        <f>IFERROR(__xludf.DUMMYFUNCTION("""COMPUTED_VALUE"""),"VIBDRUGS BIOSCIENCES")</f>
        <v>VIBDRUGS BIOSCIENCES</v>
      </c>
    </row>
    <row r="2981">
      <c r="H2981" s="5" t="str">
        <f>IFERROR(__xludf.DUMMYFUNCTION("""COMPUTED_VALUE"""),"VIBGYOR DRUGS PVT LTD")</f>
        <v>VIBGYOR DRUGS PVT LTD</v>
      </c>
    </row>
    <row r="2982">
      <c r="H2982" s="5" t="str">
        <f>IFERROR(__xludf.DUMMYFUNCTION("""COMPUTED_VALUE"""),"VICCO LABS")</f>
        <v>VICCO LABS</v>
      </c>
    </row>
    <row r="2983">
      <c r="H2983" s="5" t="str">
        <f>IFERROR(__xludf.DUMMYFUNCTION("""COMPUTED_VALUE"""),"VICTOR LIFE SCIENCES")</f>
        <v>VICTOR LIFE SCIENCES</v>
      </c>
    </row>
    <row r="2984">
      <c r="H2984" s="5" t="str">
        <f>IFERROR(__xludf.DUMMYFUNCTION("""COMPUTED_VALUE"""),"VIDYA JAGANNATH G. DWIVEDI")</f>
        <v>VIDYA JAGANNATH G. DWIVEDI</v>
      </c>
    </row>
    <row r="2985">
      <c r="H2985" s="5" t="str">
        <f>IFERROR(__xludf.DUMMYFUNCTION("""COMPUTED_VALUE"""),"VIKAS PHARMA")</f>
        <v>VIKAS PHARMA</v>
      </c>
    </row>
    <row r="2986">
      <c r="H2986" s="5" t="str">
        <f>IFERROR(__xludf.DUMMYFUNCTION("""COMPUTED_VALUE"""),"VIKRAM LABORATORIES")</f>
        <v>VIKRAM LABORATORIES</v>
      </c>
    </row>
    <row r="2987">
      <c r="H2987" s="5" t="str">
        <f>IFERROR(__xludf.DUMMYFUNCTION("""COMPUTED_VALUE"""),"Vilberry Healthcare Pvt Ltd")</f>
        <v>Vilberry Healthcare Pvt Ltd</v>
      </c>
    </row>
    <row r="2988">
      <c r="H2988" s="5" t="str">
        <f>IFERROR(__xludf.DUMMYFUNCTION("""COMPUTED_VALUE"""),"VIMAL LABS")</f>
        <v>VIMAL LABS</v>
      </c>
    </row>
    <row r="2989">
      <c r="H2989" s="5" t="str">
        <f>IFERROR(__xludf.DUMMYFUNCTION("""COMPUTED_VALUE"""),"VIMS")</f>
        <v>VIMS</v>
      </c>
    </row>
    <row r="2990">
      <c r="H2990" s="5" t="str">
        <f>IFERROR(__xludf.DUMMYFUNCTION("""COMPUTED_VALUE"""),"VINASIA LIFESCIENCES PVT LTD")</f>
        <v>VINASIA LIFESCIENCES PVT LTD</v>
      </c>
    </row>
    <row r="2991">
      <c r="H2991" s="5" t="str">
        <f>IFERROR(__xludf.DUMMYFUNCTION("""COMPUTED_VALUE"""),"vinayak Care Solution Pvt Ltd")</f>
        <v>vinayak Care Solution Pvt Ltd</v>
      </c>
    </row>
    <row r="2992">
      <c r="H2992" s="5" t="str">
        <f>IFERROR(__xludf.DUMMYFUNCTION("""COMPUTED_VALUE"""),"VINAYAK CARE SOLUTIONS")</f>
        <v>VINAYAK CARE SOLUTIONS</v>
      </c>
    </row>
    <row r="2993">
      <c r="H2993" s="5" t="str">
        <f>IFERROR(__xludf.DUMMYFUNCTION("""COMPUTED_VALUE"""),"VINDAS CHEMICAL INDUSTRIES")</f>
        <v>VINDAS CHEMICAL INDUSTRIES</v>
      </c>
    </row>
    <row r="2994">
      <c r="H2994" s="5" t="str">
        <f>IFERROR(__xludf.DUMMYFUNCTION("""COMPUTED_VALUE"""),"VINKEM LABS LTD")</f>
        <v>VINKEM LABS LTD</v>
      </c>
    </row>
    <row r="2995">
      <c r="H2995" s="5" t="str">
        <f>IFERROR(__xludf.DUMMYFUNCTION("""COMPUTED_VALUE"""),"VINS BIOPRODUCTS LLIMITED")</f>
        <v>VINS BIOPRODUCTS LLIMITED</v>
      </c>
    </row>
    <row r="2996">
      <c r="H2996" s="5" t="str">
        <f>IFERROR(__xludf.DUMMYFUNCTION("""COMPUTED_VALUE"""),"VINTEK PHARMACEUTICALS")</f>
        <v>VINTEK PHARMACEUTICALS</v>
      </c>
    </row>
    <row r="2997">
      <c r="H2997" s="5" t="str">
        <f>IFERROR(__xludf.DUMMYFUNCTION("""COMPUTED_VALUE"""),"VINTOCHEM")</f>
        <v>VINTOCHEM</v>
      </c>
    </row>
    <row r="2998">
      <c r="H2998" s="5" t="str">
        <f>IFERROR(__xludf.DUMMYFUNCTION("""COMPUTED_VALUE"""),"VIP PHARMACEUTICALS PVT LTD")</f>
        <v>VIP PHARMACEUTICALS PVT LTD</v>
      </c>
    </row>
    <row r="2999">
      <c r="H2999" s="5" t="str">
        <f>IFERROR(__xludf.DUMMYFUNCTION("""COMPUTED_VALUE"""),"VIRBAC ANIMAL HEALTHCARE")</f>
        <v>VIRBAC ANIMAL HEALTHCARE</v>
      </c>
    </row>
    <row r="3000">
      <c r="H3000" s="5" t="str">
        <f>IFERROR(__xludf.DUMMYFUNCTION("""COMPUTED_VALUE"""),"VIRCHOW")</f>
        <v>VIRCHOW</v>
      </c>
    </row>
    <row r="3001">
      <c r="H3001" s="5" t="str">
        <f>IFERROR(__xludf.DUMMYFUNCTION("""COMPUTED_VALUE"""),"VIRCHOW BIOTECH")</f>
        <v>VIRCHOW BIOTECH</v>
      </c>
    </row>
    <row r="3002">
      <c r="H3002" s="5" t="str">
        <f>IFERROR(__xludf.DUMMYFUNCTION("""COMPUTED_VALUE"""),"VISCO LABS")</f>
        <v>VISCO LABS</v>
      </c>
    </row>
    <row r="3003">
      <c r="H3003" s="5" t="str">
        <f>IFERROR(__xludf.DUMMYFUNCTION("""COMPUTED_VALUE"""),"VISHAL PHARMA LAB INDORE")</f>
        <v>VISHAL PHARMA LAB INDORE</v>
      </c>
    </row>
    <row r="3004">
      <c r="H3004" s="5" t="str">
        <f>IFERROR(__xludf.DUMMYFUNCTION("""COMPUTED_VALUE"""),"VISHAL PHARMACEUTICAL LAB")</f>
        <v>VISHAL PHARMACEUTICAL LAB</v>
      </c>
    </row>
    <row r="3005">
      <c r="H3005" s="5" t="str">
        <f>IFERROR(__xludf.DUMMYFUNCTION("""COMPUTED_VALUE"""),"VISHNU HEALTHCARE")</f>
        <v>VISHNU HEALTHCARE</v>
      </c>
    </row>
    <row r="3006">
      <c r="H3006" s="5" t="str">
        <f>IFERROR(__xludf.DUMMYFUNCTION("""COMPUTED_VALUE"""),"VISHVA MANGAL UDYOG")</f>
        <v>VISHVA MANGAL UDYOG</v>
      </c>
    </row>
    <row r="3007">
      <c r="H3007" s="5" t="str">
        <f>IFERROR(__xludf.DUMMYFUNCTION("""COMPUTED_VALUE"""),"VISHWAMITRA AYURVEDIC")</f>
        <v>VISHWAMITRA AYURVEDIC</v>
      </c>
    </row>
    <row r="3008">
      <c r="H3008" s="5" t="str">
        <f>IFERROR(__xludf.DUMMYFUNCTION("""COMPUTED_VALUE"""),"VISION PHARMA")</f>
        <v>VISION PHARMA</v>
      </c>
    </row>
    <row r="3009">
      <c r="H3009" s="5" t="str">
        <f>IFERROR(__xludf.DUMMYFUNCTION("""COMPUTED_VALUE"""),"VISMO")</f>
        <v>VISMO</v>
      </c>
    </row>
    <row r="3010">
      <c r="H3010" s="5" t="str">
        <f>IFERROR(__xludf.DUMMYFUNCTION("""COMPUTED_VALUE"""),"VISSCO REHABILITATION AIDS PVT LTD")</f>
        <v>VISSCO REHABILITATION AIDS PVT LTD</v>
      </c>
    </row>
    <row r="3011">
      <c r="H3011" s="5" t="str">
        <f>IFERROR(__xludf.DUMMYFUNCTION("""COMPUTED_VALUE"""),"VITACE REMEDIES")</f>
        <v>VITACE REMEDIES</v>
      </c>
    </row>
    <row r="3012">
      <c r="H3012" s="5" t="str">
        <f>IFERROR(__xludf.DUMMYFUNCTION("""COMPUTED_VALUE"""),"VITALITY HEALTHCARE")</f>
        <v>VITALITY HEALTHCARE</v>
      </c>
    </row>
    <row r="3013">
      <c r="H3013" s="5" t="str">
        <f>IFERROR(__xludf.DUMMYFUNCTION("""COMPUTED_VALUE"""),"VITANE PHARMACEUTICALS")</f>
        <v>VITANE PHARMACEUTICALS</v>
      </c>
    </row>
    <row r="3014">
      <c r="H3014" s="5" t="str">
        <f>IFERROR(__xludf.DUMMYFUNCTION("""COMPUTED_VALUE"""),"VITHOBA INDUSTRIES")</f>
        <v>VITHOBA INDUSTRIES</v>
      </c>
    </row>
    <row r="3015">
      <c r="H3015" s="5" t="str">
        <f>IFERROR(__xludf.DUMMYFUNCTION("""COMPUTED_VALUE"""),"VIVENCY HEALTH CARE PVT LTD")</f>
        <v>VIVENCY HEALTH CARE PVT LTD</v>
      </c>
    </row>
    <row r="3016">
      <c r="H3016" s="5" t="str">
        <f>IFERROR(__xludf.DUMMYFUNCTION("""COMPUTED_VALUE"""),"VIVEZ LIFESCIENCE")</f>
        <v>VIVEZ LIFESCIENCE</v>
      </c>
    </row>
    <row r="3017">
      <c r="H3017" s="5" t="str">
        <f>IFERROR(__xludf.DUMMYFUNCTION("""COMPUTED_VALUE"""),"VIVIA DERMACARE")</f>
        <v>VIVIA DERMACARE</v>
      </c>
    </row>
    <row r="3018">
      <c r="H3018" s="5" t="str">
        <f>IFERROR(__xludf.DUMMYFUNCTION("""COMPUTED_VALUE"""),"VIVO LIFESCIENCES")</f>
        <v>VIVO LIFESCIENCES</v>
      </c>
    </row>
    <row r="3019">
      <c r="H3019" s="5" t="str">
        <f>IFERROR(__xludf.DUMMYFUNCTION("""COMPUTED_VALUE"""),"VK SARANU")</f>
        <v>VK SARANU</v>
      </c>
    </row>
    <row r="3020">
      <c r="H3020" s="5" t="str">
        <f>IFERROR(__xludf.DUMMYFUNCTION("""COMPUTED_VALUE"""),"VMC PHARMACEUTICAL")</f>
        <v>VMC PHARMACEUTICAL</v>
      </c>
    </row>
    <row r="3021">
      <c r="H3021" s="5" t="str">
        <f>IFERROR(__xludf.DUMMYFUNCTION("""COMPUTED_VALUE"""),"VYALI INTERNATIONAL")</f>
        <v>VYALI INTERNATIONAL</v>
      </c>
    </row>
    <row r="3022">
      <c r="H3022" s="5" t="str">
        <f>IFERROR(__xludf.DUMMYFUNCTION("""COMPUTED_VALUE"""),"VYAPITUS SPECIALITIES")</f>
        <v>VYAPITUS SPECIALITIES</v>
      </c>
    </row>
    <row r="3023">
      <c r="H3023" s="5" t="str">
        <f>IFERROR(__xludf.DUMMYFUNCTION("""COMPUTED_VALUE"""),"VYAS PHARMACEUTICALS")</f>
        <v>VYAS PHARMACEUTICALS</v>
      </c>
    </row>
    <row r="3024">
      <c r="H3024" s="5" t="str">
        <f>IFERROR(__xludf.DUMMYFUNCTION("""COMPUTED_VALUE"""),"VYONICS HEALTHCARE")</f>
        <v>VYONICS HEALTHCARE</v>
      </c>
    </row>
    <row r="3025">
      <c r="H3025" s="5" t="str">
        <f>IFERROR(__xludf.DUMMYFUNCTION("""COMPUTED_VALUE"""),"VYSON INDIA")</f>
        <v>VYSON INDIA</v>
      </c>
    </row>
    <row r="3026">
      <c r="H3026" s="5" t="str">
        <f>IFERROR(__xludf.DUMMYFUNCTION("""COMPUTED_VALUE"""),"WAFTURE HEALTHCARE")</f>
        <v>WAFTURE HEALTHCARE</v>
      </c>
    </row>
    <row r="3027">
      <c r="H3027" s="5" t="str">
        <f>IFERROR(__xludf.DUMMYFUNCTION("""COMPUTED_VALUE"""),"WALBERG PHARMACEUTICALS")</f>
        <v>WALBERG PHARMACEUTICALS</v>
      </c>
    </row>
    <row r="3028">
      <c r="H3028" s="5" t="str">
        <f>IFERROR(__xludf.DUMMYFUNCTION("""COMPUTED_VALUE"""),"Wallace Pharmaceuticals Pvt Ltd")</f>
        <v>Wallace Pharmaceuticals Pvt Ltd</v>
      </c>
    </row>
    <row r="3029">
      <c r="H3029" s="5" t="str">
        <f>IFERROR(__xludf.DUMMYFUNCTION("""COMPUTED_VALUE"""),"WALNUT LIFESCIENCES PVT LTD")</f>
        <v>WALNUT LIFESCIENCES PVT LTD</v>
      </c>
    </row>
    <row r="3030">
      <c r="H3030" s="5" t="str">
        <f>IFERROR(__xludf.DUMMYFUNCTION("""COMPUTED_VALUE"""),"WALRON HEALTHCARE P LTD")</f>
        <v>WALRON HEALTHCARE P LTD</v>
      </c>
    </row>
    <row r="3031">
      <c r="H3031" s="5" t="str">
        <f>IFERROR(__xludf.DUMMYFUNCTION("""COMPUTED_VALUE"""),"Walter Bushnell")</f>
        <v>Walter Bushnell</v>
      </c>
    </row>
    <row r="3032">
      <c r="H3032" s="5" t="str">
        <f>IFERROR(__xludf.DUMMYFUNCTION("""COMPUTED_VALUE"""),"WAMA PHARMA")</f>
        <v>WAMA PHARMA</v>
      </c>
    </row>
    <row r="3033">
      <c r="H3033" s="5" t="str">
        <f>IFERROR(__xludf.DUMMYFUNCTION("""COMPUTED_VALUE"""),"Wanbury Ltd")</f>
        <v>Wanbury Ltd</v>
      </c>
    </row>
    <row r="3034">
      <c r="H3034" s="5" t="str">
        <f>IFERROR(__xludf.DUMMYFUNCTION("""COMPUTED_VALUE"""),"WANCURA LIFE SCIENCE")</f>
        <v>WANCURA LIFE SCIENCE</v>
      </c>
    </row>
    <row r="3035">
      <c r="H3035" s="5" t="str">
        <f>IFERROR(__xludf.DUMMYFUNCTION("""COMPUTED_VALUE"""),"WANTURA LABORATORIES")</f>
        <v>WANTURA LABORATORIES</v>
      </c>
    </row>
    <row r="3036">
      <c r="H3036" s="5" t="str">
        <f>IFERROR(__xludf.DUMMYFUNCTION("""COMPUTED_VALUE"""),"WARIOX LIFE SCIENCE PVT LTD")</f>
        <v>WARIOX LIFE SCIENCE PVT LTD</v>
      </c>
    </row>
    <row r="3037">
      <c r="H3037" s="5" t="str">
        <f>IFERROR(__xludf.DUMMYFUNCTION("""COMPUTED_VALUE"""),"WELCOME VET PHARMA")</f>
        <v>WELCOME VET PHARMA</v>
      </c>
    </row>
    <row r="3038">
      <c r="H3038" s="5" t="str">
        <f>IFERROR(__xludf.DUMMYFUNCTION("""COMPUTED_VALUE"""),"WELLAR")</f>
        <v>WELLAR</v>
      </c>
    </row>
    <row r="3039">
      <c r="H3039" s="5" t="str">
        <f>IFERROR(__xludf.DUMMYFUNCTION("""COMPUTED_VALUE"""),"WELLCHEM")</f>
        <v>WELLCHEM</v>
      </c>
    </row>
    <row r="3040">
      <c r="H3040" s="5" t="str">
        <f>IFERROR(__xludf.DUMMYFUNCTION("""COMPUTED_VALUE"""),"WELLCHEM PHARMACEUTICALS")</f>
        <v>WELLCHEM PHARMACEUTICALS</v>
      </c>
    </row>
    <row r="3041">
      <c r="H3041" s="5" t="str">
        <f>IFERROR(__xludf.DUMMYFUNCTION("""COMPUTED_VALUE"""),"WELLCON ANIMAL HEALTH PVT LTD")</f>
        <v>WELLCON ANIMAL HEALTH PVT LTD</v>
      </c>
    </row>
    <row r="3042">
      <c r="H3042" s="5" t="str">
        <f>IFERROR(__xludf.DUMMYFUNCTION("""COMPUTED_VALUE"""),"WELLFORD PHARMACEUTICAL PVT LTD")</f>
        <v>WELLFORD PHARMACEUTICAL PVT LTD</v>
      </c>
    </row>
    <row r="3043">
      <c r="H3043" s="5" t="str">
        <f>IFERROR(__xludf.DUMMYFUNCTION("""COMPUTED_VALUE"""),"WELLMOS GLOBAL HEALTHCARE PHARMA")</f>
        <v>WELLMOS GLOBAL HEALTHCARE PHARMA</v>
      </c>
    </row>
    <row r="3044">
      <c r="H3044" s="5" t="str">
        <f>IFERROR(__xludf.DUMMYFUNCTION("""COMPUTED_VALUE"""),"WELRIN PHARMA")</f>
        <v>WELRIN PHARMA</v>
      </c>
    </row>
    <row r="3045">
      <c r="H3045" s="5" t="str">
        <f>IFERROR(__xludf.DUMMYFUNCTION("""COMPUTED_VALUE"""),"Wens Drugs India Pvt Ltd")</f>
        <v>Wens Drugs India Pvt Ltd</v>
      </c>
    </row>
    <row r="3046">
      <c r="H3046" s="5" t="str">
        <f>IFERROR(__xludf.DUMMYFUNCTION("""COMPUTED_VALUE"""),"West-Coast Pharmaceutical Works Ltd")</f>
        <v>West-Coast Pharmaceutical Works Ltd</v>
      </c>
    </row>
    <row r="3047">
      <c r="H3047" s="5" t="str">
        <f>IFERROR(__xludf.DUMMYFUNCTION("""COMPUTED_VALUE"""),"WILBURT (GENERAL)")</f>
        <v>WILBURT (GENERAL)</v>
      </c>
    </row>
    <row r="3048">
      <c r="H3048" s="5" t="str">
        <f>IFERROR(__xludf.DUMMYFUNCTION("""COMPUTED_VALUE"""),"WILBURT (NEXION)")</f>
        <v>WILBURT (NEXION)</v>
      </c>
    </row>
    <row r="3049">
      <c r="H3049" s="5" t="str">
        <f>IFERROR(__xludf.DUMMYFUNCTION("""COMPUTED_VALUE"""),"WILBURT REMEDIES")</f>
        <v>WILBURT REMEDIES</v>
      </c>
    </row>
    <row r="3050">
      <c r="H3050" s="5" t="str">
        <f>IFERROR(__xludf.DUMMYFUNCTION("""COMPUTED_VALUE"""),"Willburt (Lifez Cardio and Diabetes)")</f>
        <v>Willburt (Lifez Cardio and Diabetes)</v>
      </c>
    </row>
    <row r="3051">
      <c r="H3051" s="5" t="str">
        <f>IFERROR(__xludf.DUMMYFUNCTION("""COMPUTED_VALUE"""),"Willcare Lifesciences")</f>
        <v>Willcare Lifesciences</v>
      </c>
    </row>
    <row r="3052">
      <c r="H3052" s="5" t="str">
        <f>IFERROR(__xludf.DUMMYFUNCTION("""COMPUTED_VALUE"""),"WILSHIR HELTH CARE")</f>
        <v>WILSHIR HELTH CARE</v>
      </c>
    </row>
    <row r="3053">
      <c r="H3053" s="5" t="str">
        <f>IFERROR(__xludf.DUMMYFUNCTION("""COMPUTED_VALUE"""),"WILSHIRE PHARMACEUTICALS")</f>
        <v>WILSHIRE PHARMACEUTICALS</v>
      </c>
    </row>
    <row r="3054">
      <c r="H3054" s="5" t="str">
        <f>IFERROR(__xludf.DUMMYFUNCTION("""COMPUTED_VALUE"""),"WILSON")</f>
        <v>WILSON</v>
      </c>
    </row>
    <row r="3055">
      <c r="H3055" s="5" t="str">
        <f>IFERROR(__xludf.DUMMYFUNCTION("""COMPUTED_VALUE"""),"WILSON HEALTHCARE")</f>
        <v>WILSON HEALTHCARE</v>
      </c>
    </row>
    <row r="3056">
      <c r="H3056" s="5" t="str">
        <f>IFERROR(__xludf.DUMMYFUNCTION("""COMPUTED_VALUE"""),"WIN NATURALS")</f>
        <v>WIN NATURALS</v>
      </c>
    </row>
    <row r="3057">
      <c r="H3057" s="5" t="str">
        <f>IFERROR(__xludf.DUMMYFUNCTION("""COMPUTED_VALUE"""),"Win-Medicare Pvt Ltd")</f>
        <v>Win-Medicare Pvt Ltd</v>
      </c>
    </row>
    <row r="3058">
      <c r="H3058" s="5" t="str">
        <f>IFERROR(__xludf.DUMMYFUNCTION("""COMPUTED_VALUE"""),"WINDLAS BIOTECH PVT LTD")</f>
        <v>WINDLAS BIOTECH PVT LTD</v>
      </c>
    </row>
    <row r="3059">
      <c r="H3059" s="5" t="str">
        <f>IFERROR(__xludf.DUMMYFUNCTION("""COMPUTED_VALUE"""),"Wings Biotech Ltd (GENERIC)")</f>
        <v>Wings Biotech Ltd (GENERIC)</v>
      </c>
    </row>
    <row r="3060">
      <c r="H3060" s="5" t="str">
        <f>IFERROR(__xludf.DUMMYFUNCTION("""COMPUTED_VALUE"""),"WINTECH PHARMACEUTICALS (PHARMA)")</f>
        <v>WINTECH PHARMACEUTICALS (PHARMA)</v>
      </c>
    </row>
    <row r="3061">
      <c r="H3061" s="5" t="str">
        <f>IFERROR(__xludf.DUMMYFUNCTION("""COMPUTED_VALUE"""),"WINTECH PHARMACEUTICALS (ZENOVA)")</f>
        <v>WINTECH PHARMACEUTICALS (ZENOVA)</v>
      </c>
    </row>
    <row r="3062">
      <c r="H3062" s="5" t="str">
        <f>IFERROR(__xludf.DUMMYFUNCTION("""COMPUTED_VALUE"""),"WINY HEALTHCARE")</f>
        <v>WINY HEALTHCARE</v>
      </c>
    </row>
    <row r="3063">
      <c r="H3063" s="5" t="str">
        <f>IFERROR(__xludf.DUMMYFUNCTION("""COMPUTED_VALUE"""),"Wiscon Pharmaceuticals Pvt Ltd")</f>
        <v>Wiscon Pharmaceuticals Pvt Ltd</v>
      </c>
    </row>
    <row r="3064">
      <c r="H3064" s="5" t="str">
        <f>IFERROR(__xludf.DUMMYFUNCTION("""COMPUTED_VALUE"""),"WIZ HEALTH CARE")</f>
        <v>WIZ HEALTH CARE</v>
      </c>
    </row>
    <row r="3065">
      <c r="H3065" s="5" t="str">
        <f>IFERROR(__xludf.DUMMYFUNCTION("""COMPUTED_VALUE"""),"WOCCKAHCHARLES PHARMA LTD")</f>
        <v>WOCCKAHCHARLES PHARMA LTD</v>
      </c>
    </row>
    <row r="3066">
      <c r="H3066" s="5" t="str">
        <f>IFERROR(__xludf.DUMMYFUNCTION("""COMPUTED_VALUE"""),"WOCKHARDT (CARDIO)")</f>
        <v>WOCKHARDT (CARDIO)</v>
      </c>
    </row>
    <row r="3067">
      <c r="H3067" s="5" t="str">
        <f>IFERROR(__xludf.DUMMYFUNCTION("""COMPUTED_VALUE"""),"WOCKHARDT (M1)")</f>
        <v>WOCKHARDT (M1)</v>
      </c>
    </row>
    <row r="3068">
      <c r="H3068" s="5" t="str">
        <f>IFERROR(__xludf.DUMMYFUNCTION("""COMPUTED_VALUE"""),"WOCKHARDT (METABOLICS)")</f>
        <v>WOCKHARDT (METABOLICS)</v>
      </c>
    </row>
    <row r="3069">
      <c r="H3069" s="5" t="str">
        <f>IFERROR(__xludf.DUMMYFUNCTION("""COMPUTED_VALUE"""),"WOCKHARDT (NEPHRO)")</f>
        <v>WOCKHARDT (NEPHRO)</v>
      </c>
    </row>
    <row r="3070">
      <c r="H3070" s="5" t="str">
        <f>IFERROR(__xludf.DUMMYFUNCTION("""COMPUTED_VALUE"""),"WOCKHARDT (PHARMA)")</f>
        <v>WOCKHARDT (PHARMA)</v>
      </c>
    </row>
    <row r="3071">
      <c r="H3071" s="5" t="str">
        <f>IFERROR(__xludf.DUMMYFUNCTION("""COMPUTED_VALUE"""),"WOCKHARDT (SPACIEL)")</f>
        <v>WOCKHARDT (SPACIEL)</v>
      </c>
    </row>
    <row r="3072">
      <c r="H3072" s="5" t="str">
        <f>IFERROR(__xludf.DUMMYFUNCTION("""COMPUTED_VALUE"""),"Wockhardt Ltd")</f>
        <v>Wockhardt Ltd</v>
      </c>
    </row>
    <row r="3073">
      <c r="H3073" s="5" t="str">
        <f>IFERROR(__xludf.DUMMYFUNCTION("""COMPUTED_VALUE"""),"Wockhardt Ltd  (SPECTRA)")</f>
        <v>Wockhardt Ltd  (SPECTRA)</v>
      </c>
    </row>
    <row r="3074">
      <c r="H3074" s="5" t="str">
        <f>IFERROR(__xludf.DUMMYFUNCTION("""COMPUTED_VALUE"""),"Wockhardt Ltd (CRITICAL CARE-NTF)")</f>
        <v>Wockhardt Ltd (CRITICAL CARE-NTF)</v>
      </c>
    </row>
    <row r="3075">
      <c r="H3075" s="5" t="str">
        <f>IFERROR(__xludf.DUMMYFUNCTION("""COMPUTED_VALUE"""),"Wockhardt Ltd (CRITICAL CARE)")</f>
        <v>Wockhardt Ltd (CRITICAL CARE)</v>
      </c>
    </row>
    <row r="3076">
      <c r="H3076" s="5" t="str">
        <f>IFERROR(__xludf.DUMMYFUNCTION("""COMPUTED_VALUE"""),"Wockhardt Ltd (DERMA)")</f>
        <v>Wockhardt Ltd (DERMA)</v>
      </c>
    </row>
    <row r="3077">
      <c r="H3077" s="5" t="str">
        <f>IFERROR(__xludf.DUMMYFUNCTION("""COMPUTED_VALUE"""),"Wockhardt Ltd (DIABETIC)")</f>
        <v>Wockhardt Ltd (DIABETIC)</v>
      </c>
    </row>
    <row r="3078">
      <c r="H3078" s="5" t="str">
        <f>IFERROR(__xludf.DUMMYFUNCTION("""COMPUTED_VALUE"""),"Wockhardt Ltd (GENERIC)")</f>
        <v>Wockhardt Ltd (GENERIC)</v>
      </c>
    </row>
    <row r="3079">
      <c r="H3079" s="5" t="str">
        <f>IFERROR(__xludf.DUMMYFUNCTION("""COMPUTED_VALUE"""),"Wockhardt Ltd (MAIN)")</f>
        <v>Wockhardt Ltd (MAIN)</v>
      </c>
    </row>
    <row r="3080">
      <c r="H3080" s="5" t="str">
        <f>IFERROR(__xludf.DUMMYFUNCTION("""COMPUTED_VALUE"""),"Wockhardt Ltd (RESPIRATORY)")</f>
        <v>Wockhardt Ltd (RESPIRATORY)</v>
      </c>
    </row>
    <row r="3081">
      <c r="H3081" s="5" t="str">
        <f>IFERROR(__xludf.DUMMYFUNCTION("""COMPUTED_VALUE"""),"Wockhardt Ltd (SUPER SPECIALITY)")</f>
        <v>Wockhardt Ltd (SUPER SPECIALITY)</v>
      </c>
    </row>
    <row r="3082">
      <c r="H3082" s="5" t="str">
        <f>IFERROR(__xludf.DUMMYFUNCTION("""COMPUTED_VALUE"""),"Wockhardt Ltd (TARUS-2)")</f>
        <v>Wockhardt Ltd (TARUS-2)</v>
      </c>
    </row>
    <row r="3083">
      <c r="H3083" s="5" t="str">
        <f>IFERROR(__xludf.DUMMYFUNCTION("""COMPUTED_VALUE"""),"Wockhardt Ltd (TARUS)")</f>
        <v>Wockhardt Ltd (TARUS)</v>
      </c>
    </row>
    <row r="3084">
      <c r="H3084" s="5" t="str">
        <f>IFERROR(__xludf.DUMMYFUNCTION("""COMPUTED_VALUE"""),"WONSET HEALTHCARE")</f>
        <v>WONSET HEALTHCARE</v>
      </c>
    </row>
    <row r="3085">
      <c r="H3085" s="5" t="str">
        <f>IFERROR(__xludf.DUMMYFUNCTION("""COMPUTED_VALUE"""),"WOOD GERMAN BIOTECH")</f>
        <v>WOOD GERMAN BIOTECH</v>
      </c>
    </row>
    <row r="3086">
      <c r="H3086" s="5" t="str">
        <f>IFERROR(__xludf.DUMMYFUNCTION("""COMPUTED_VALUE"""),"WRIGHT LIFESCIENCES P LTD")</f>
        <v>WRIGHT LIFESCIENCES P LTD</v>
      </c>
    </row>
    <row r="3087">
      <c r="H3087" s="5" t="str">
        <f>IFERROR(__xludf.DUMMYFUNCTION("""COMPUTED_VALUE"""),"WRIGHT LIFESCIENCES PVT LTD")</f>
        <v>WRIGHT LIFESCIENCES PVT LTD</v>
      </c>
    </row>
    <row r="3088">
      <c r="H3088" s="5" t="str">
        <f>IFERROR(__xludf.DUMMYFUNCTION("""COMPUTED_VALUE"""),"WSI")</f>
        <v>WSI</v>
      </c>
    </row>
    <row r="3089">
      <c r="H3089" s="5" t="str">
        <f>IFERROR(__xludf.DUMMYFUNCTION("""COMPUTED_VALUE"""),"Wyeth Limited")</f>
        <v>Wyeth Limited</v>
      </c>
    </row>
    <row r="3090">
      <c r="H3090" s="5" t="str">
        <f>IFERROR(__xludf.DUMMYFUNCTION("""COMPUTED_VALUE"""),"XANOCIA LIFE SCIENCES")</f>
        <v>XANOCIA LIFE SCIENCES</v>
      </c>
    </row>
    <row r="3091">
      <c r="H3091" s="5" t="str">
        <f>IFERROR(__xludf.DUMMYFUNCTION("""COMPUTED_VALUE"""),"XENA CORONUS HEALTH CARE")</f>
        <v>XENA CORONUS HEALTH CARE</v>
      </c>
    </row>
    <row r="3092">
      <c r="H3092" s="5" t="str">
        <f>IFERROR(__xludf.DUMMYFUNCTION("""COMPUTED_VALUE"""),"XIEON LIFE SCIENCES")</f>
        <v>XIEON LIFE SCIENCES</v>
      </c>
    </row>
    <row r="3093">
      <c r="H3093" s="5" t="str">
        <f>IFERROR(__xludf.DUMMYFUNCTION("""COMPUTED_VALUE"""),"Y E HADVAIDYA")</f>
        <v>Y E HADVAIDYA</v>
      </c>
    </row>
    <row r="3094">
      <c r="H3094" s="5" t="str">
        <f>IFERROR(__xludf.DUMMYFUNCTION("""COMPUTED_VALUE"""),"YAJAT LIFE SCIENCES")</f>
        <v>YAJAT LIFE SCIENCES</v>
      </c>
    </row>
    <row r="3095">
      <c r="H3095" s="5" t="str">
        <f>IFERROR(__xludf.DUMMYFUNCTION("""COMPUTED_VALUE"""),"YASH PHARMA (DERMA)")</f>
        <v>YASH PHARMA (DERMA)</v>
      </c>
    </row>
    <row r="3096">
      <c r="H3096" s="5" t="str">
        <f>IFERROR(__xludf.DUMMYFUNCTION("""COMPUTED_VALUE"""),"YASH PHARMA LAB")</f>
        <v>YASH PHARMA LAB</v>
      </c>
    </row>
    <row r="3097">
      <c r="H3097" s="5" t="str">
        <f>IFERROR(__xludf.DUMMYFUNCTION("""COMPUTED_VALUE"""),"YASODAKHYAA REMEDIES")</f>
        <v>YASODAKHYAA REMEDIES</v>
      </c>
    </row>
    <row r="3098">
      <c r="H3098" s="5" t="str">
        <f>IFERROR(__xludf.DUMMYFUNCTION("""COMPUTED_VALUE"""),"YGEIA HEALTH PVT LTD")</f>
        <v>YGEIA HEALTH PVT LTD</v>
      </c>
    </row>
    <row r="3099">
      <c r="H3099" s="5" t="str">
        <f>IFERROR(__xludf.DUMMYFUNCTION("""COMPUTED_VALUE"""),"YOGEE HERBAL INDIA")</f>
        <v>YOGEE HERBAL INDIA</v>
      </c>
    </row>
    <row r="3100">
      <c r="H3100" s="5" t="str">
        <f>IFERROR(__xludf.DUMMYFUNCTION("""COMPUTED_VALUE"""),"YOGI AYURVEDIC PRODUCTS LTD")</f>
        <v>YOGI AYURVEDIC PRODUCTS LTD</v>
      </c>
    </row>
    <row r="3101">
      <c r="H3101" s="5" t="str">
        <f>IFERROR(__xludf.DUMMYFUNCTION("""COMPUTED_VALUE"""),"YOGI HERBALS")</f>
        <v>YOGI HERBALS</v>
      </c>
    </row>
    <row r="3102">
      <c r="H3102" s="5" t="str">
        <f>IFERROR(__xludf.DUMMYFUNCTION("""COMPUTED_VALUE"""),"YOURS PHARMA DISTRIBUTERS PVT LTD")</f>
        <v>YOURS PHARMA DISTRIBUTERS PVT LTD</v>
      </c>
    </row>
    <row r="3103">
      <c r="H3103" s="5" t="str">
        <f>IFERROR(__xludf.DUMMYFUNCTION("""COMPUTED_VALUE"""),"YUDERMA LABORATORIE")</f>
        <v>YUDERMA LABORATORIE</v>
      </c>
    </row>
    <row r="3104">
      <c r="H3104" s="5" t="str">
        <f>IFERROR(__xludf.DUMMYFUNCTION("""COMPUTED_VALUE"""),"YUZDERM PHARMACEUTICALS")</f>
        <v>YUZDERM PHARMACEUTICALS</v>
      </c>
    </row>
    <row r="3105">
      <c r="H3105" s="5" t="str">
        <f>IFERROR(__xludf.DUMMYFUNCTION("""COMPUTED_VALUE"""),"ZADINE RUMBS LIMITED")</f>
        <v>ZADINE RUMBS LIMITED</v>
      </c>
    </row>
    <row r="3106">
      <c r="H3106" s="5" t="str">
        <f>IFERROR(__xludf.DUMMYFUNCTION("""COMPUTED_VALUE"""),"Zandu Pharmaceutical Works Ltd")</f>
        <v>Zandu Pharmaceutical Works Ltd</v>
      </c>
    </row>
    <row r="3107">
      <c r="H3107" s="5" t="str">
        <f>IFERROR(__xludf.DUMMYFUNCTION("""COMPUTED_VALUE"""),"ZEDIP FORMULATIONS")</f>
        <v>ZEDIP FORMULATIONS</v>
      </c>
    </row>
    <row r="3108">
      <c r="H3108" s="5" t="str">
        <f>IFERROR(__xludf.DUMMYFUNCTION("""COMPUTED_VALUE"""),"ZEDON PHARMA")</f>
        <v>ZEDON PHARMA</v>
      </c>
    </row>
    <row r="3109">
      <c r="H3109" s="5" t="str">
        <f>IFERROR(__xludf.DUMMYFUNCTION("""COMPUTED_VALUE"""),"ZEE LABORATORIES LTD")</f>
        <v>ZEE LABORATORIES LTD</v>
      </c>
    </row>
    <row r="3110">
      <c r="H3110" s="5" t="str">
        <f>IFERROR(__xludf.DUMMYFUNCTION("""COMPUTED_VALUE"""),"ZEE LABORATORIES LTD (ELWIN)")</f>
        <v>ZEE LABORATORIES LTD (ELWIN)</v>
      </c>
    </row>
    <row r="3111">
      <c r="H3111" s="5" t="str">
        <f>IFERROR(__xludf.DUMMYFUNCTION("""COMPUTED_VALUE"""),"ZEE LABORATORIS")</f>
        <v>ZEE LABORATORIS</v>
      </c>
    </row>
    <row r="3112">
      <c r="H3112" s="5" t="str">
        <f>IFERROR(__xludf.DUMMYFUNCTION("""COMPUTED_VALUE"""),"ZEE PHARMA")</f>
        <v>ZEE PHARMA</v>
      </c>
    </row>
    <row r="3113">
      <c r="H3113" s="5" t="str">
        <f>IFERROR(__xludf.DUMMYFUNCTION("""COMPUTED_VALUE"""),"ZELKOVA LIFESCIENCES PVT LTD")</f>
        <v>ZELKOVA LIFESCIENCES PVT LTD</v>
      </c>
    </row>
    <row r="3114">
      <c r="H3114" s="5" t="str">
        <f>IFERROR(__xludf.DUMMYFUNCTION("""COMPUTED_VALUE"""),"ZELLEVEN PHARMA PVT LTD")</f>
        <v>ZELLEVEN PHARMA PVT LTD</v>
      </c>
    </row>
    <row r="3115">
      <c r="H3115" s="5" t="str">
        <f>IFERROR(__xludf.DUMMYFUNCTION("""COMPUTED_VALUE"""),"ZEN LABS")</f>
        <v>ZEN LABS</v>
      </c>
    </row>
    <row r="3116">
      <c r="H3116" s="5" t="str">
        <f>IFERROR(__xludf.DUMMYFUNCTION("""COMPUTED_VALUE"""),"ZEN PHARMACEUTICALS")</f>
        <v>ZEN PHARMACEUTICALS</v>
      </c>
    </row>
    <row r="3117">
      <c r="H3117" s="5" t="str">
        <f>IFERROR(__xludf.DUMMYFUNCTION("""COMPUTED_VALUE"""),"Zenacts Pharma P Ltd")</f>
        <v>Zenacts Pharma P Ltd</v>
      </c>
    </row>
    <row r="3118">
      <c r="H3118" s="5" t="str">
        <f>IFERROR(__xludf.DUMMYFUNCTION("""COMPUTED_VALUE"""),"ZENCUS PHARMA")</f>
        <v>ZENCUS PHARMA</v>
      </c>
    </row>
    <row r="3119">
      <c r="H3119" s="5" t="str">
        <f>IFERROR(__xludf.DUMMYFUNCTION("""COMPUTED_VALUE"""),"ZENEX HEALTHCARE")</f>
        <v>ZENEX HEALTHCARE</v>
      </c>
    </row>
    <row r="3120">
      <c r="H3120" s="5" t="str">
        <f>IFERROR(__xludf.DUMMYFUNCTION("""COMPUTED_VALUE"""),"ZENITH DRUGS")</f>
        <v>ZENITH DRUGS</v>
      </c>
    </row>
    <row r="3121">
      <c r="H3121" s="5" t="str">
        <f>IFERROR(__xludf.DUMMYFUNCTION("""COMPUTED_VALUE"""),"Zenith Healthcare Ltd")</f>
        <v>Zenith Healthcare Ltd</v>
      </c>
    </row>
    <row r="3122">
      <c r="H3122" s="5" t="str">
        <f>IFERROR(__xludf.DUMMYFUNCTION("""COMPUTED_VALUE"""),"ZENLABS (GENERIC)")</f>
        <v>ZENLABS (GENERIC)</v>
      </c>
    </row>
    <row r="3123">
      <c r="H3123" s="5" t="str">
        <f>IFERROR(__xludf.DUMMYFUNCTION("""COMPUTED_VALUE"""),"ZENLABS ETHICA LTD")</f>
        <v>ZENLABS ETHICA LTD</v>
      </c>
    </row>
    <row r="3124">
      <c r="H3124" s="5" t="str">
        <f>IFERROR(__xludf.DUMMYFUNCTION("""COMPUTED_VALUE"""),"ZENON HEALTHCARE LTD")</f>
        <v>ZENON HEALTHCARE LTD</v>
      </c>
    </row>
    <row r="3125">
      <c r="H3125" s="5" t="str">
        <f>IFERROR(__xludf.DUMMYFUNCTION("""COMPUTED_VALUE"""),"ZENONA LIFESCIENCES PVT LTD")</f>
        <v>ZENONA LIFESCIENCES PVT LTD</v>
      </c>
    </row>
    <row r="3126">
      <c r="H3126" s="5" t="str">
        <f>IFERROR(__xludf.DUMMYFUNCTION("""COMPUTED_VALUE"""),"ZENOTECH LOBORATORIES LTD.")</f>
        <v>ZENOTECH LOBORATORIES LTD.</v>
      </c>
    </row>
    <row r="3127">
      <c r="H3127" s="5" t="str">
        <f>IFERROR(__xludf.DUMMYFUNCTION("""COMPUTED_VALUE"""),"ZENSKA LIFE SCIENCE PVT LTD")</f>
        <v>ZENSKA LIFE SCIENCE PVT LTD</v>
      </c>
    </row>
    <row r="3128">
      <c r="H3128" s="5" t="str">
        <f>IFERROR(__xludf.DUMMYFUNCTION("""COMPUTED_VALUE"""),"ZERICO LIFESCIENCE")</f>
        <v>ZERICO LIFESCIENCE</v>
      </c>
    </row>
    <row r="3129">
      <c r="H3129" s="5" t="str">
        <f>IFERROR(__xludf.DUMMYFUNCTION("""COMPUTED_VALUE"""),"ZERICO LIFESCIENCES")</f>
        <v>ZERICO LIFESCIENCES</v>
      </c>
    </row>
    <row r="3130">
      <c r="H3130" s="5" t="str">
        <f>IFERROR(__xludf.DUMMYFUNCTION("""COMPUTED_VALUE"""),"Zest Pharma")</f>
        <v>Zest Pharma</v>
      </c>
    </row>
    <row r="3131">
      <c r="H3131" s="5" t="str">
        <f>IFERROR(__xludf.DUMMYFUNCTION("""COMPUTED_VALUE"""),"ZESTICA PHARMA")</f>
        <v>ZESTICA PHARMA</v>
      </c>
    </row>
    <row r="3132">
      <c r="H3132" s="5" t="str">
        <f>IFERROR(__xludf.DUMMYFUNCTION("""COMPUTED_VALUE"""),"ZETA")</f>
        <v>ZETA</v>
      </c>
    </row>
    <row r="3133">
      <c r="H3133" s="5" t="str">
        <f>IFERROR(__xludf.DUMMYFUNCTION("""COMPUTED_VALUE"""),"ZETACA LIFESCIENCES")</f>
        <v>ZETACA LIFESCIENCES</v>
      </c>
    </row>
    <row r="3134">
      <c r="H3134" s="5" t="str">
        <f>IFERROR(__xludf.DUMMYFUNCTION("""COMPUTED_VALUE"""),"ZEUS DRUG")</f>
        <v>ZEUS DRUG</v>
      </c>
    </row>
    <row r="3135">
      <c r="H3135" s="5" t="str">
        <f>IFERROR(__xludf.DUMMYFUNCTION("""COMPUTED_VALUE"""),"ZEVEN LIFESCIENCES LTD")</f>
        <v>ZEVEN LIFESCIENCES LTD</v>
      </c>
    </row>
    <row r="3136">
      <c r="H3136" s="5" t="str">
        <f>IFERROR(__xludf.DUMMYFUNCTION("""COMPUTED_VALUE"""),"ZICAD LIFE CARE")</f>
        <v>ZICAD LIFE CARE</v>
      </c>
    </row>
    <row r="3137">
      <c r="H3137" s="5" t="str">
        <f>IFERROR(__xludf.DUMMYFUNCTION("""COMPUTED_VALUE"""),"ZIVIRA LABS P LTD")</f>
        <v>ZIVIRA LABS P LTD</v>
      </c>
    </row>
    <row r="3138">
      <c r="H3138" s="5" t="str">
        <f>IFERROR(__xludf.DUMMYFUNCTION("""COMPUTED_VALUE"""),"ZIVOT HEALTHCARE")</f>
        <v>ZIVOT HEALTHCARE</v>
      </c>
    </row>
    <row r="3139">
      <c r="H3139" s="5" t="str">
        <f>IFERROR(__xludf.DUMMYFUNCTION("""COMPUTED_VALUE"""),"ZOETIC AYURVEDICS PVT LTD")</f>
        <v>ZOETIC AYURVEDICS PVT LTD</v>
      </c>
    </row>
    <row r="3140">
      <c r="H3140" s="5" t="str">
        <f>IFERROR(__xludf.DUMMYFUNCTION("""COMPUTED_VALUE"""),"ZORICON PHARMACEUTICALS")</f>
        <v>ZORICON PHARMACEUTICALS</v>
      </c>
    </row>
    <row r="3141">
      <c r="H3141" s="5" t="str">
        <f>IFERROR(__xludf.DUMMYFUNCTION("""COMPUTED_VALUE"""),"ZORILANT PHARMA")</f>
        <v>ZORILANT PHARMA</v>
      </c>
    </row>
    <row r="3142">
      <c r="H3142" s="5" t="str">
        <f>IFERROR(__xludf.DUMMYFUNCTION("""COMPUTED_VALUE"""),"ZOTA HEALTHCARE")</f>
        <v>ZOTA HEALTHCARE</v>
      </c>
    </row>
    <row r="3143">
      <c r="H3143" s="5" t="str">
        <f>IFERROR(__xludf.DUMMYFUNCTION("""COMPUTED_VALUE"""),"Zovaitalia Healthcare Pvt Ltd")</f>
        <v>Zovaitalia Healthcare Pvt Ltd</v>
      </c>
    </row>
    <row r="3144">
      <c r="H3144" s="5" t="str">
        <f>IFERROR(__xludf.DUMMYFUNCTION("""COMPUTED_VALUE"""),"ZUBIT LIFECARE")</f>
        <v>ZUBIT LIFECARE</v>
      </c>
    </row>
    <row r="3145">
      <c r="H3145" s="5" t="str">
        <f>IFERROR(__xludf.DUMMYFUNCTION("""COMPUTED_VALUE"""),"ZURICH HEALTH CARE UJJAIN")</f>
        <v>ZURICH HEALTH CARE UJJAIN</v>
      </c>
    </row>
    <row r="3146">
      <c r="H3146" s="5" t="str">
        <f>IFERROR(__xludf.DUMMYFUNCTION("""COMPUTED_VALUE"""),"ZUVENTUS (GROMAXX)")</f>
        <v>ZUVENTUS (GROMAXX)</v>
      </c>
    </row>
    <row r="3147">
      <c r="H3147" s="5" t="str">
        <f>IFERROR(__xludf.DUMMYFUNCTION("""COMPUTED_VALUE"""),"ZUVENTUS (HEALTHCARE)")</f>
        <v>ZUVENTUS (HEALTHCARE)</v>
      </c>
    </row>
    <row r="3148">
      <c r="H3148" s="5" t="str">
        <f>IFERROR(__xludf.DUMMYFUNCTION("""COMPUTED_VALUE"""),"ZUVENTUS (LASUR)")</f>
        <v>ZUVENTUS (LASUR)</v>
      </c>
    </row>
    <row r="3149">
      <c r="H3149" s="5" t="str">
        <f>IFERROR(__xludf.DUMMYFUNCTION("""COMPUTED_VALUE"""),"ZUVENTUS (ODENEA)")</f>
        <v>ZUVENTUS (ODENEA)</v>
      </c>
    </row>
    <row r="3150">
      <c r="H3150" s="5" t="str">
        <f>IFERROR(__xludf.DUMMYFUNCTION("""COMPUTED_VALUE"""),"ZUVENTUS (ONCO)")</f>
        <v>ZUVENTUS (ONCO)</v>
      </c>
    </row>
    <row r="3151">
      <c r="H3151" s="5" t="str">
        <f>IFERROR(__xludf.DUMMYFUNCTION("""COMPUTED_VALUE"""),"Zuventus Healthcare Ltd")</f>
        <v>Zuventus Healthcare Ltd</v>
      </c>
    </row>
    <row r="3152">
      <c r="H3152" s="5" t="str">
        <f>IFERROR(__xludf.DUMMYFUNCTION("""COMPUTED_VALUE"""),"Zuventus Healthcare Ltd (SPECIALITY)")</f>
        <v>Zuventus Healthcare Ltd (SPECIALITY)</v>
      </c>
    </row>
    <row r="3153">
      <c r="H3153" s="5" t="str">
        <f>IFERROR(__xludf.DUMMYFUNCTION("""COMPUTED_VALUE"""),"ZUVIUS LIFE SCIENSE PVT LTD")</f>
        <v>ZUVIUS LIFE SCIENSE PVT LTD</v>
      </c>
    </row>
    <row r="3154">
      <c r="H3154" s="5" t="str">
        <f>IFERROR(__xludf.DUMMYFUNCTION("""COMPUTED_VALUE"""),"ZYCARE PHARMACEUTICALS")</f>
        <v>ZYCARE PHARMACEUTICALS</v>
      </c>
    </row>
    <row r="3155">
      <c r="H3155" s="5" t="str">
        <f>IFERROR(__xludf.DUMMYFUNCTION("""COMPUTED_VALUE"""),"ZYDAR PHARMACEUTICALS P LTD")</f>
        <v>ZYDAR PHARMACEUTICALS P LTD</v>
      </c>
    </row>
    <row r="3156">
      <c r="H3156" s="5" t="str">
        <f>IFERROR(__xludf.DUMMYFUNCTION("""COMPUTED_VALUE"""),"ZYDUS (ALIDAC)")</f>
        <v>ZYDUS (ALIDAC)</v>
      </c>
    </row>
    <row r="3157">
      <c r="H3157" s="5" t="str">
        <f>IFERROR(__xludf.DUMMYFUNCTION("""COMPUTED_VALUE"""),"ZYDUS (CADILA)")</f>
        <v>ZYDUS (CADILA)</v>
      </c>
    </row>
    <row r="3158">
      <c r="H3158" s="5" t="str">
        <f>IFERROR(__xludf.DUMMYFUNCTION("""COMPUTED_VALUE"""),"ZYDUS (CARDIVA)")</f>
        <v>ZYDUS (CARDIVA)</v>
      </c>
    </row>
    <row r="3159">
      <c r="H3159" s="5" t="str">
        <f>IFERROR(__xludf.DUMMYFUNCTION("""COMPUTED_VALUE"""),"ZYDUS (CND)")</f>
        <v>ZYDUS (CND)</v>
      </c>
    </row>
    <row r="3160">
      <c r="H3160" s="5" t="str">
        <f>IFERROR(__xludf.DUMMYFUNCTION("""COMPUTED_VALUE"""),"ZYDUS (CORZA)")</f>
        <v>ZYDUS (CORZA)</v>
      </c>
    </row>
    <row r="3161">
      <c r="H3161" s="5" t="str">
        <f>IFERROR(__xludf.DUMMYFUNCTION("""COMPUTED_VALUE"""),"ZYDUS (DISCOVERY)")</f>
        <v>ZYDUS (DISCOVERY)</v>
      </c>
    </row>
    <row r="3162">
      <c r="H3162" s="5" t="str">
        <f>IFERROR(__xludf.DUMMYFUNCTION("""COMPUTED_VALUE"""),"ZYDUS (FORTIZA)")</f>
        <v>ZYDUS (FORTIZA)</v>
      </c>
    </row>
    <row r="3163">
      <c r="H3163" s="5" t="str">
        <f>IFERROR(__xludf.DUMMYFUNCTION("""COMPUTED_VALUE"""),"ZYDUS (GEO)")</f>
        <v>ZYDUS (GEO)</v>
      </c>
    </row>
    <row r="3164">
      <c r="H3164" s="5" t="str">
        <f>IFERROR(__xludf.DUMMYFUNCTION("""COMPUTED_VALUE"""),"ZYDUS (HEPTIZA)")</f>
        <v>ZYDUS (HEPTIZA)</v>
      </c>
    </row>
    <row r="3165">
      <c r="H3165" s="5" t="str">
        <f>IFERROR(__xludf.DUMMYFUNCTION("""COMPUTED_VALUE"""),"ZYDUS (MEDICA)")</f>
        <v>ZYDUS (MEDICA)</v>
      </c>
    </row>
    <row r="3166">
      <c r="H3166" s="5" t="str">
        <f>IFERROR(__xludf.DUMMYFUNCTION("""COMPUTED_VALUE"""),"ZYDUS (NEPHRO 1)")</f>
        <v>ZYDUS (NEPHRO 1)</v>
      </c>
    </row>
    <row r="3167">
      <c r="H3167" s="5" t="str">
        <f>IFERROR(__xludf.DUMMYFUNCTION("""COMPUTED_VALUE"""),"ZYDUS (NEPHRO TRANSPLANT)")</f>
        <v>ZYDUS (NEPHRO TRANSPLANT)</v>
      </c>
    </row>
    <row r="3168">
      <c r="H3168" s="5" t="str">
        <f>IFERROR(__xludf.DUMMYFUNCTION("""COMPUTED_VALUE"""),"ZYDUS (NEUROSCIENCES)")</f>
        <v>ZYDUS (NEUROSCIENCES)</v>
      </c>
    </row>
    <row r="3169">
      <c r="H3169" s="5" t="str">
        <f>IFERROR(__xludf.DUMMYFUNCTION("""COMPUTED_VALUE"""),"ZYDUS (NUTRIVA)")</f>
        <v>ZYDUS (NUTRIVA)</v>
      </c>
    </row>
    <row r="3170">
      <c r="H3170" s="5" t="str">
        <f>IFERROR(__xludf.DUMMYFUNCTION("""COMPUTED_VALUE"""),"ZYDUS (OCCURE)")</f>
        <v>ZYDUS (OCCURE)</v>
      </c>
    </row>
    <row r="3171">
      <c r="H3171" s="5" t="str">
        <f>IFERROR(__xludf.DUMMYFUNCTION("""COMPUTED_VALUE"""),"ZYDUS (ONCOSCIENCES)")</f>
        <v>ZYDUS (ONCOSCIENCES)</v>
      </c>
    </row>
    <row r="3172">
      <c r="H3172" s="5" t="str">
        <f>IFERROR(__xludf.DUMMYFUNCTION("""COMPUTED_VALUE"""),"ZYDUS (OSTIVIA)")</f>
        <v>ZYDUS (OSTIVIA)</v>
      </c>
    </row>
    <row r="3173">
      <c r="H3173" s="5" t="str">
        <f>IFERROR(__xludf.DUMMYFUNCTION("""COMPUTED_VALUE"""),"ZYDUS (SYNOVIA)")</f>
        <v>ZYDUS (SYNOVIA)</v>
      </c>
    </row>
    <row r="3174">
      <c r="H3174" s="5" t="str">
        <f>IFERROR(__xludf.DUMMYFUNCTION("""COMPUTED_VALUE"""),"ZYDUS (UROSCIENCES)")</f>
        <v>ZYDUS (UROSCIENCES)</v>
      </c>
    </row>
    <row r="3175">
      <c r="H3175" s="5" t="str">
        <f>IFERROR(__xludf.DUMMYFUNCTION("""COMPUTED_VALUE"""),"ZYDUS ANIMAL HEALTHCARE LIMITED")</f>
        <v>ZYDUS ANIMAL HEALTHCARE LIMITED</v>
      </c>
    </row>
    <row r="3176">
      <c r="H3176" s="5" t="str">
        <f>IFERROR(__xludf.DUMMYFUNCTION("""COMPUTED_VALUE"""),"Zydus Cadila Healthcare")</f>
        <v>Zydus Cadila Healthcare</v>
      </c>
    </row>
    <row r="3177">
      <c r="H3177" s="5" t="str">
        <f>IFERROR(__xludf.DUMMYFUNCTION("""COMPUTED_VALUE"""),"ZYDUS WELLNESS LIMITED")</f>
        <v>ZYDUS WELLNESS LIMITED</v>
      </c>
    </row>
    <row r="3178">
      <c r="H3178" s="5" t="str">
        <f>IFERROR(__xludf.DUMMYFUNCTION("""COMPUTED_VALUE"""),"ZYLIG LIFESCIENCES")</f>
        <v>ZYLIG LIFESCIENCES</v>
      </c>
    </row>
    <row r="3179">
      <c r="H3179" s="5" t="str">
        <f>IFERROR(__xludf.DUMMYFUNCTION("""COMPUTED_VALUE"""),"ZYMES BIOSCIENCE PVT LTD")</f>
        <v>ZYMES BIOSCIENCE PVT LTD</v>
      </c>
    </row>
    <row r="3180">
      <c r="H3180" s="5" t="str">
        <f>IFERROR(__xludf.DUMMYFUNCTION("""COMPUTED_VALUE"""),"ZYNEXT PHARMA")</f>
        <v>ZYNEXT PHARMA</v>
      </c>
    </row>
    <row r="3181">
      <c r="H3181" s="5" t="str">
        <f>IFERROR(__xludf.DUMMYFUNCTION("""COMPUTED_VALUE"""),"ZYPHAR'S PHARMACEUTIC'S PVT LT")</f>
        <v>ZYPHAR'S PHARMACEUTIC'S PVT LT</v>
      </c>
    </row>
    <row r="3182">
      <c r="H3182" s="5" t="str">
        <f>IFERROR(__xludf.DUMMYFUNCTION("""COMPUTED_VALUE"""),"#N/A")</f>
        <v>#N/A</v>
      </c>
    </row>
    <row r="3183">
      <c r="H3183" s="5"/>
    </row>
    <row r="3184">
      <c r="H3184" s="5"/>
    </row>
    <row r="3185">
      <c r="H3185" s="5"/>
    </row>
    <row r="3186">
      <c r="H3186" s="5"/>
    </row>
    <row r="3187">
      <c r="H3187" s="5"/>
    </row>
    <row r="3188">
      <c r="H3188" s="5"/>
    </row>
    <row r="3189">
      <c r="H3189" s="5"/>
    </row>
    <row r="3190">
      <c r="H3190" s="5"/>
    </row>
    <row r="3191">
      <c r="H3191" s="5"/>
    </row>
    <row r="3192">
      <c r="H3192" s="5"/>
    </row>
    <row r="3193">
      <c r="H3193" s="5"/>
    </row>
    <row r="3194">
      <c r="H3194" s="5"/>
    </row>
    <row r="3195">
      <c r="H3195" s="5"/>
    </row>
    <row r="3196">
      <c r="H3196" s="5"/>
    </row>
    <row r="3197">
      <c r="H3197" s="5"/>
    </row>
    <row r="3198">
      <c r="H3198" s="5"/>
    </row>
    <row r="3199">
      <c r="H3199" s="5"/>
    </row>
    <row r="3200">
      <c r="H3200" s="5"/>
    </row>
    <row r="3201">
      <c r="H3201" s="5"/>
    </row>
    <row r="3202">
      <c r="H3202" s="5"/>
    </row>
    <row r="3203">
      <c r="H3203" s="5"/>
    </row>
    <row r="3204">
      <c r="H3204" s="5"/>
    </row>
    <row r="3205">
      <c r="H3205" s="5"/>
    </row>
    <row r="3206">
      <c r="H3206" s="5"/>
    </row>
    <row r="3207">
      <c r="H3207" s="5"/>
    </row>
    <row r="3208">
      <c r="H3208" s="5"/>
    </row>
    <row r="3209">
      <c r="H3209" s="5"/>
    </row>
    <row r="3210">
      <c r="H3210" s="5"/>
    </row>
    <row r="3211">
      <c r="H3211" s="5"/>
    </row>
    <row r="3212">
      <c r="H3212" s="5"/>
    </row>
    <row r="3213">
      <c r="H3213" s="5"/>
    </row>
    <row r="3214">
      <c r="H3214" s="5"/>
    </row>
    <row r="3215">
      <c r="H3215" s="5"/>
    </row>
    <row r="3216">
      <c r="H3216" s="5"/>
    </row>
    <row r="3217">
      <c r="H3217" s="5"/>
    </row>
    <row r="3218">
      <c r="H3218" s="5"/>
    </row>
    <row r="3219">
      <c r="H3219" s="5"/>
    </row>
    <row r="3220">
      <c r="H3220" s="5"/>
    </row>
    <row r="3221">
      <c r="H3221" s="5"/>
    </row>
    <row r="3222">
      <c r="H3222" s="5"/>
    </row>
    <row r="3223">
      <c r="H3223" s="5"/>
    </row>
    <row r="3224">
      <c r="H3224" s="5"/>
    </row>
    <row r="3225">
      <c r="H3225" s="5"/>
    </row>
    <row r="3226">
      <c r="H3226" s="5"/>
    </row>
    <row r="3227">
      <c r="H3227" s="5"/>
    </row>
    <row r="3228">
      <c r="H3228" s="5"/>
    </row>
    <row r="3229">
      <c r="H3229" s="5"/>
    </row>
    <row r="3230">
      <c r="H3230" s="5"/>
    </row>
    <row r="3231">
      <c r="H3231" s="5"/>
    </row>
    <row r="3232">
      <c r="H3232" s="5"/>
    </row>
    <row r="3233">
      <c r="H3233" s="5"/>
    </row>
    <row r="3234">
      <c r="H3234" s="5"/>
    </row>
    <row r="3235">
      <c r="H3235" s="5"/>
    </row>
    <row r="3236">
      <c r="H3236" s="5"/>
    </row>
    <row r="3237">
      <c r="H3237" s="5"/>
    </row>
    <row r="3238">
      <c r="H3238" s="5"/>
    </row>
    <row r="3239">
      <c r="H3239" s="5"/>
    </row>
    <row r="3240">
      <c r="H3240" s="5"/>
    </row>
    <row r="3241">
      <c r="H3241" s="5"/>
    </row>
    <row r="3242">
      <c r="H3242" s="5"/>
    </row>
    <row r="3243">
      <c r="H3243" s="5"/>
    </row>
    <row r="3244">
      <c r="H3244" s="5"/>
    </row>
    <row r="3245">
      <c r="H3245" s="5"/>
    </row>
    <row r="3246">
      <c r="H3246" s="5"/>
    </row>
    <row r="3247">
      <c r="H3247" s="5"/>
    </row>
    <row r="3248">
      <c r="H3248" s="5"/>
    </row>
    <row r="3249">
      <c r="H3249" s="5"/>
    </row>
    <row r="3250">
      <c r="H3250" s="5"/>
    </row>
    <row r="3251">
      <c r="H3251" s="5"/>
    </row>
    <row r="3252">
      <c r="H3252" s="5"/>
    </row>
    <row r="3253">
      <c r="H3253" s="5"/>
    </row>
    <row r="3254">
      <c r="H3254" s="5"/>
    </row>
    <row r="3255">
      <c r="H3255" s="5"/>
    </row>
    <row r="3256">
      <c r="H3256" s="5"/>
    </row>
    <row r="3257">
      <c r="H3257" s="5"/>
    </row>
    <row r="3258">
      <c r="H3258" s="5"/>
    </row>
    <row r="3259">
      <c r="H3259" s="5"/>
    </row>
    <row r="3260">
      <c r="H3260" s="5"/>
    </row>
    <row r="3261">
      <c r="H3261" s="5"/>
    </row>
    <row r="3262">
      <c r="H3262" s="5"/>
    </row>
    <row r="3263">
      <c r="H3263" s="5"/>
    </row>
    <row r="3264">
      <c r="H3264" s="5"/>
    </row>
    <row r="3265">
      <c r="H3265" s="5"/>
    </row>
    <row r="3266">
      <c r="H3266" s="5"/>
    </row>
    <row r="3267">
      <c r="H3267" s="5"/>
    </row>
    <row r="3268">
      <c r="H3268" s="5"/>
    </row>
    <row r="3269">
      <c r="H3269" s="5"/>
    </row>
    <row r="3270">
      <c r="H3270" s="5"/>
    </row>
    <row r="3271">
      <c r="H3271" s="5"/>
    </row>
    <row r="3272">
      <c r="H3272" s="5"/>
    </row>
    <row r="3273">
      <c r="H3273" s="5"/>
    </row>
    <row r="3274">
      <c r="H3274" s="5"/>
    </row>
    <row r="3275">
      <c r="H3275" s="5"/>
    </row>
    <row r="3276">
      <c r="H3276" s="5"/>
    </row>
    <row r="3277">
      <c r="H3277" s="5"/>
    </row>
    <row r="3278">
      <c r="H3278" s="5"/>
    </row>
    <row r="3279">
      <c r="H3279" s="5"/>
    </row>
    <row r="3280">
      <c r="H3280" s="5"/>
    </row>
    <row r="3281">
      <c r="H3281" s="5"/>
    </row>
    <row r="3282">
      <c r="H3282" s="5"/>
    </row>
    <row r="3283">
      <c r="H3283" s="5"/>
    </row>
    <row r="3284">
      <c r="H3284" s="5"/>
    </row>
    <row r="3285">
      <c r="H3285" s="5"/>
    </row>
    <row r="3286">
      <c r="H3286" s="5"/>
    </row>
    <row r="3287">
      <c r="H3287" s="5"/>
    </row>
    <row r="3288">
      <c r="H3288" s="5"/>
    </row>
    <row r="3289">
      <c r="H3289" s="5"/>
    </row>
    <row r="3290">
      <c r="H3290" s="5"/>
    </row>
    <row r="3291">
      <c r="H3291" s="5"/>
    </row>
    <row r="3292">
      <c r="H3292" s="5"/>
    </row>
    <row r="3293">
      <c r="H3293" s="5"/>
    </row>
    <row r="3294">
      <c r="H3294" s="5"/>
    </row>
    <row r="3295">
      <c r="H3295" s="5"/>
    </row>
    <row r="3296">
      <c r="H3296" s="5"/>
    </row>
    <row r="3297">
      <c r="H3297" s="5"/>
    </row>
    <row r="3298">
      <c r="H3298" s="5"/>
    </row>
    <row r="3299">
      <c r="H3299" s="5"/>
    </row>
    <row r="3300">
      <c r="H3300" s="5"/>
    </row>
    <row r="3301">
      <c r="H3301" s="5"/>
    </row>
    <row r="3302">
      <c r="H3302" s="5"/>
    </row>
    <row r="3303">
      <c r="H3303" s="5"/>
    </row>
    <row r="3304">
      <c r="H3304" s="5"/>
    </row>
    <row r="3305">
      <c r="H3305" s="5"/>
    </row>
    <row r="3306">
      <c r="H3306" s="5"/>
    </row>
    <row r="3307">
      <c r="H3307" s="5"/>
    </row>
    <row r="3308">
      <c r="H3308" s="5"/>
    </row>
    <row r="3309">
      <c r="H3309" s="5"/>
    </row>
    <row r="3310">
      <c r="H3310" s="5"/>
    </row>
    <row r="3311">
      <c r="H3311" s="5"/>
    </row>
    <row r="3312">
      <c r="H3312" s="5"/>
    </row>
    <row r="3313">
      <c r="H3313" s="5"/>
    </row>
    <row r="3314">
      <c r="H3314" s="5"/>
    </row>
    <row r="3315">
      <c r="H3315" s="5"/>
    </row>
    <row r="3316">
      <c r="H3316" s="5"/>
    </row>
    <row r="3317">
      <c r="H3317" s="5"/>
    </row>
    <row r="3318">
      <c r="H3318" s="5"/>
    </row>
    <row r="3319">
      <c r="H3319" s="5"/>
    </row>
    <row r="3320">
      <c r="H3320" s="5"/>
    </row>
    <row r="3321">
      <c r="H3321" s="5"/>
    </row>
    <row r="3322">
      <c r="H3322" s="5"/>
    </row>
    <row r="3323">
      <c r="H3323" s="5"/>
    </row>
    <row r="3324">
      <c r="H3324" s="5"/>
    </row>
    <row r="3325">
      <c r="H3325" s="5"/>
    </row>
    <row r="3326">
      <c r="H3326" s="5"/>
    </row>
    <row r="3327">
      <c r="H3327" s="5"/>
    </row>
    <row r="3328">
      <c r="H3328" s="5"/>
    </row>
    <row r="3329">
      <c r="H3329" s="5"/>
    </row>
    <row r="3330">
      <c r="H3330" s="5"/>
    </row>
    <row r="3331">
      <c r="H3331" s="5"/>
    </row>
    <row r="3332">
      <c r="H3332" s="5"/>
    </row>
    <row r="3333">
      <c r="H3333" s="5"/>
    </row>
    <row r="3334">
      <c r="H3334" s="5"/>
    </row>
    <row r="3335">
      <c r="H3335" s="5"/>
    </row>
    <row r="3336">
      <c r="H3336" s="5"/>
    </row>
    <row r="3337">
      <c r="H3337" s="5"/>
    </row>
    <row r="3338">
      <c r="H3338" s="5"/>
    </row>
    <row r="3339">
      <c r="H3339" s="5"/>
    </row>
    <row r="3340">
      <c r="H3340" s="5"/>
    </row>
    <row r="3341">
      <c r="H3341" s="5"/>
    </row>
    <row r="3342">
      <c r="H3342" s="5"/>
    </row>
    <row r="3343">
      <c r="H3343" s="5"/>
    </row>
    <row r="3344">
      <c r="H3344" s="5"/>
    </row>
    <row r="3345">
      <c r="H3345" s="5"/>
    </row>
    <row r="3346">
      <c r="H3346" s="5"/>
    </row>
    <row r="3347">
      <c r="H3347" s="5"/>
    </row>
    <row r="3348">
      <c r="H3348" s="5"/>
    </row>
    <row r="3349">
      <c r="H3349" s="5"/>
    </row>
    <row r="3350">
      <c r="H3350" s="5"/>
    </row>
    <row r="3351">
      <c r="H3351" s="5"/>
    </row>
    <row r="3352">
      <c r="H3352" s="5"/>
    </row>
    <row r="3353">
      <c r="H3353" s="5"/>
    </row>
    <row r="3354">
      <c r="H3354" s="5"/>
    </row>
    <row r="3355">
      <c r="H3355" s="5"/>
    </row>
    <row r="3356">
      <c r="H3356" s="5"/>
    </row>
    <row r="3357">
      <c r="H3357" s="5"/>
    </row>
    <row r="3358">
      <c r="H3358" s="5"/>
    </row>
    <row r="3359">
      <c r="H3359" s="5"/>
    </row>
    <row r="3360">
      <c r="H3360" s="5"/>
    </row>
    <row r="3361">
      <c r="H3361" s="5"/>
    </row>
    <row r="3362">
      <c r="H3362" s="5"/>
    </row>
    <row r="3363">
      <c r="H3363" s="5"/>
    </row>
    <row r="3364">
      <c r="H3364" s="5"/>
    </row>
    <row r="3365">
      <c r="H3365" s="5"/>
    </row>
    <row r="3366">
      <c r="H3366" s="5"/>
    </row>
    <row r="3367">
      <c r="H3367" s="5"/>
    </row>
    <row r="3368">
      <c r="H3368" s="5"/>
    </row>
    <row r="3369">
      <c r="H3369" s="5"/>
    </row>
    <row r="3370">
      <c r="H3370" s="5"/>
    </row>
    <row r="3371">
      <c r="H3371" s="5"/>
    </row>
    <row r="3372">
      <c r="H3372" s="5"/>
    </row>
    <row r="3373">
      <c r="H3373" s="5"/>
    </row>
    <row r="3374">
      <c r="H3374" s="5"/>
    </row>
    <row r="3375">
      <c r="H3375" s="5"/>
    </row>
    <row r="3376">
      <c r="H3376" s="5"/>
    </row>
    <row r="3377">
      <c r="H3377" s="5"/>
    </row>
    <row r="3378">
      <c r="H3378" s="5"/>
    </row>
    <row r="3379">
      <c r="H3379" s="5"/>
    </row>
    <row r="3380">
      <c r="H3380" s="5"/>
    </row>
    <row r="3381">
      <c r="H3381" s="5"/>
    </row>
    <row r="3382">
      <c r="H3382" s="5"/>
    </row>
    <row r="3383">
      <c r="H3383" s="5"/>
    </row>
    <row r="3384">
      <c r="H3384" s="5"/>
    </row>
    <row r="3385">
      <c r="H3385" s="5"/>
    </row>
    <row r="3386">
      <c r="H3386" s="5"/>
    </row>
    <row r="3387">
      <c r="H3387" s="5"/>
    </row>
    <row r="3388">
      <c r="H3388" s="5"/>
    </row>
    <row r="3389">
      <c r="H3389" s="5"/>
    </row>
    <row r="3390">
      <c r="H3390" s="5"/>
    </row>
    <row r="3391">
      <c r="H3391" s="5"/>
    </row>
    <row r="3392">
      <c r="H3392" s="5"/>
    </row>
    <row r="3393">
      <c r="H3393" s="5"/>
    </row>
    <row r="3394">
      <c r="H3394" s="5"/>
    </row>
    <row r="3395">
      <c r="H3395" s="5"/>
    </row>
    <row r="3396">
      <c r="H3396" s="5"/>
    </row>
    <row r="3397">
      <c r="H3397" s="5"/>
    </row>
    <row r="3398">
      <c r="H3398" s="5"/>
    </row>
    <row r="3399">
      <c r="H3399" s="5"/>
    </row>
    <row r="3400">
      <c r="H3400" s="5"/>
    </row>
    <row r="3401">
      <c r="H3401" s="5"/>
    </row>
    <row r="3402">
      <c r="H3402" s="5"/>
    </row>
    <row r="3403">
      <c r="H3403" s="5"/>
    </row>
    <row r="3404">
      <c r="H3404" s="5"/>
    </row>
    <row r="3405">
      <c r="H3405" s="5"/>
    </row>
    <row r="3406">
      <c r="H3406" s="5"/>
    </row>
    <row r="3407">
      <c r="H3407" s="5"/>
    </row>
    <row r="3408">
      <c r="H3408" s="5"/>
    </row>
    <row r="3409">
      <c r="H3409" s="5"/>
    </row>
    <row r="3410">
      <c r="H3410" s="5"/>
    </row>
    <row r="3411">
      <c r="H3411" s="5"/>
    </row>
    <row r="3412">
      <c r="H3412" s="5"/>
    </row>
    <row r="3413">
      <c r="H3413" s="5"/>
    </row>
    <row r="3414">
      <c r="H3414" s="5"/>
    </row>
    <row r="3415">
      <c r="H3415" s="5"/>
    </row>
    <row r="3416">
      <c r="H3416" s="5"/>
    </row>
    <row r="3417">
      <c r="H3417" s="5"/>
    </row>
    <row r="3418">
      <c r="H3418" s="5"/>
    </row>
    <row r="3419">
      <c r="H3419" s="5"/>
    </row>
    <row r="3420">
      <c r="H3420" s="5"/>
    </row>
    <row r="3421">
      <c r="H3421" s="5"/>
    </row>
    <row r="3422">
      <c r="H3422" s="5"/>
    </row>
    <row r="3423">
      <c r="H3423" s="5"/>
    </row>
    <row r="3424">
      <c r="H3424" s="5"/>
    </row>
    <row r="3425">
      <c r="H3425" s="5"/>
    </row>
    <row r="3426">
      <c r="H3426" s="5"/>
    </row>
    <row r="3427">
      <c r="H3427" s="5"/>
    </row>
    <row r="3428">
      <c r="H3428" s="5"/>
    </row>
    <row r="3429">
      <c r="H3429" s="5"/>
    </row>
    <row r="3430">
      <c r="H3430" s="5"/>
    </row>
    <row r="3431">
      <c r="H3431" s="5"/>
    </row>
    <row r="3432">
      <c r="H3432" s="5"/>
    </row>
    <row r="3433">
      <c r="H3433" s="5"/>
    </row>
    <row r="3434">
      <c r="H3434" s="5"/>
    </row>
    <row r="3435">
      <c r="H3435" s="5"/>
    </row>
    <row r="3436">
      <c r="H3436" s="5"/>
    </row>
    <row r="3437">
      <c r="H3437" s="5"/>
    </row>
    <row r="3438">
      <c r="H3438" s="5"/>
    </row>
    <row r="3439">
      <c r="H3439" s="5"/>
    </row>
    <row r="3440">
      <c r="H3440" s="5"/>
    </row>
    <row r="3441">
      <c r="H3441" s="5"/>
    </row>
    <row r="3442">
      <c r="H3442" s="5"/>
    </row>
    <row r="3443">
      <c r="H3443" s="5"/>
    </row>
    <row r="3444">
      <c r="H3444" s="5"/>
    </row>
    <row r="3445">
      <c r="H3445" s="5"/>
    </row>
    <row r="3446">
      <c r="H3446" s="5"/>
    </row>
    <row r="3447">
      <c r="H3447" s="5"/>
    </row>
    <row r="3448">
      <c r="H3448" s="5"/>
    </row>
    <row r="3449">
      <c r="H3449" s="5"/>
    </row>
    <row r="3450">
      <c r="H3450" s="5"/>
    </row>
    <row r="3451">
      <c r="H3451" s="5"/>
    </row>
    <row r="3452">
      <c r="H3452" s="5"/>
    </row>
    <row r="3453">
      <c r="H3453" s="5"/>
    </row>
    <row r="3454">
      <c r="H3454" s="5"/>
    </row>
    <row r="3455">
      <c r="H3455" s="5"/>
    </row>
    <row r="3456">
      <c r="H3456" s="5"/>
    </row>
    <row r="3457">
      <c r="H3457" s="5"/>
    </row>
    <row r="3458">
      <c r="H3458" s="5"/>
    </row>
    <row r="3459">
      <c r="H3459" s="5"/>
    </row>
    <row r="3460">
      <c r="H3460" s="5"/>
    </row>
    <row r="3461">
      <c r="H3461" s="5"/>
    </row>
    <row r="3462">
      <c r="H3462" s="5"/>
    </row>
    <row r="3463">
      <c r="H3463" s="5"/>
    </row>
    <row r="3464">
      <c r="H3464" s="5"/>
    </row>
    <row r="3465">
      <c r="H3465" s="5"/>
    </row>
    <row r="3466">
      <c r="H3466" s="5"/>
    </row>
    <row r="3467">
      <c r="H3467" s="5"/>
    </row>
    <row r="3468">
      <c r="H3468" s="5"/>
    </row>
    <row r="3469">
      <c r="H3469" s="5"/>
    </row>
    <row r="3470">
      <c r="H3470" s="5"/>
    </row>
    <row r="3471">
      <c r="H3471" s="5"/>
    </row>
    <row r="3472">
      <c r="H3472" s="5"/>
    </row>
    <row r="3473">
      <c r="H3473" s="5"/>
    </row>
    <row r="3474">
      <c r="H3474" s="5"/>
    </row>
    <row r="3475">
      <c r="H3475" s="5"/>
    </row>
    <row r="3476">
      <c r="H3476" s="5"/>
    </row>
    <row r="3477">
      <c r="H3477" s="5"/>
    </row>
    <row r="3478">
      <c r="H3478" s="5"/>
    </row>
    <row r="3479">
      <c r="H3479" s="5"/>
    </row>
    <row r="3480">
      <c r="H3480" s="5"/>
    </row>
    <row r="3481">
      <c r="H3481" s="5"/>
    </row>
    <row r="3482">
      <c r="H3482" s="5"/>
    </row>
    <row r="3483">
      <c r="H3483" s="5"/>
    </row>
    <row r="3484">
      <c r="H3484" s="5"/>
    </row>
    <row r="3485">
      <c r="H3485" s="5"/>
    </row>
    <row r="3486">
      <c r="H3486" s="5"/>
    </row>
    <row r="3487">
      <c r="H3487" s="5"/>
    </row>
    <row r="3488">
      <c r="H3488" s="5"/>
    </row>
    <row r="3489">
      <c r="H3489" s="5"/>
    </row>
    <row r="3490">
      <c r="H3490" s="5"/>
    </row>
    <row r="3491">
      <c r="H3491" s="5"/>
    </row>
    <row r="3492">
      <c r="H3492" s="5"/>
    </row>
    <row r="3493">
      <c r="H3493" s="5"/>
    </row>
    <row r="3494">
      <c r="H3494" s="5"/>
    </row>
    <row r="3495">
      <c r="H3495" s="5"/>
    </row>
    <row r="3496">
      <c r="H3496" s="5"/>
    </row>
    <row r="3497">
      <c r="H3497" s="5"/>
    </row>
    <row r="3498">
      <c r="H3498" s="5"/>
    </row>
    <row r="3499">
      <c r="H3499" s="5"/>
    </row>
    <row r="3500">
      <c r="H3500" s="5"/>
    </row>
    <row r="3501">
      <c r="H3501" s="5"/>
    </row>
    <row r="3502">
      <c r="H3502" s="5"/>
    </row>
    <row r="3503">
      <c r="H3503" s="5"/>
    </row>
    <row r="3504">
      <c r="H3504" s="5"/>
    </row>
    <row r="3505">
      <c r="H3505" s="5"/>
    </row>
    <row r="3506">
      <c r="H3506" s="5"/>
    </row>
    <row r="3507">
      <c r="H3507" s="5"/>
    </row>
    <row r="3508">
      <c r="H3508" s="5"/>
    </row>
    <row r="3509">
      <c r="H3509" s="5"/>
    </row>
    <row r="3510">
      <c r="H3510" s="5"/>
    </row>
    <row r="3511">
      <c r="H3511" s="5"/>
    </row>
    <row r="3512">
      <c r="H3512" s="5"/>
    </row>
    <row r="3513">
      <c r="H3513" s="5"/>
    </row>
    <row r="3514">
      <c r="H3514" s="5"/>
    </row>
    <row r="3515">
      <c r="H3515" s="5"/>
    </row>
    <row r="3516">
      <c r="H3516" s="5"/>
    </row>
    <row r="3517">
      <c r="H3517" s="5"/>
    </row>
    <row r="3518">
      <c r="H3518" s="5"/>
    </row>
    <row r="3519">
      <c r="H3519" s="5"/>
    </row>
    <row r="3520">
      <c r="H3520" s="5"/>
    </row>
    <row r="3521">
      <c r="H3521" s="5"/>
    </row>
    <row r="3522">
      <c r="H3522" s="5"/>
    </row>
    <row r="3523">
      <c r="H3523" s="5"/>
    </row>
    <row r="3524">
      <c r="H3524" s="5"/>
    </row>
    <row r="3525">
      <c r="H3525" s="5"/>
    </row>
    <row r="3526">
      <c r="H3526" s="5"/>
    </row>
    <row r="3527">
      <c r="H3527" s="5"/>
    </row>
    <row r="3528">
      <c r="H3528" s="5"/>
    </row>
    <row r="3529">
      <c r="H3529" s="5"/>
    </row>
    <row r="3530">
      <c r="H3530" s="5"/>
    </row>
    <row r="3531">
      <c r="H3531" s="5"/>
    </row>
    <row r="3532">
      <c r="H3532" s="5"/>
    </row>
    <row r="3533">
      <c r="H3533" s="5"/>
    </row>
    <row r="3534">
      <c r="H3534" s="5"/>
    </row>
    <row r="3535">
      <c r="H3535" s="5"/>
    </row>
    <row r="3536">
      <c r="H3536" s="5"/>
    </row>
    <row r="3537">
      <c r="H3537" s="5"/>
    </row>
    <row r="3538">
      <c r="H3538" s="5"/>
    </row>
    <row r="3539">
      <c r="H3539" s="5"/>
    </row>
    <row r="3540">
      <c r="H3540" s="5"/>
    </row>
    <row r="3541">
      <c r="H3541" s="5"/>
    </row>
    <row r="3542">
      <c r="H3542" s="5"/>
    </row>
    <row r="3543">
      <c r="H3543" s="5"/>
    </row>
    <row r="3544">
      <c r="H3544" s="5"/>
    </row>
    <row r="3545">
      <c r="H3545" s="5"/>
    </row>
    <row r="3546">
      <c r="H3546" s="5"/>
    </row>
    <row r="3547">
      <c r="H3547" s="5"/>
    </row>
    <row r="3548">
      <c r="H3548" s="5"/>
    </row>
    <row r="3549">
      <c r="H3549" s="5"/>
    </row>
    <row r="3550">
      <c r="H3550" s="5"/>
    </row>
    <row r="3551">
      <c r="H3551" s="5"/>
    </row>
    <row r="3552">
      <c r="H3552" s="5"/>
    </row>
    <row r="3553">
      <c r="H3553" s="5"/>
    </row>
    <row r="3554">
      <c r="H3554" s="5"/>
    </row>
    <row r="3555">
      <c r="H3555" s="5"/>
    </row>
    <row r="3556">
      <c r="H3556" s="5"/>
    </row>
    <row r="3557">
      <c r="H3557" s="5"/>
    </row>
    <row r="3558">
      <c r="H3558" s="5"/>
    </row>
    <row r="3559">
      <c r="H3559" s="5"/>
    </row>
    <row r="3560">
      <c r="H3560" s="5"/>
    </row>
    <row r="3561">
      <c r="H3561" s="5"/>
    </row>
    <row r="3562">
      <c r="H3562" s="5"/>
    </row>
    <row r="3563">
      <c r="H3563" s="5"/>
    </row>
    <row r="3564">
      <c r="H3564" s="5"/>
    </row>
    <row r="3565">
      <c r="H3565" s="5"/>
    </row>
    <row r="3566">
      <c r="H3566" s="5"/>
    </row>
    <row r="3567">
      <c r="H3567" s="5"/>
    </row>
    <row r="3568">
      <c r="H3568" s="5"/>
    </row>
    <row r="3569">
      <c r="H3569" s="5"/>
    </row>
    <row r="3570">
      <c r="H3570" s="5"/>
    </row>
    <row r="3571">
      <c r="H3571" s="5"/>
    </row>
    <row r="3572">
      <c r="H3572" s="5"/>
    </row>
    <row r="3573">
      <c r="H3573" s="5"/>
    </row>
    <row r="3574">
      <c r="H3574" s="5"/>
    </row>
    <row r="3575">
      <c r="H3575" s="5"/>
    </row>
    <row r="3576">
      <c r="H3576" s="5"/>
    </row>
    <row r="3577">
      <c r="H3577" s="5"/>
    </row>
    <row r="3578">
      <c r="H3578" s="5"/>
    </row>
    <row r="3579">
      <c r="H3579" s="5"/>
    </row>
    <row r="3580">
      <c r="H3580" s="5"/>
    </row>
    <row r="3581">
      <c r="H3581" s="5"/>
    </row>
    <row r="3582">
      <c r="H3582" s="5"/>
    </row>
    <row r="3583">
      <c r="H3583" s="5"/>
    </row>
    <row r="3584">
      <c r="H3584" s="5"/>
    </row>
    <row r="3585">
      <c r="H3585" s="5"/>
    </row>
    <row r="3586">
      <c r="H3586" s="5"/>
    </row>
    <row r="3587">
      <c r="H3587" s="5"/>
    </row>
    <row r="3588">
      <c r="H3588" s="5"/>
    </row>
    <row r="3589">
      <c r="H3589" s="5"/>
    </row>
    <row r="3590">
      <c r="H3590" s="5"/>
    </row>
    <row r="3591">
      <c r="H3591" s="5"/>
    </row>
    <row r="3592">
      <c r="H3592" s="5"/>
    </row>
    <row r="3593">
      <c r="H3593" s="5"/>
    </row>
    <row r="3594">
      <c r="H3594" s="5"/>
    </row>
    <row r="3595">
      <c r="H3595" s="5"/>
    </row>
    <row r="3596">
      <c r="H3596" s="5"/>
    </row>
    <row r="3597">
      <c r="H3597" s="5"/>
    </row>
    <row r="3598">
      <c r="H3598" s="5"/>
    </row>
    <row r="3599">
      <c r="H3599" s="5"/>
    </row>
    <row r="3600">
      <c r="H3600" s="5"/>
    </row>
    <row r="3601">
      <c r="H3601" s="5"/>
    </row>
    <row r="3602">
      <c r="H3602" s="5"/>
    </row>
    <row r="3603">
      <c r="H3603" s="5"/>
    </row>
    <row r="3604">
      <c r="H3604" s="5"/>
    </row>
    <row r="3605">
      <c r="H3605" s="5"/>
    </row>
    <row r="3606">
      <c r="H3606" s="5"/>
    </row>
    <row r="3607">
      <c r="H3607" s="5"/>
    </row>
    <row r="3608">
      <c r="H3608" s="5"/>
    </row>
    <row r="3609">
      <c r="H3609" s="5"/>
    </row>
    <row r="3610">
      <c r="H3610" s="5"/>
    </row>
    <row r="3611">
      <c r="H3611" s="5"/>
    </row>
    <row r="3612">
      <c r="H3612" s="5"/>
    </row>
    <row r="3613">
      <c r="H3613" s="5"/>
    </row>
    <row r="3614">
      <c r="H3614" s="5"/>
    </row>
    <row r="3615">
      <c r="H3615" s="5"/>
    </row>
    <row r="3616">
      <c r="H3616" s="5"/>
    </row>
    <row r="3617">
      <c r="H3617" s="5"/>
    </row>
    <row r="3618">
      <c r="H3618" s="5"/>
    </row>
    <row r="3619">
      <c r="H3619" s="5"/>
    </row>
    <row r="3620">
      <c r="H3620" s="5"/>
    </row>
    <row r="3621">
      <c r="H3621" s="5"/>
    </row>
    <row r="3622">
      <c r="H3622" s="5"/>
    </row>
    <row r="3623">
      <c r="H3623" s="5"/>
    </row>
    <row r="3624">
      <c r="H3624" s="5"/>
    </row>
    <row r="3625">
      <c r="H3625" s="5"/>
    </row>
    <row r="3626">
      <c r="H3626" s="5"/>
    </row>
    <row r="3627">
      <c r="H3627" s="5"/>
    </row>
    <row r="3628">
      <c r="H3628" s="5"/>
    </row>
    <row r="3629">
      <c r="H3629" s="5"/>
    </row>
    <row r="3630">
      <c r="H3630" s="5"/>
    </row>
    <row r="3631">
      <c r="H3631" s="5"/>
    </row>
    <row r="3632">
      <c r="H3632" s="5"/>
    </row>
    <row r="3633">
      <c r="H3633" s="5"/>
    </row>
    <row r="3634">
      <c r="H3634" s="5"/>
    </row>
    <row r="3635">
      <c r="H3635" s="5"/>
    </row>
    <row r="3636">
      <c r="H3636" s="5"/>
    </row>
    <row r="3637">
      <c r="H3637" s="5"/>
    </row>
    <row r="3638">
      <c r="H3638" s="5"/>
    </row>
    <row r="3639">
      <c r="H3639" s="5"/>
    </row>
    <row r="3640">
      <c r="H3640" s="5"/>
    </row>
    <row r="3641">
      <c r="H3641" s="5"/>
    </row>
    <row r="3642">
      <c r="H3642" s="5"/>
    </row>
    <row r="3643">
      <c r="H3643" s="5"/>
    </row>
    <row r="3644">
      <c r="H3644" s="5"/>
    </row>
    <row r="3645">
      <c r="H3645" s="5"/>
    </row>
    <row r="3646">
      <c r="H3646" s="5"/>
    </row>
    <row r="3647">
      <c r="H3647" s="5"/>
    </row>
    <row r="3648">
      <c r="H3648" s="5"/>
    </row>
    <row r="3649">
      <c r="H3649" s="5"/>
    </row>
    <row r="3650">
      <c r="H3650" s="5"/>
    </row>
    <row r="3651">
      <c r="H3651" s="5"/>
    </row>
    <row r="3652">
      <c r="H3652" s="5"/>
    </row>
    <row r="3653">
      <c r="H3653" s="5"/>
    </row>
    <row r="3654">
      <c r="H3654" s="5"/>
    </row>
    <row r="3655">
      <c r="H3655" s="5"/>
    </row>
    <row r="3656">
      <c r="H3656" s="5"/>
    </row>
    <row r="3657">
      <c r="H3657" s="5"/>
    </row>
    <row r="3658">
      <c r="H3658" s="5"/>
    </row>
    <row r="3659">
      <c r="H3659" s="5"/>
    </row>
    <row r="3660">
      <c r="H3660" s="5"/>
    </row>
    <row r="3661">
      <c r="H3661" s="5"/>
    </row>
    <row r="3662">
      <c r="H3662" s="5"/>
    </row>
    <row r="3663">
      <c r="H3663" s="5"/>
    </row>
    <row r="3664">
      <c r="H3664" s="5"/>
    </row>
    <row r="3665">
      <c r="H3665" s="5"/>
    </row>
    <row r="3666">
      <c r="H3666" s="5"/>
    </row>
    <row r="3667">
      <c r="H3667" s="5"/>
    </row>
    <row r="3668">
      <c r="H3668" s="5"/>
    </row>
    <row r="3669">
      <c r="H3669" s="5"/>
    </row>
    <row r="3670">
      <c r="H3670" s="5"/>
    </row>
    <row r="3671">
      <c r="H3671" s="5"/>
    </row>
    <row r="3672">
      <c r="H3672" s="5"/>
    </row>
    <row r="3673">
      <c r="H3673" s="5"/>
    </row>
    <row r="3674">
      <c r="H3674" s="5"/>
    </row>
    <row r="3675">
      <c r="H3675" s="5"/>
    </row>
    <row r="3676">
      <c r="H3676" s="5"/>
    </row>
    <row r="3677">
      <c r="H3677" s="5"/>
    </row>
    <row r="3678">
      <c r="H3678" s="5"/>
    </row>
    <row r="3679">
      <c r="H3679" s="5"/>
    </row>
    <row r="3680">
      <c r="H3680" s="5"/>
    </row>
    <row r="3681">
      <c r="H3681" s="5"/>
    </row>
    <row r="3682">
      <c r="H3682" s="5"/>
    </row>
  </sheetData>
  <autoFilter ref="$A$1:$X$3682"/>
  <dataValidations>
    <dataValidation type="list" allowBlank="1" sqref="C2:C52">
      <formula1>$H:$H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1.57"/>
    <col customWidth="1" min="2" max="2" width="8.0"/>
    <col customWidth="1" min="3" max="3" width="11.14"/>
    <col customWidth="1" min="4" max="4" width="7.14"/>
    <col customWidth="1" min="5" max="5" width="19.57"/>
    <col customWidth="1" min="6" max="6" width="8.0"/>
    <col customWidth="1" min="7" max="7" width="18.43"/>
    <col customWidth="1" min="8" max="8" width="9.43"/>
    <col customWidth="1" min="9" max="9" width="5.71"/>
    <col customWidth="1" min="10" max="10" width="14.86"/>
    <col customWidth="1" min="11" max="26" width="8.0"/>
  </cols>
  <sheetData>
    <row r="1" ht="15.75" customHeight="1">
      <c r="A1" s="8" t="s">
        <v>799</v>
      </c>
    </row>
    <row r="2">
      <c r="A2" s="9" t="s">
        <v>800</v>
      </c>
    </row>
    <row r="3">
      <c r="A3" s="9" t="s">
        <v>801</v>
      </c>
    </row>
    <row r="4">
      <c r="A4" s="9" t="s">
        <v>802</v>
      </c>
    </row>
    <row r="5">
      <c r="A5" s="9" t="s">
        <v>803</v>
      </c>
    </row>
    <row r="6">
      <c r="A6" s="10" t="s">
        <v>804</v>
      </c>
    </row>
    <row r="7">
      <c r="A7" s="11" t="s">
        <v>805</v>
      </c>
      <c r="B7" s="11" t="s">
        <v>801</v>
      </c>
      <c r="C7" s="11" t="s">
        <v>806</v>
      </c>
      <c r="D7" s="11" t="s">
        <v>807</v>
      </c>
      <c r="E7" s="11" t="s">
        <v>808</v>
      </c>
      <c r="F7" s="11" t="s">
        <v>801</v>
      </c>
      <c r="G7" s="11" t="s">
        <v>809</v>
      </c>
      <c r="H7" s="11" t="s">
        <v>810</v>
      </c>
      <c r="I7" s="11" t="s">
        <v>811</v>
      </c>
      <c r="J7" s="11" t="s">
        <v>812</v>
      </c>
    </row>
    <row r="8">
      <c r="A8" s="11" t="s">
        <v>813</v>
      </c>
      <c r="B8" s="11" t="s">
        <v>801</v>
      </c>
      <c r="C8" s="11" t="s">
        <v>814</v>
      </c>
      <c r="D8" s="11" t="s">
        <v>814</v>
      </c>
      <c r="E8" s="11" t="s">
        <v>815</v>
      </c>
      <c r="F8" s="11" t="s">
        <v>801</v>
      </c>
      <c r="G8" s="11" t="s">
        <v>816</v>
      </c>
      <c r="H8" s="11" t="s">
        <v>801</v>
      </c>
      <c r="I8" s="11" t="s">
        <v>801</v>
      </c>
      <c r="J8" s="11" t="s">
        <v>817</v>
      </c>
    </row>
    <row r="9">
      <c r="A9" s="12" t="s">
        <v>758</v>
      </c>
      <c r="B9" s="13"/>
      <c r="C9" s="13"/>
      <c r="D9" s="13"/>
      <c r="E9" s="13"/>
      <c r="F9" s="13"/>
      <c r="G9" s="13"/>
      <c r="H9" s="13"/>
      <c r="I9" s="13"/>
      <c r="J9" s="13"/>
    </row>
    <row r="10">
      <c r="A10" s="14" t="s">
        <v>804</v>
      </c>
    </row>
    <row r="11">
      <c r="A11" s="15" t="s">
        <v>818</v>
      </c>
      <c r="B11" s="16" t="s">
        <v>801</v>
      </c>
      <c r="C11" s="17">
        <v>175.8</v>
      </c>
      <c r="D11" s="17">
        <v>183.14</v>
      </c>
      <c r="E11" s="15" t="s">
        <v>819</v>
      </c>
      <c r="F11" s="16" t="s">
        <v>801</v>
      </c>
      <c r="G11" s="15" t="s">
        <v>820</v>
      </c>
      <c r="H11" s="18">
        <v>0.0</v>
      </c>
      <c r="I11" s="16" t="s">
        <v>801</v>
      </c>
      <c r="J11" s="17">
        <v>216.11</v>
      </c>
    </row>
    <row r="12">
      <c r="A12" s="15" t="s">
        <v>821</v>
      </c>
      <c r="B12" s="16" t="s">
        <v>801</v>
      </c>
      <c r="C12" s="17">
        <v>475.56</v>
      </c>
      <c r="D12" s="17">
        <v>528.39</v>
      </c>
      <c r="E12" s="15" t="s">
        <v>822</v>
      </c>
      <c r="F12" s="16" t="s">
        <v>801</v>
      </c>
      <c r="G12" s="15" t="s">
        <v>820</v>
      </c>
      <c r="H12" s="18">
        <v>0.0</v>
      </c>
      <c r="I12" s="16" t="s">
        <v>801</v>
      </c>
      <c r="J12" s="17">
        <v>623.5</v>
      </c>
    </row>
    <row r="13">
      <c r="A13" s="15" t="s">
        <v>823</v>
      </c>
      <c r="B13" s="16" t="s">
        <v>801</v>
      </c>
      <c r="C13" s="17">
        <v>120.39</v>
      </c>
      <c r="D13" s="17">
        <v>120.39</v>
      </c>
      <c r="E13" s="15" t="s">
        <v>824</v>
      </c>
      <c r="F13" s="16" t="s">
        <v>801</v>
      </c>
      <c r="G13" s="15" t="s">
        <v>825</v>
      </c>
      <c r="H13" s="18">
        <v>0.0</v>
      </c>
      <c r="I13" s="16" t="s">
        <v>801</v>
      </c>
      <c r="J13" s="17">
        <v>134.84</v>
      </c>
    </row>
    <row r="14">
      <c r="A14" s="15" t="s">
        <v>826</v>
      </c>
      <c r="B14" s="16" t="s">
        <v>801</v>
      </c>
      <c r="C14" s="17">
        <v>101.7</v>
      </c>
      <c r="D14" s="17">
        <v>101.7</v>
      </c>
      <c r="E14" s="15" t="s">
        <v>827</v>
      </c>
      <c r="F14" s="16" t="s">
        <v>801</v>
      </c>
      <c r="G14" s="15" t="s">
        <v>828</v>
      </c>
      <c r="H14" s="18">
        <v>0.0</v>
      </c>
      <c r="I14" s="16" t="s">
        <v>801</v>
      </c>
      <c r="J14" s="17">
        <v>126.11</v>
      </c>
    </row>
    <row r="15">
      <c r="A15" s="15" t="s">
        <v>829</v>
      </c>
      <c r="B15" s="16" t="s">
        <v>801</v>
      </c>
      <c r="C15" s="17">
        <v>207.08</v>
      </c>
      <c r="D15" s="17">
        <v>207.08</v>
      </c>
      <c r="E15" s="15" t="s">
        <v>830</v>
      </c>
      <c r="F15" s="16" t="s">
        <v>801</v>
      </c>
      <c r="G15" s="15" t="s">
        <v>820</v>
      </c>
      <c r="H15" s="18">
        <v>0.0</v>
      </c>
      <c r="I15" s="16" t="s">
        <v>801</v>
      </c>
      <c r="J15" s="17">
        <v>244.35</v>
      </c>
    </row>
    <row r="16">
      <c r="A16" s="15" t="s">
        <v>831</v>
      </c>
      <c r="B16" s="16" t="s">
        <v>801</v>
      </c>
      <c r="C16" s="17">
        <v>198.51</v>
      </c>
      <c r="D16" s="17">
        <v>198.51</v>
      </c>
      <c r="E16" s="15" t="s">
        <v>832</v>
      </c>
      <c r="F16" s="16" t="s">
        <v>801</v>
      </c>
      <c r="G16" s="15" t="s">
        <v>820</v>
      </c>
      <c r="H16" s="18">
        <v>0.0</v>
      </c>
      <c r="I16" s="16" t="s">
        <v>801</v>
      </c>
      <c r="J16" s="17">
        <v>234.24</v>
      </c>
    </row>
    <row r="17">
      <c r="A17" s="15" t="s">
        <v>833</v>
      </c>
      <c r="B17" s="16" t="s">
        <v>801</v>
      </c>
      <c r="C17" s="17">
        <v>103.04</v>
      </c>
      <c r="D17" s="17">
        <v>114.48</v>
      </c>
      <c r="E17" s="15" t="s">
        <v>834</v>
      </c>
      <c r="F17" s="16" t="s">
        <v>801</v>
      </c>
      <c r="G17" s="15" t="s">
        <v>820</v>
      </c>
      <c r="H17" s="18">
        <v>0.0</v>
      </c>
      <c r="I17" s="16" t="s">
        <v>801</v>
      </c>
      <c r="J17" s="17">
        <v>135.09</v>
      </c>
    </row>
    <row r="18">
      <c r="A18" s="15" t="s">
        <v>835</v>
      </c>
      <c r="B18" s="16" t="s">
        <v>801</v>
      </c>
      <c r="C18" s="17">
        <v>115.77</v>
      </c>
      <c r="D18" s="17">
        <v>128.63</v>
      </c>
      <c r="E18" s="15" t="s">
        <v>836</v>
      </c>
      <c r="F18" s="16" t="s">
        <v>801</v>
      </c>
      <c r="G18" s="15" t="s">
        <v>820</v>
      </c>
      <c r="H18" s="18">
        <v>0.0</v>
      </c>
      <c r="I18" s="16" t="s">
        <v>801</v>
      </c>
      <c r="J18" s="17">
        <v>151.78</v>
      </c>
    </row>
    <row r="19">
      <c r="A19" s="15" t="s">
        <v>837</v>
      </c>
      <c r="B19" s="16" t="s">
        <v>801</v>
      </c>
      <c r="C19" s="17">
        <v>5.6</v>
      </c>
      <c r="D19" s="17">
        <v>5.6</v>
      </c>
      <c r="E19" s="15" t="s">
        <v>838</v>
      </c>
      <c r="F19" s="16" t="s">
        <v>801</v>
      </c>
      <c r="G19" s="15" t="s">
        <v>820</v>
      </c>
      <c r="H19" s="18">
        <v>0.0</v>
      </c>
      <c r="I19" s="16" t="s">
        <v>801</v>
      </c>
      <c r="J19" s="17">
        <v>6.61</v>
      </c>
    </row>
    <row r="20">
      <c r="A20" s="12" t="s">
        <v>804</v>
      </c>
      <c r="B20" s="13"/>
      <c r="C20" s="13"/>
      <c r="D20" s="13"/>
      <c r="E20" s="13"/>
      <c r="F20" s="13"/>
      <c r="G20" s="13"/>
      <c r="H20" s="13"/>
      <c r="I20" s="13"/>
      <c r="J20" s="13"/>
    </row>
    <row r="21" ht="15.75" customHeight="1">
      <c r="A21" s="14" t="s">
        <v>773</v>
      </c>
    </row>
    <row r="22" ht="15.75" customHeight="1">
      <c r="A22" s="14" t="s">
        <v>804</v>
      </c>
    </row>
    <row r="23" ht="15.75" customHeight="1">
      <c r="A23" s="15" t="s">
        <v>839</v>
      </c>
      <c r="B23" s="16" t="s">
        <v>801</v>
      </c>
      <c r="C23" s="17">
        <v>91.29</v>
      </c>
      <c r="D23" s="17">
        <v>101.43</v>
      </c>
      <c r="E23" s="15" t="s">
        <v>840</v>
      </c>
      <c r="F23" s="16" t="s">
        <v>801</v>
      </c>
      <c r="G23" s="15" t="s">
        <v>825</v>
      </c>
      <c r="H23" s="18">
        <v>0.0</v>
      </c>
      <c r="I23" s="16" t="s">
        <v>801</v>
      </c>
      <c r="J23" s="17">
        <v>113.6</v>
      </c>
    </row>
    <row r="24" ht="15.75" customHeight="1">
      <c r="A24" s="15" t="s">
        <v>841</v>
      </c>
      <c r="B24" s="16" t="s">
        <v>801</v>
      </c>
      <c r="C24" s="17">
        <v>57.86</v>
      </c>
      <c r="D24" s="17">
        <v>64.29</v>
      </c>
      <c r="E24" s="15" t="s">
        <v>842</v>
      </c>
      <c r="F24" s="16" t="s">
        <v>801</v>
      </c>
      <c r="G24" s="15" t="s">
        <v>825</v>
      </c>
      <c r="H24" s="18">
        <v>0.0</v>
      </c>
      <c r="I24" s="16" t="s">
        <v>801</v>
      </c>
      <c r="J24" s="17">
        <v>72.0</v>
      </c>
    </row>
    <row r="25" ht="15.75" customHeight="1">
      <c r="A25" s="12" t="s">
        <v>804</v>
      </c>
      <c r="B25" s="13"/>
      <c r="C25" s="13"/>
      <c r="D25" s="13"/>
      <c r="E25" s="13"/>
      <c r="F25" s="13"/>
      <c r="G25" s="13"/>
      <c r="H25" s="13"/>
      <c r="I25" s="13"/>
      <c r="J25" s="13"/>
    </row>
    <row r="26" ht="15.75" customHeight="1">
      <c r="A26" s="14" t="s">
        <v>766</v>
      </c>
    </row>
    <row r="27" ht="15.75" customHeight="1">
      <c r="A27" s="14" t="s">
        <v>804</v>
      </c>
    </row>
    <row r="28" ht="15.75" customHeight="1">
      <c r="A28" s="15" t="s">
        <v>843</v>
      </c>
      <c r="B28" s="16" t="s">
        <v>801</v>
      </c>
      <c r="C28" s="17">
        <v>190.0</v>
      </c>
      <c r="D28" s="17">
        <v>190.0</v>
      </c>
      <c r="E28" s="15" t="s">
        <v>844</v>
      </c>
      <c r="F28" s="16" t="s">
        <v>801</v>
      </c>
      <c r="G28" s="15" t="s">
        <v>825</v>
      </c>
      <c r="H28" s="18">
        <v>0.0</v>
      </c>
      <c r="I28" s="16" t="s">
        <v>801</v>
      </c>
      <c r="J28" s="17">
        <v>212.8</v>
      </c>
    </row>
    <row r="29" ht="15.75" customHeight="1">
      <c r="A29" s="15" t="s">
        <v>845</v>
      </c>
      <c r="B29" s="16" t="s">
        <v>801</v>
      </c>
      <c r="C29" s="17">
        <v>417.43</v>
      </c>
      <c r="D29" s="17">
        <v>434.87</v>
      </c>
      <c r="E29" s="15" t="s">
        <v>846</v>
      </c>
      <c r="F29" s="16" t="s">
        <v>801</v>
      </c>
      <c r="G29" s="15" t="s">
        <v>825</v>
      </c>
      <c r="H29" s="18">
        <v>0.0</v>
      </c>
      <c r="I29" s="16" t="s">
        <v>801</v>
      </c>
      <c r="J29" s="17">
        <v>487.05</v>
      </c>
    </row>
    <row r="30" ht="15.75" customHeight="1">
      <c r="A30" s="15" t="s">
        <v>847</v>
      </c>
      <c r="B30" s="16" t="s">
        <v>801</v>
      </c>
      <c r="C30" s="17">
        <v>71.33</v>
      </c>
      <c r="D30" s="17">
        <v>79.25</v>
      </c>
      <c r="E30" s="15" t="s">
        <v>848</v>
      </c>
      <c r="F30" s="16" t="s">
        <v>801</v>
      </c>
      <c r="G30" s="15" t="s">
        <v>825</v>
      </c>
      <c r="H30" s="18">
        <v>0.0</v>
      </c>
      <c r="I30" s="16" t="s">
        <v>801</v>
      </c>
      <c r="J30" s="17">
        <v>88.76</v>
      </c>
    </row>
    <row r="31" ht="15.75" customHeight="1">
      <c r="A31" s="15" t="s">
        <v>849</v>
      </c>
      <c r="B31" s="16" t="s">
        <v>801</v>
      </c>
      <c r="C31" s="17">
        <v>154.41</v>
      </c>
      <c r="D31" s="17">
        <v>171.56</v>
      </c>
      <c r="E31" s="15" t="s">
        <v>850</v>
      </c>
      <c r="F31" s="16" t="s">
        <v>801</v>
      </c>
      <c r="G31" s="15" t="s">
        <v>825</v>
      </c>
      <c r="H31" s="18">
        <v>0.0</v>
      </c>
      <c r="I31" s="16" t="s">
        <v>801</v>
      </c>
      <c r="J31" s="17">
        <v>192.15</v>
      </c>
    </row>
    <row r="32" ht="15.75" customHeight="1">
      <c r="A32" s="15" t="s">
        <v>851</v>
      </c>
      <c r="B32" s="16" t="s">
        <v>801</v>
      </c>
      <c r="C32" s="17">
        <v>49.78</v>
      </c>
      <c r="D32" s="17">
        <v>49.78</v>
      </c>
      <c r="E32" s="15" t="s">
        <v>852</v>
      </c>
      <c r="F32" s="16" t="s">
        <v>801</v>
      </c>
      <c r="G32" s="15" t="s">
        <v>825</v>
      </c>
      <c r="H32" s="18">
        <v>0.0</v>
      </c>
      <c r="I32" s="16" t="s">
        <v>801</v>
      </c>
      <c r="J32" s="17">
        <v>55.75</v>
      </c>
    </row>
    <row r="33" ht="15.75" customHeight="1">
      <c r="A33" s="12" t="s">
        <v>804</v>
      </c>
      <c r="B33" s="13"/>
      <c r="C33" s="13"/>
      <c r="D33" s="13"/>
      <c r="E33" s="13"/>
      <c r="F33" s="13"/>
      <c r="G33" s="13"/>
      <c r="H33" s="13"/>
      <c r="I33" s="13"/>
      <c r="J33" s="13"/>
    </row>
    <row r="34" ht="15.75" customHeight="1">
      <c r="A34" s="14" t="s">
        <v>754</v>
      </c>
    </row>
    <row r="35" ht="15.75" customHeight="1">
      <c r="A35" s="14" t="s">
        <v>804</v>
      </c>
    </row>
    <row r="36" ht="15.75" customHeight="1">
      <c r="A36" s="15" t="s">
        <v>853</v>
      </c>
      <c r="B36" s="16" t="s">
        <v>801</v>
      </c>
      <c r="C36" s="17">
        <v>32.95</v>
      </c>
      <c r="D36" s="17">
        <v>36.61</v>
      </c>
      <c r="E36" s="15" t="s">
        <v>854</v>
      </c>
      <c r="F36" s="16" t="s">
        <v>801</v>
      </c>
      <c r="G36" s="15" t="s">
        <v>855</v>
      </c>
      <c r="H36" s="18">
        <v>0.0</v>
      </c>
      <c r="I36" s="16" t="s">
        <v>801</v>
      </c>
      <c r="J36" s="17">
        <v>43.2</v>
      </c>
    </row>
    <row r="37" ht="15.75" customHeight="1">
      <c r="A37" s="15" t="s">
        <v>856</v>
      </c>
      <c r="B37" s="16" t="s">
        <v>801</v>
      </c>
      <c r="C37" s="17">
        <v>100.0</v>
      </c>
      <c r="D37" s="17">
        <v>111.86</v>
      </c>
      <c r="E37" s="15" t="s">
        <v>857</v>
      </c>
      <c r="F37" s="16" t="s">
        <v>801</v>
      </c>
      <c r="G37" s="15" t="s">
        <v>825</v>
      </c>
      <c r="H37" s="18">
        <v>0.0</v>
      </c>
      <c r="I37" s="16" t="s">
        <v>801</v>
      </c>
      <c r="J37" s="17">
        <v>125.28</v>
      </c>
    </row>
    <row r="38" ht="15.75" customHeight="1">
      <c r="A38" s="15" t="s">
        <v>858</v>
      </c>
      <c r="B38" s="16" t="s">
        <v>801</v>
      </c>
      <c r="C38" s="17">
        <v>100.68</v>
      </c>
      <c r="D38" s="17">
        <v>111.86</v>
      </c>
      <c r="E38" s="15" t="s">
        <v>857</v>
      </c>
      <c r="F38" s="16" t="s">
        <v>801</v>
      </c>
      <c r="G38" s="15" t="s">
        <v>855</v>
      </c>
      <c r="H38" s="18">
        <v>0.0</v>
      </c>
      <c r="I38" s="16" t="s">
        <v>801</v>
      </c>
      <c r="J38" s="17">
        <v>131.99</v>
      </c>
    </row>
    <row r="39" ht="15.75" customHeight="1">
      <c r="A39" s="15" t="s">
        <v>859</v>
      </c>
      <c r="B39" s="16" t="s">
        <v>801</v>
      </c>
      <c r="C39" s="17">
        <v>97.63</v>
      </c>
      <c r="D39" s="17">
        <v>108.47</v>
      </c>
      <c r="E39" s="15" t="s">
        <v>860</v>
      </c>
      <c r="F39" s="16" t="s">
        <v>801</v>
      </c>
      <c r="G39" s="15" t="s">
        <v>855</v>
      </c>
      <c r="H39" s="18">
        <v>0.0</v>
      </c>
      <c r="I39" s="16" t="s">
        <v>801</v>
      </c>
      <c r="J39" s="17">
        <v>127.99</v>
      </c>
    </row>
    <row r="40" ht="15.75" customHeight="1">
      <c r="A40" s="15" t="s">
        <v>861</v>
      </c>
      <c r="B40" s="16" t="s">
        <v>801</v>
      </c>
      <c r="C40" s="17">
        <v>90.13</v>
      </c>
      <c r="D40" s="17">
        <v>100.14</v>
      </c>
      <c r="E40" s="15" t="s">
        <v>862</v>
      </c>
      <c r="F40" s="16" t="s">
        <v>801</v>
      </c>
      <c r="G40" s="15" t="s">
        <v>825</v>
      </c>
      <c r="H40" s="18">
        <v>0.0</v>
      </c>
      <c r="I40" s="16" t="s">
        <v>801</v>
      </c>
      <c r="J40" s="17">
        <v>112.16</v>
      </c>
    </row>
    <row r="41" ht="15.75" customHeight="1">
      <c r="A41" s="15" t="s">
        <v>863</v>
      </c>
      <c r="B41" s="16" t="s">
        <v>801</v>
      </c>
      <c r="C41" s="17">
        <v>127.93</v>
      </c>
      <c r="D41" s="17">
        <v>142.14</v>
      </c>
      <c r="E41" s="15" t="s">
        <v>864</v>
      </c>
      <c r="F41" s="16" t="s">
        <v>801</v>
      </c>
      <c r="G41" s="15" t="s">
        <v>825</v>
      </c>
      <c r="H41" s="18">
        <v>0.0</v>
      </c>
      <c r="I41" s="16" t="s">
        <v>801</v>
      </c>
      <c r="J41" s="17">
        <v>159.2</v>
      </c>
    </row>
    <row r="42" ht="15.75" customHeight="1">
      <c r="A42" s="15" t="s">
        <v>865</v>
      </c>
      <c r="B42" s="16" t="s">
        <v>801</v>
      </c>
      <c r="C42" s="17">
        <v>128.93</v>
      </c>
      <c r="D42" s="17">
        <v>143.25</v>
      </c>
      <c r="E42" s="15" t="s">
        <v>866</v>
      </c>
      <c r="F42" s="16" t="s">
        <v>801</v>
      </c>
      <c r="G42" s="15" t="s">
        <v>825</v>
      </c>
      <c r="H42" s="18">
        <v>0.0</v>
      </c>
      <c r="I42" s="16" t="s">
        <v>801</v>
      </c>
      <c r="J42" s="17">
        <v>160.44</v>
      </c>
    </row>
    <row r="43" ht="15.75" customHeight="1">
      <c r="A43" s="15" t="s">
        <v>867</v>
      </c>
      <c r="B43" s="16" t="s">
        <v>801</v>
      </c>
      <c r="C43" s="17">
        <v>39.09</v>
      </c>
      <c r="D43" s="17">
        <v>43.43</v>
      </c>
      <c r="E43" s="15" t="s">
        <v>868</v>
      </c>
      <c r="F43" s="16" t="s">
        <v>801</v>
      </c>
      <c r="G43" s="15" t="s">
        <v>825</v>
      </c>
      <c r="H43" s="18">
        <v>0.0</v>
      </c>
      <c r="I43" s="16" t="s">
        <v>801</v>
      </c>
      <c r="J43" s="17">
        <v>48.64</v>
      </c>
    </row>
    <row r="44" ht="15.75" customHeight="1">
      <c r="A44" s="15" t="s">
        <v>869</v>
      </c>
      <c r="B44" s="16" t="s">
        <v>801</v>
      </c>
      <c r="C44" s="17">
        <v>38.74</v>
      </c>
      <c r="D44" s="17">
        <v>43.04</v>
      </c>
      <c r="E44" s="15" t="s">
        <v>870</v>
      </c>
      <c r="F44" s="16" t="s">
        <v>801</v>
      </c>
      <c r="G44" s="15" t="s">
        <v>825</v>
      </c>
      <c r="H44" s="18">
        <v>0.0</v>
      </c>
      <c r="I44" s="16" t="s">
        <v>801</v>
      </c>
      <c r="J44" s="17">
        <v>48.2</v>
      </c>
    </row>
    <row r="45" ht="15.75" customHeight="1">
      <c r="A45" s="15" t="s">
        <v>871</v>
      </c>
      <c r="B45" s="16" t="s">
        <v>801</v>
      </c>
      <c r="C45" s="17">
        <v>84.86</v>
      </c>
      <c r="D45" s="17">
        <v>94.71</v>
      </c>
      <c r="E45" s="15" t="s">
        <v>872</v>
      </c>
      <c r="F45" s="16" t="s">
        <v>801</v>
      </c>
      <c r="G45" s="15" t="s">
        <v>825</v>
      </c>
      <c r="H45" s="18">
        <v>0.0</v>
      </c>
      <c r="I45" s="16" t="s">
        <v>801</v>
      </c>
      <c r="J45" s="17">
        <v>106.08</v>
      </c>
    </row>
    <row r="46" ht="15.75" customHeight="1">
      <c r="A46" s="15" t="s">
        <v>873</v>
      </c>
      <c r="B46" s="16" t="s">
        <v>801</v>
      </c>
      <c r="C46" s="17">
        <v>192.86</v>
      </c>
      <c r="D46" s="17">
        <v>214.29</v>
      </c>
      <c r="E46" s="15" t="s">
        <v>874</v>
      </c>
      <c r="F46" s="16" t="s">
        <v>801</v>
      </c>
      <c r="G46" s="15" t="s">
        <v>825</v>
      </c>
      <c r="H46" s="18">
        <v>0.0</v>
      </c>
      <c r="I46" s="16" t="s">
        <v>801</v>
      </c>
      <c r="J46" s="17">
        <v>240.0</v>
      </c>
    </row>
    <row r="47" ht="15.75" customHeight="1">
      <c r="A47" s="15" t="s">
        <v>875</v>
      </c>
      <c r="B47" s="16" t="s">
        <v>801</v>
      </c>
      <c r="C47" s="17">
        <v>160.71</v>
      </c>
      <c r="D47" s="17">
        <v>178.57</v>
      </c>
      <c r="E47" s="15" t="s">
        <v>876</v>
      </c>
      <c r="F47" s="16" t="s">
        <v>801</v>
      </c>
      <c r="G47" s="15" t="s">
        <v>825</v>
      </c>
      <c r="H47" s="18">
        <v>0.0</v>
      </c>
      <c r="I47" s="16" t="s">
        <v>801</v>
      </c>
      <c r="J47" s="17">
        <v>200.0</v>
      </c>
    </row>
    <row r="48" ht="15.75" customHeight="1">
      <c r="A48" s="15" t="s">
        <v>877</v>
      </c>
      <c r="B48" s="16" t="s">
        <v>801</v>
      </c>
      <c r="C48" s="17">
        <v>199.29</v>
      </c>
      <c r="D48" s="17">
        <v>221.42</v>
      </c>
      <c r="E48" s="15" t="s">
        <v>878</v>
      </c>
      <c r="F48" s="16" t="s">
        <v>801</v>
      </c>
      <c r="G48" s="15" t="s">
        <v>825</v>
      </c>
      <c r="H48" s="18">
        <v>0.0</v>
      </c>
      <c r="I48" s="16" t="s">
        <v>801</v>
      </c>
      <c r="J48" s="17">
        <v>247.99</v>
      </c>
    </row>
    <row r="49" ht="15.75" customHeight="1">
      <c r="A49" s="15" t="s">
        <v>879</v>
      </c>
      <c r="B49" s="16" t="s">
        <v>801</v>
      </c>
      <c r="C49" s="17">
        <v>33.82</v>
      </c>
      <c r="D49" s="17">
        <v>37.58</v>
      </c>
      <c r="E49" s="15" t="s">
        <v>880</v>
      </c>
      <c r="F49" s="16" t="s">
        <v>801</v>
      </c>
      <c r="G49" s="15" t="s">
        <v>825</v>
      </c>
      <c r="H49" s="18">
        <v>0.0</v>
      </c>
      <c r="I49" s="16" t="s">
        <v>801</v>
      </c>
      <c r="J49" s="17">
        <v>42.09</v>
      </c>
    </row>
    <row r="50" ht="15.75" customHeight="1">
      <c r="A50" s="15" t="s">
        <v>881</v>
      </c>
      <c r="B50" s="16" t="s">
        <v>801</v>
      </c>
      <c r="C50" s="17">
        <v>66.21</v>
      </c>
      <c r="D50" s="17">
        <v>73.57</v>
      </c>
      <c r="E50" s="15" t="s">
        <v>882</v>
      </c>
      <c r="F50" s="16" t="s">
        <v>801</v>
      </c>
      <c r="G50" s="15" t="s">
        <v>825</v>
      </c>
      <c r="H50" s="18">
        <v>0.0</v>
      </c>
      <c r="I50" s="16" t="s">
        <v>801</v>
      </c>
      <c r="J50" s="17">
        <v>82.4</v>
      </c>
    </row>
    <row r="51" ht="15.75" customHeight="1">
      <c r="A51" s="15" t="s">
        <v>883</v>
      </c>
      <c r="B51" s="16" t="s">
        <v>801</v>
      </c>
      <c r="C51" s="17">
        <v>95.79</v>
      </c>
      <c r="D51" s="17">
        <v>106.43</v>
      </c>
      <c r="E51" s="15" t="s">
        <v>884</v>
      </c>
      <c r="F51" s="16" t="s">
        <v>801</v>
      </c>
      <c r="G51" s="15" t="s">
        <v>825</v>
      </c>
      <c r="H51" s="18">
        <v>0.0</v>
      </c>
      <c r="I51" s="16" t="s">
        <v>801</v>
      </c>
      <c r="J51" s="17">
        <v>119.2</v>
      </c>
    </row>
    <row r="52" ht="15.75" customHeight="1">
      <c r="A52" s="15" t="s">
        <v>885</v>
      </c>
      <c r="B52" s="16" t="s">
        <v>801</v>
      </c>
      <c r="C52" s="17">
        <v>122.14</v>
      </c>
      <c r="D52" s="17">
        <v>135.71</v>
      </c>
      <c r="E52" s="15" t="s">
        <v>886</v>
      </c>
      <c r="F52" s="16" t="s">
        <v>801</v>
      </c>
      <c r="G52" s="15" t="s">
        <v>825</v>
      </c>
      <c r="H52" s="18">
        <v>0.0</v>
      </c>
      <c r="I52" s="16" t="s">
        <v>801</v>
      </c>
      <c r="J52" s="17">
        <v>152.0</v>
      </c>
    </row>
    <row r="53" ht="15.75" customHeight="1">
      <c r="A53" s="15" t="s">
        <v>887</v>
      </c>
      <c r="B53" s="16" t="s">
        <v>801</v>
      </c>
      <c r="C53" s="17">
        <v>22.9</v>
      </c>
      <c r="D53" s="17">
        <v>25.44</v>
      </c>
      <c r="E53" s="15" t="s">
        <v>888</v>
      </c>
      <c r="F53" s="16" t="s">
        <v>801</v>
      </c>
      <c r="G53" s="15" t="s">
        <v>825</v>
      </c>
      <c r="H53" s="18">
        <v>0.0</v>
      </c>
      <c r="I53" s="16" t="s">
        <v>801</v>
      </c>
      <c r="J53" s="17">
        <v>28.49</v>
      </c>
    </row>
    <row r="54" ht="15.75" customHeight="1">
      <c r="A54" s="15" t="s">
        <v>889</v>
      </c>
      <c r="B54" s="16" t="s">
        <v>801</v>
      </c>
      <c r="C54" s="17">
        <v>79.71</v>
      </c>
      <c r="D54" s="17">
        <v>88.57</v>
      </c>
      <c r="E54" s="15" t="s">
        <v>890</v>
      </c>
      <c r="F54" s="16" t="s">
        <v>801</v>
      </c>
      <c r="G54" s="15" t="s">
        <v>825</v>
      </c>
      <c r="H54" s="18">
        <v>0.0</v>
      </c>
      <c r="I54" s="16" t="s">
        <v>801</v>
      </c>
      <c r="J54" s="17">
        <v>99.2</v>
      </c>
    </row>
    <row r="55" ht="15.75" customHeight="1">
      <c r="A55" s="15" t="s">
        <v>891</v>
      </c>
      <c r="B55" s="16" t="s">
        <v>801</v>
      </c>
      <c r="C55" s="17">
        <v>25.92</v>
      </c>
      <c r="D55" s="17">
        <v>28.8</v>
      </c>
      <c r="E55" s="15" t="s">
        <v>892</v>
      </c>
      <c r="F55" s="16" t="s">
        <v>801</v>
      </c>
      <c r="G55" s="15" t="s">
        <v>825</v>
      </c>
      <c r="H55" s="18">
        <v>0.0</v>
      </c>
      <c r="I55" s="16" t="s">
        <v>801</v>
      </c>
      <c r="J55" s="17">
        <v>32.26</v>
      </c>
    </row>
    <row r="56" ht="15.75" customHeight="1">
      <c r="A56" s="15" t="s">
        <v>893</v>
      </c>
      <c r="B56" s="16" t="s">
        <v>801</v>
      </c>
      <c r="C56" s="17">
        <v>39.54</v>
      </c>
      <c r="D56" s="17">
        <v>43.93</v>
      </c>
      <c r="E56" s="15" t="s">
        <v>894</v>
      </c>
      <c r="F56" s="16" t="s">
        <v>801</v>
      </c>
      <c r="G56" s="15" t="s">
        <v>825</v>
      </c>
      <c r="H56" s="18">
        <v>0.0</v>
      </c>
      <c r="I56" s="16" t="s">
        <v>801</v>
      </c>
      <c r="J56" s="17">
        <v>49.2</v>
      </c>
    </row>
    <row r="57" ht="15.75" customHeight="1">
      <c r="A57" s="15" t="s">
        <v>895</v>
      </c>
      <c r="B57" s="16" t="s">
        <v>801</v>
      </c>
      <c r="C57" s="17">
        <v>26.36</v>
      </c>
      <c r="D57" s="17">
        <v>29.28</v>
      </c>
      <c r="E57" s="15" t="s">
        <v>896</v>
      </c>
      <c r="F57" s="16" t="s">
        <v>801</v>
      </c>
      <c r="G57" s="15" t="s">
        <v>825</v>
      </c>
      <c r="H57" s="18">
        <v>0.0</v>
      </c>
      <c r="I57" s="16" t="s">
        <v>801</v>
      </c>
      <c r="J57" s="17">
        <v>32.79</v>
      </c>
    </row>
    <row r="58" ht="15.75" customHeight="1">
      <c r="A58" s="15" t="s">
        <v>897</v>
      </c>
      <c r="B58" s="16" t="s">
        <v>801</v>
      </c>
      <c r="C58" s="17">
        <v>113.79</v>
      </c>
      <c r="D58" s="17">
        <v>126.43</v>
      </c>
      <c r="E58" s="15" t="s">
        <v>898</v>
      </c>
      <c r="F58" s="16" t="s">
        <v>801</v>
      </c>
      <c r="G58" s="15" t="s">
        <v>825</v>
      </c>
      <c r="H58" s="18">
        <v>0.0</v>
      </c>
      <c r="I58" s="16" t="s">
        <v>801</v>
      </c>
      <c r="J58" s="17">
        <v>141.6</v>
      </c>
    </row>
    <row r="59" ht="15.75" customHeight="1">
      <c r="A59" s="15" t="s">
        <v>899</v>
      </c>
      <c r="B59" s="16" t="s">
        <v>801</v>
      </c>
      <c r="C59" s="17">
        <v>61.07</v>
      </c>
      <c r="D59" s="17">
        <v>67.86</v>
      </c>
      <c r="E59" s="15" t="s">
        <v>900</v>
      </c>
      <c r="F59" s="16" t="s">
        <v>801</v>
      </c>
      <c r="G59" s="15" t="s">
        <v>825</v>
      </c>
      <c r="H59" s="18">
        <v>0.0</v>
      </c>
      <c r="I59" s="16" t="s">
        <v>801</v>
      </c>
      <c r="J59" s="17">
        <v>76.0</v>
      </c>
    </row>
    <row r="60" ht="15.75" customHeight="1">
      <c r="A60" s="15" t="s">
        <v>901</v>
      </c>
      <c r="B60" s="16" t="s">
        <v>801</v>
      </c>
      <c r="C60" s="17">
        <v>48.86</v>
      </c>
      <c r="D60" s="17">
        <v>48.86</v>
      </c>
      <c r="E60" s="15" t="s">
        <v>902</v>
      </c>
      <c r="F60" s="16" t="s">
        <v>801</v>
      </c>
      <c r="G60" s="15" t="s">
        <v>825</v>
      </c>
      <c r="H60" s="18">
        <v>0.0</v>
      </c>
      <c r="I60" s="16" t="s">
        <v>801</v>
      </c>
      <c r="J60" s="17">
        <v>54.72</v>
      </c>
    </row>
    <row r="61" ht="15.75" customHeight="1">
      <c r="A61" s="15" t="s">
        <v>903</v>
      </c>
      <c r="B61" s="16" t="s">
        <v>801</v>
      </c>
      <c r="C61" s="17">
        <v>11.8</v>
      </c>
      <c r="D61" s="17">
        <v>12.82</v>
      </c>
      <c r="E61" s="15" t="s">
        <v>904</v>
      </c>
      <c r="F61" s="16" t="s">
        <v>801</v>
      </c>
      <c r="G61" s="15" t="s">
        <v>825</v>
      </c>
      <c r="H61" s="18">
        <v>0.0</v>
      </c>
      <c r="I61" s="16" t="s">
        <v>801</v>
      </c>
      <c r="J61" s="17">
        <v>14.36</v>
      </c>
    </row>
    <row r="62" ht="15.75" customHeight="1">
      <c r="A62" s="15" t="s">
        <v>905</v>
      </c>
      <c r="B62" s="16" t="s">
        <v>801</v>
      </c>
      <c r="C62" s="17">
        <v>24.74</v>
      </c>
      <c r="D62" s="17">
        <v>27.49</v>
      </c>
      <c r="E62" s="15" t="s">
        <v>906</v>
      </c>
      <c r="F62" s="16" t="s">
        <v>801</v>
      </c>
      <c r="G62" s="15" t="s">
        <v>825</v>
      </c>
      <c r="H62" s="18">
        <v>0.0</v>
      </c>
      <c r="I62" s="16" t="s">
        <v>801</v>
      </c>
      <c r="J62" s="17">
        <v>30.79</v>
      </c>
    </row>
    <row r="63" ht="15.75" customHeight="1">
      <c r="A63" s="15" t="s">
        <v>907</v>
      </c>
      <c r="B63" s="16" t="s">
        <v>801</v>
      </c>
      <c r="C63" s="17">
        <v>15.87</v>
      </c>
      <c r="D63" s="17">
        <v>17.25</v>
      </c>
      <c r="E63" s="15" t="s">
        <v>908</v>
      </c>
      <c r="F63" s="16" t="s">
        <v>801</v>
      </c>
      <c r="G63" s="15" t="s">
        <v>825</v>
      </c>
      <c r="H63" s="18">
        <v>0.0</v>
      </c>
      <c r="I63" s="16" t="s">
        <v>801</v>
      </c>
      <c r="J63" s="17">
        <v>19.32</v>
      </c>
    </row>
    <row r="64" ht="15.75" customHeight="1">
      <c r="A64" s="15" t="s">
        <v>909</v>
      </c>
      <c r="B64" s="16" t="s">
        <v>801</v>
      </c>
      <c r="C64" s="17">
        <v>48.21</v>
      </c>
      <c r="D64" s="17">
        <v>53.57</v>
      </c>
      <c r="E64" s="15" t="s">
        <v>910</v>
      </c>
      <c r="F64" s="16" t="s">
        <v>801</v>
      </c>
      <c r="G64" s="15" t="s">
        <v>825</v>
      </c>
      <c r="H64" s="18">
        <v>0.0</v>
      </c>
      <c r="I64" s="16" t="s">
        <v>801</v>
      </c>
      <c r="J64" s="17">
        <v>60.0</v>
      </c>
    </row>
    <row r="65" ht="15.75" customHeight="1">
      <c r="A65" s="15" t="s">
        <v>911</v>
      </c>
      <c r="B65" s="16" t="s">
        <v>801</v>
      </c>
      <c r="C65" s="17">
        <v>69.25</v>
      </c>
      <c r="D65" s="17">
        <v>76.94</v>
      </c>
      <c r="E65" s="15" t="s">
        <v>912</v>
      </c>
      <c r="F65" s="16" t="s">
        <v>801</v>
      </c>
      <c r="G65" s="15" t="s">
        <v>825</v>
      </c>
      <c r="H65" s="18">
        <v>0.0</v>
      </c>
      <c r="I65" s="16" t="s">
        <v>801</v>
      </c>
      <c r="J65" s="17">
        <v>86.17</v>
      </c>
    </row>
    <row r="66" ht="15.75" customHeight="1">
      <c r="A66" s="15" t="s">
        <v>913</v>
      </c>
      <c r="B66" s="16" t="s">
        <v>801</v>
      </c>
      <c r="C66" s="17">
        <v>54.64</v>
      </c>
      <c r="D66" s="17">
        <v>60.71</v>
      </c>
      <c r="E66" s="15" t="s">
        <v>914</v>
      </c>
      <c r="F66" s="16" t="s">
        <v>801</v>
      </c>
      <c r="G66" s="15" t="s">
        <v>825</v>
      </c>
      <c r="H66" s="18">
        <v>0.0</v>
      </c>
      <c r="I66" s="16" t="s">
        <v>801</v>
      </c>
      <c r="J66" s="17">
        <v>68.0</v>
      </c>
    </row>
    <row r="67" ht="15.75" customHeight="1">
      <c r="A67" s="15" t="s">
        <v>915</v>
      </c>
      <c r="B67" s="16" t="s">
        <v>801</v>
      </c>
      <c r="C67" s="17">
        <v>39.21</v>
      </c>
      <c r="D67" s="17">
        <v>43.57</v>
      </c>
      <c r="E67" s="15" t="s">
        <v>916</v>
      </c>
      <c r="F67" s="16" t="s">
        <v>801</v>
      </c>
      <c r="G67" s="15" t="s">
        <v>825</v>
      </c>
      <c r="H67" s="18">
        <v>0.0</v>
      </c>
      <c r="I67" s="16" t="s">
        <v>801</v>
      </c>
      <c r="J67" s="17">
        <v>48.8</v>
      </c>
    </row>
    <row r="68" ht="15.75" customHeight="1">
      <c r="A68" s="15" t="s">
        <v>917</v>
      </c>
      <c r="B68" s="16" t="s">
        <v>801</v>
      </c>
      <c r="C68" s="17">
        <v>63.39</v>
      </c>
      <c r="D68" s="17">
        <v>70.44</v>
      </c>
      <c r="E68" s="15" t="s">
        <v>918</v>
      </c>
      <c r="F68" s="16" t="s">
        <v>801</v>
      </c>
      <c r="G68" s="15" t="s">
        <v>825</v>
      </c>
      <c r="H68" s="18">
        <v>0.0</v>
      </c>
      <c r="I68" s="16" t="s">
        <v>801</v>
      </c>
      <c r="J68" s="17">
        <v>78.89</v>
      </c>
    </row>
    <row r="69" ht="15.75" customHeight="1">
      <c r="A69" s="15" t="s">
        <v>919</v>
      </c>
      <c r="B69" s="16" t="s">
        <v>801</v>
      </c>
      <c r="C69" s="17">
        <v>64.61</v>
      </c>
      <c r="D69" s="17">
        <v>71.79</v>
      </c>
      <c r="E69" s="15" t="s">
        <v>920</v>
      </c>
      <c r="F69" s="16" t="s">
        <v>801</v>
      </c>
      <c r="G69" s="15" t="s">
        <v>825</v>
      </c>
      <c r="H69" s="18">
        <v>0.0</v>
      </c>
      <c r="I69" s="16" t="s">
        <v>801</v>
      </c>
      <c r="J69" s="17">
        <v>80.4</v>
      </c>
    </row>
    <row r="70" ht="15.75" customHeight="1">
      <c r="A70" s="15" t="s">
        <v>921</v>
      </c>
      <c r="B70" s="16" t="s">
        <v>801</v>
      </c>
      <c r="C70" s="17">
        <v>170.44</v>
      </c>
      <c r="D70" s="17">
        <v>189.33</v>
      </c>
      <c r="E70" s="15" t="s">
        <v>922</v>
      </c>
      <c r="F70" s="16" t="s">
        <v>801</v>
      </c>
      <c r="G70" s="15" t="s">
        <v>825</v>
      </c>
      <c r="H70" s="18">
        <v>0.0</v>
      </c>
      <c r="I70" s="16" t="s">
        <v>801</v>
      </c>
      <c r="J70" s="17">
        <v>212.05</v>
      </c>
    </row>
    <row r="71" ht="15.75" customHeight="1">
      <c r="A71" s="12" t="s">
        <v>804</v>
      </c>
      <c r="B71" s="13"/>
      <c r="C71" s="13"/>
      <c r="D71" s="13"/>
      <c r="E71" s="13"/>
      <c r="F71" s="13"/>
      <c r="G71" s="13"/>
      <c r="H71" s="13"/>
      <c r="I71" s="13"/>
      <c r="J71" s="13"/>
    </row>
    <row r="72" ht="15.75" customHeight="1">
      <c r="A72" s="14" t="s">
        <v>756</v>
      </c>
    </row>
    <row r="73" ht="15.75" customHeight="1">
      <c r="A73" s="14" t="s">
        <v>804</v>
      </c>
    </row>
    <row r="74" ht="15.75" customHeight="1">
      <c r="A74" s="15" t="s">
        <v>923</v>
      </c>
      <c r="B74" s="16" t="s">
        <v>801</v>
      </c>
      <c r="C74" s="17">
        <v>212.62</v>
      </c>
      <c r="D74" s="17">
        <v>236.24</v>
      </c>
      <c r="E74" s="15" t="s">
        <v>924</v>
      </c>
      <c r="F74" s="16" t="s">
        <v>801</v>
      </c>
      <c r="G74" s="15" t="s">
        <v>855</v>
      </c>
      <c r="H74" s="18">
        <v>0.0</v>
      </c>
      <c r="I74" s="16" t="s">
        <v>801</v>
      </c>
      <c r="J74" s="17">
        <v>278.76</v>
      </c>
    </row>
    <row r="75" ht="15.75" customHeight="1">
      <c r="A75" s="15" t="s">
        <v>925</v>
      </c>
      <c r="B75" s="16" t="s">
        <v>801</v>
      </c>
      <c r="C75" s="17">
        <v>17.74</v>
      </c>
      <c r="D75" s="17">
        <v>19.71</v>
      </c>
      <c r="E75" s="15" t="s">
        <v>926</v>
      </c>
      <c r="F75" s="16" t="s">
        <v>801</v>
      </c>
      <c r="G75" s="15" t="s">
        <v>825</v>
      </c>
      <c r="H75" s="18">
        <v>0.0</v>
      </c>
      <c r="I75" s="16" t="s">
        <v>801</v>
      </c>
      <c r="J75" s="17">
        <v>22.08</v>
      </c>
    </row>
    <row r="76" ht="15.75" customHeight="1">
      <c r="A76" s="15" t="s">
        <v>927</v>
      </c>
      <c r="B76" s="16" t="s">
        <v>801</v>
      </c>
      <c r="C76" s="17">
        <v>44.68</v>
      </c>
      <c r="D76" s="17">
        <v>49.82</v>
      </c>
      <c r="E76" s="15" t="s">
        <v>928</v>
      </c>
      <c r="F76" s="16" t="s">
        <v>801</v>
      </c>
      <c r="G76" s="15" t="s">
        <v>825</v>
      </c>
      <c r="H76" s="18">
        <v>0.0</v>
      </c>
      <c r="I76" s="16" t="s">
        <v>801</v>
      </c>
      <c r="J76" s="17">
        <v>55.8</v>
      </c>
    </row>
    <row r="77" ht="15.75" customHeight="1">
      <c r="A77" s="15" t="s">
        <v>929</v>
      </c>
      <c r="B77" s="16" t="s">
        <v>801</v>
      </c>
      <c r="C77" s="17">
        <v>44.84</v>
      </c>
      <c r="D77" s="17">
        <v>49.82</v>
      </c>
      <c r="E77" s="15" t="s">
        <v>930</v>
      </c>
      <c r="F77" s="16" t="s">
        <v>801</v>
      </c>
      <c r="G77" s="15" t="s">
        <v>825</v>
      </c>
      <c r="H77" s="18">
        <v>0.0</v>
      </c>
      <c r="I77" s="16" t="s">
        <v>801</v>
      </c>
      <c r="J77" s="17">
        <v>55.8</v>
      </c>
    </row>
    <row r="78" ht="15.75" customHeight="1">
      <c r="A78" s="15" t="s">
        <v>931</v>
      </c>
      <c r="B78" s="16" t="s">
        <v>801</v>
      </c>
      <c r="C78" s="17">
        <v>0.0</v>
      </c>
      <c r="D78" s="17">
        <v>0.0</v>
      </c>
      <c r="E78" s="15" t="s">
        <v>932</v>
      </c>
      <c r="F78" s="16" t="s">
        <v>801</v>
      </c>
      <c r="G78" s="15" t="s">
        <v>825</v>
      </c>
      <c r="H78" s="18">
        <v>0.0</v>
      </c>
      <c r="I78" s="16" t="s">
        <v>801</v>
      </c>
      <c r="J78" s="17">
        <v>0.0</v>
      </c>
    </row>
    <row r="79" ht="15.75" customHeight="1">
      <c r="A79" s="15" t="s">
        <v>933</v>
      </c>
      <c r="B79" s="16" t="s">
        <v>801</v>
      </c>
      <c r="C79" s="17">
        <v>45.9</v>
      </c>
      <c r="D79" s="17">
        <v>45.9</v>
      </c>
      <c r="E79" s="15" t="s">
        <v>934</v>
      </c>
      <c r="F79" s="16" t="s">
        <v>801</v>
      </c>
      <c r="G79" s="15" t="s">
        <v>825</v>
      </c>
      <c r="H79" s="18">
        <v>0.0</v>
      </c>
      <c r="I79" s="16" t="s">
        <v>801</v>
      </c>
      <c r="J79" s="17">
        <v>51.41</v>
      </c>
    </row>
    <row r="80" ht="15.75" customHeight="1">
      <c r="A80" s="15" t="s">
        <v>935</v>
      </c>
      <c r="B80" s="16" t="s">
        <v>801</v>
      </c>
      <c r="C80" s="17">
        <v>85.71</v>
      </c>
      <c r="D80" s="17">
        <v>89.29</v>
      </c>
      <c r="E80" s="15" t="s">
        <v>936</v>
      </c>
      <c r="F80" s="16" t="s">
        <v>801</v>
      </c>
      <c r="G80" s="15" t="s">
        <v>825</v>
      </c>
      <c r="H80" s="18">
        <v>0.0</v>
      </c>
      <c r="I80" s="16" t="s">
        <v>801</v>
      </c>
      <c r="J80" s="17">
        <v>100.0</v>
      </c>
    </row>
    <row r="81" ht="15.75" customHeight="1">
      <c r="A81" s="15" t="s">
        <v>937</v>
      </c>
      <c r="B81" s="16" t="s">
        <v>801</v>
      </c>
      <c r="C81" s="17">
        <v>126.49</v>
      </c>
      <c r="D81" s="17">
        <v>140.54</v>
      </c>
      <c r="E81" s="15" t="s">
        <v>938</v>
      </c>
      <c r="F81" s="16" t="s">
        <v>801</v>
      </c>
      <c r="G81" s="15" t="s">
        <v>825</v>
      </c>
      <c r="H81" s="18">
        <v>0.0</v>
      </c>
      <c r="I81" s="16" t="s">
        <v>801</v>
      </c>
      <c r="J81" s="17">
        <v>157.4</v>
      </c>
    </row>
    <row r="82" ht="15.75" customHeight="1">
      <c r="A82" s="15" t="s">
        <v>939</v>
      </c>
      <c r="B82" s="16" t="s">
        <v>801</v>
      </c>
      <c r="C82" s="17">
        <v>87.98</v>
      </c>
      <c r="D82" s="17">
        <v>97.75</v>
      </c>
      <c r="E82" s="15" t="s">
        <v>940</v>
      </c>
      <c r="F82" s="16" t="s">
        <v>801</v>
      </c>
      <c r="G82" s="15" t="s">
        <v>825</v>
      </c>
      <c r="H82" s="18">
        <v>0.0</v>
      </c>
      <c r="I82" s="16" t="s">
        <v>801</v>
      </c>
      <c r="J82" s="17">
        <v>109.48</v>
      </c>
    </row>
    <row r="83" ht="15.75" customHeight="1">
      <c r="A83" s="15" t="s">
        <v>941</v>
      </c>
      <c r="B83" s="16" t="s">
        <v>801</v>
      </c>
      <c r="C83" s="17">
        <v>87.65</v>
      </c>
      <c r="D83" s="17">
        <v>97.39</v>
      </c>
      <c r="E83" s="15" t="s">
        <v>942</v>
      </c>
      <c r="F83" s="16" t="s">
        <v>801</v>
      </c>
      <c r="G83" s="15" t="s">
        <v>825</v>
      </c>
      <c r="H83" s="18">
        <v>0.0</v>
      </c>
      <c r="I83" s="16" t="s">
        <v>801</v>
      </c>
      <c r="J83" s="17">
        <v>109.08</v>
      </c>
    </row>
    <row r="84" ht="15.75" customHeight="1">
      <c r="A84" s="15" t="s">
        <v>943</v>
      </c>
      <c r="B84" s="16" t="s">
        <v>801</v>
      </c>
      <c r="C84" s="17">
        <v>87.65</v>
      </c>
      <c r="D84" s="17">
        <v>97.39</v>
      </c>
      <c r="E84" s="15" t="s">
        <v>942</v>
      </c>
      <c r="F84" s="16" t="s">
        <v>801</v>
      </c>
      <c r="G84" s="15" t="s">
        <v>825</v>
      </c>
      <c r="H84" s="18">
        <v>0.0</v>
      </c>
      <c r="I84" s="16" t="s">
        <v>801</v>
      </c>
      <c r="J84" s="17">
        <v>109.08</v>
      </c>
    </row>
    <row r="85" ht="15.75" customHeight="1">
      <c r="A85" s="15" t="s">
        <v>944</v>
      </c>
      <c r="B85" s="16" t="s">
        <v>801</v>
      </c>
      <c r="C85" s="17">
        <v>48.21</v>
      </c>
      <c r="D85" s="17">
        <v>55.81</v>
      </c>
      <c r="E85" s="15" t="s">
        <v>910</v>
      </c>
      <c r="F85" s="16" t="s">
        <v>801</v>
      </c>
      <c r="G85" s="15" t="s">
        <v>825</v>
      </c>
      <c r="H85" s="18">
        <v>0.0</v>
      </c>
      <c r="I85" s="16" t="s">
        <v>801</v>
      </c>
      <c r="J85" s="17">
        <v>62.51</v>
      </c>
    </row>
    <row r="86" ht="15.75" customHeight="1">
      <c r="A86" s="15" t="s">
        <v>945</v>
      </c>
      <c r="B86" s="16" t="s">
        <v>801</v>
      </c>
      <c r="C86" s="17">
        <v>57.54</v>
      </c>
      <c r="D86" s="17">
        <v>63.92</v>
      </c>
      <c r="E86" s="15" t="s">
        <v>946</v>
      </c>
      <c r="F86" s="16" t="s">
        <v>801</v>
      </c>
      <c r="G86" s="15" t="s">
        <v>825</v>
      </c>
      <c r="H86" s="18">
        <v>0.0</v>
      </c>
      <c r="I86" s="16" t="s">
        <v>801</v>
      </c>
      <c r="J86" s="17">
        <v>71.59</v>
      </c>
    </row>
    <row r="87" ht="15.75" customHeight="1">
      <c r="A87" s="12" t="s">
        <v>804</v>
      </c>
      <c r="B87" s="13"/>
      <c r="C87" s="13"/>
      <c r="D87" s="13"/>
      <c r="E87" s="13"/>
      <c r="F87" s="13"/>
      <c r="G87" s="13"/>
      <c r="H87" s="13"/>
      <c r="I87" s="13"/>
      <c r="J87" s="13"/>
    </row>
    <row r="88" ht="15.75" customHeight="1">
      <c r="A88" s="14" t="s">
        <v>780</v>
      </c>
    </row>
    <row r="89" ht="15.75" customHeight="1">
      <c r="A89" s="14" t="s">
        <v>804</v>
      </c>
    </row>
    <row r="90" ht="15.75" customHeight="1">
      <c r="A90" s="15" t="s">
        <v>947</v>
      </c>
      <c r="B90" s="16" t="s">
        <v>801</v>
      </c>
      <c r="C90" s="17">
        <v>53.68</v>
      </c>
      <c r="D90" s="17">
        <v>59.64</v>
      </c>
      <c r="E90" s="15" t="s">
        <v>948</v>
      </c>
      <c r="F90" s="16" t="s">
        <v>801</v>
      </c>
      <c r="G90" s="15" t="s">
        <v>825</v>
      </c>
      <c r="H90" s="18">
        <v>0.0</v>
      </c>
      <c r="I90" s="16" t="s">
        <v>801</v>
      </c>
      <c r="J90" s="17">
        <v>66.8</v>
      </c>
    </row>
    <row r="91" ht="15.75" customHeight="1">
      <c r="A91" s="12" t="s">
        <v>804</v>
      </c>
      <c r="B91" s="13"/>
      <c r="C91" s="13"/>
      <c r="D91" s="13"/>
      <c r="E91" s="13"/>
      <c r="F91" s="13"/>
      <c r="G91" s="13"/>
      <c r="H91" s="13"/>
      <c r="I91" s="13"/>
      <c r="J91" s="13"/>
    </row>
    <row r="92" ht="15.75" customHeight="1">
      <c r="A92" s="14" t="s">
        <v>750</v>
      </c>
    </row>
    <row r="93" ht="15.75" customHeight="1">
      <c r="A93" s="14" t="s">
        <v>804</v>
      </c>
    </row>
    <row r="94" ht="15.75" customHeight="1">
      <c r="A94" s="15" t="s">
        <v>949</v>
      </c>
      <c r="B94" s="16" t="s">
        <v>801</v>
      </c>
      <c r="C94" s="17">
        <v>48.6</v>
      </c>
      <c r="D94" s="17">
        <v>54.0</v>
      </c>
      <c r="E94" s="15" t="s">
        <v>950</v>
      </c>
      <c r="F94" s="16" t="s">
        <v>801</v>
      </c>
      <c r="G94" s="15" t="s">
        <v>825</v>
      </c>
      <c r="H94" s="18">
        <v>0.0</v>
      </c>
      <c r="I94" s="16" t="s">
        <v>801</v>
      </c>
      <c r="J94" s="17">
        <v>60.48</v>
      </c>
    </row>
    <row r="95" ht="15.75" customHeight="1">
      <c r="A95" s="15" t="s">
        <v>951</v>
      </c>
      <c r="B95" s="16" t="s">
        <v>801</v>
      </c>
      <c r="C95" s="17">
        <v>44.16</v>
      </c>
      <c r="D95" s="17">
        <v>49.06</v>
      </c>
      <c r="E95" s="15" t="s">
        <v>952</v>
      </c>
      <c r="F95" s="16" t="s">
        <v>801</v>
      </c>
      <c r="G95" s="15" t="s">
        <v>825</v>
      </c>
      <c r="H95" s="18">
        <v>0.0</v>
      </c>
      <c r="I95" s="16" t="s">
        <v>801</v>
      </c>
      <c r="J95" s="17">
        <v>54.95</v>
      </c>
    </row>
    <row r="96" ht="15.75" customHeight="1">
      <c r="A96" s="15" t="s">
        <v>953</v>
      </c>
      <c r="B96" s="16" t="s">
        <v>801</v>
      </c>
      <c r="C96" s="17">
        <v>85.56</v>
      </c>
      <c r="D96" s="17">
        <v>95.07</v>
      </c>
      <c r="E96" s="15" t="s">
        <v>954</v>
      </c>
      <c r="F96" s="16" t="s">
        <v>801</v>
      </c>
      <c r="G96" s="15" t="s">
        <v>825</v>
      </c>
      <c r="H96" s="18">
        <v>0.0</v>
      </c>
      <c r="I96" s="16" t="s">
        <v>801</v>
      </c>
      <c r="J96" s="17">
        <v>106.48</v>
      </c>
    </row>
    <row r="97" ht="15.75" customHeight="1">
      <c r="A97" s="15" t="s">
        <v>955</v>
      </c>
      <c r="B97" s="16" t="s">
        <v>801</v>
      </c>
      <c r="C97" s="17">
        <v>37.36</v>
      </c>
      <c r="D97" s="17">
        <v>41.51</v>
      </c>
      <c r="E97" s="15" t="s">
        <v>956</v>
      </c>
      <c r="F97" s="16" t="s">
        <v>801</v>
      </c>
      <c r="G97" s="15" t="s">
        <v>825</v>
      </c>
      <c r="H97" s="18">
        <v>0.0</v>
      </c>
      <c r="I97" s="16" t="s">
        <v>801</v>
      </c>
      <c r="J97" s="17">
        <v>46.49</v>
      </c>
    </row>
    <row r="98" ht="15.75" customHeight="1">
      <c r="A98" s="15" t="s">
        <v>957</v>
      </c>
      <c r="B98" s="16" t="s">
        <v>801</v>
      </c>
      <c r="C98" s="17">
        <v>240.62</v>
      </c>
      <c r="D98" s="17">
        <v>267.35</v>
      </c>
      <c r="E98" s="15" t="s">
        <v>958</v>
      </c>
      <c r="F98" s="16" t="s">
        <v>801</v>
      </c>
      <c r="G98" s="15" t="s">
        <v>959</v>
      </c>
      <c r="H98" s="18">
        <v>0.0</v>
      </c>
      <c r="I98" s="16" t="s">
        <v>801</v>
      </c>
      <c r="J98" s="17">
        <v>280.72</v>
      </c>
    </row>
    <row r="99" ht="15.75" customHeight="1">
      <c r="A99" s="15" t="s">
        <v>960</v>
      </c>
      <c r="B99" s="16" t="s">
        <v>801</v>
      </c>
      <c r="C99" s="17">
        <v>78.5</v>
      </c>
      <c r="D99" s="17">
        <v>87.22</v>
      </c>
      <c r="E99" s="15" t="s">
        <v>961</v>
      </c>
      <c r="F99" s="16" t="s">
        <v>801</v>
      </c>
      <c r="G99" s="15" t="s">
        <v>825</v>
      </c>
      <c r="H99" s="18">
        <v>0.0</v>
      </c>
      <c r="I99" s="16" t="s">
        <v>801</v>
      </c>
      <c r="J99" s="17">
        <v>97.69</v>
      </c>
    </row>
    <row r="100" ht="15.75" customHeight="1">
      <c r="A100" s="15" t="s">
        <v>962</v>
      </c>
      <c r="B100" s="16" t="s">
        <v>801</v>
      </c>
      <c r="C100" s="17">
        <v>39.09</v>
      </c>
      <c r="D100" s="17">
        <v>43.43</v>
      </c>
      <c r="E100" s="15" t="s">
        <v>963</v>
      </c>
      <c r="F100" s="16" t="s">
        <v>801</v>
      </c>
      <c r="G100" s="15" t="s">
        <v>825</v>
      </c>
      <c r="H100" s="18">
        <v>0.0</v>
      </c>
      <c r="I100" s="16" t="s">
        <v>801</v>
      </c>
      <c r="J100" s="17">
        <v>48.64</v>
      </c>
    </row>
    <row r="101" ht="15.75" customHeight="1">
      <c r="A101" s="15" t="s">
        <v>964</v>
      </c>
      <c r="B101" s="16" t="s">
        <v>801</v>
      </c>
      <c r="C101" s="17">
        <v>36.36</v>
      </c>
      <c r="D101" s="17">
        <v>40.4</v>
      </c>
      <c r="E101" s="15" t="s">
        <v>965</v>
      </c>
      <c r="F101" s="16" t="s">
        <v>801</v>
      </c>
      <c r="G101" s="15" t="s">
        <v>825</v>
      </c>
      <c r="H101" s="18">
        <v>0.0</v>
      </c>
      <c r="I101" s="16" t="s">
        <v>801</v>
      </c>
      <c r="J101" s="17">
        <v>45.25</v>
      </c>
    </row>
    <row r="102" ht="15.75" customHeight="1">
      <c r="A102" s="15" t="s">
        <v>966</v>
      </c>
      <c r="B102" s="16" t="s">
        <v>801</v>
      </c>
      <c r="C102" s="17">
        <v>17.34</v>
      </c>
      <c r="D102" s="17">
        <v>19.27</v>
      </c>
      <c r="E102" s="15" t="s">
        <v>967</v>
      </c>
      <c r="F102" s="16" t="s">
        <v>801</v>
      </c>
      <c r="G102" s="15" t="s">
        <v>825</v>
      </c>
      <c r="H102" s="18">
        <v>0.0</v>
      </c>
      <c r="I102" s="16" t="s">
        <v>801</v>
      </c>
      <c r="J102" s="17">
        <v>21.58</v>
      </c>
    </row>
    <row r="103" ht="15.75" customHeight="1">
      <c r="A103" s="15" t="s">
        <v>968</v>
      </c>
      <c r="B103" s="16" t="s">
        <v>801</v>
      </c>
      <c r="C103" s="17">
        <v>56.37</v>
      </c>
      <c r="D103" s="17">
        <v>62.64</v>
      </c>
      <c r="E103" s="15" t="s">
        <v>969</v>
      </c>
      <c r="F103" s="16" t="s">
        <v>801</v>
      </c>
      <c r="G103" s="15" t="s">
        <v>825</v>
      </c>
      <c r="H103" s="18">
        <v>0.0</v>
      </c>
      <c r="I103" s="16" t="s">
        <v>801</v>
      </c>
      <c r="J103" s="17">
        <v>70.16</v>
      </c>
    </row>
    <row r="104" ht="15.75" customHeight="1">
      <c r="A104" s="15" t="s">
        <v>970</v>
      </c>
      <c r="B104" s="16" t="s">
        <v>801</v>
      </c>
      <c r="C104" s="17">
        <v>64.59</v>
      </c>
      <c r="D104" s="17">
        <v>71.77</v>
      </c>
      <c r="E104" s="15" t="s">
        <v>971</v>
      </c>
      <c r="F104" s="16" t="s">
        <v>801</v>
      </c>
      <c r="G104" s="15" t="s">
        <v>825</v>
      </c>
      <c r="H104" s="18">
        <v>0.0</v>
      </c>
      <c r="I104" s="16" t="s">
        <v>801</v>
      </c>
      <c r="J104" s="17">
        <v>80.38</v>
      </c>
    </row>
    <row r="105" ht="15.75" customHeight="1">
      <c r="A105" s="15" t="s">
        <v>972</v>
      </c>
      <c r="B105" s="16" t="s">
        <v>801</v>
      </c>
      <c r="C105" s="17">
        <v>146.24</v>
      </c>
      <c r="D105" s="17">
        <v>162.49</v>
      </c>
      <c r="E105" s="15" t="s">
        <v>973</v>
      </c>
      <c r="F105" s="16" t="s">
        <v>801</v>
      </c>
      <c r="G105" s="15" t="s">
        <v>825</v>
      </c>
      <c r="H105" s="18">
        <v>0.0</v>
      </c>
      <c r="I105" s="16" t="s">
        <v>801</v>
      </c>
      <c r="J105" s="17">
        <v>181.99</v>
      </c>
    </row>
    <row r="106" ht="15.75" customHeight="1">
      <c r="A106" s="15" t="s">
        <v>974</v>
      </c>
      <c r="B106" s="16" t="s">
        <v>801</v>
      </c>
      <c r="C106" s="17">
        <v>86.84</v>
      </c>
      <c r="D106" s="17">
        <v>96.49</v>
      </c>
      <c r="E106" s="15" t="s">
        <v>975</v>
      </c>
      <c r="F106" s="16" t="s">
        <v>801</v>
      </c>
      <c r="G106" s="15" t="s">
        <v>825</v>
      </c>
      <c r="H106" s="18">
        <v>0.0</v>
      </c>
      <c r="I106" s="16" t="s">
        <v>801</v>
      </c>
      <c r="J106" s="17">
        <v>108.07</v>
      </c>
    </row>
    <row r="107" ht="15.75" customHeight="1">
      <c r="A107" s="15" t="s">
        <v>976</v>
      </c>
      <c r="B107" s="16" t="s">
        <v>801</v>
      </c>
      <c r="C107" s="17">
        <v>3.88</v>
      </c>
      <c r="D107" s="17">
        <v>4.31</v>
      </c>
      <c r="E107" s="15" t="s">
        <v>977</v>
      </c>
      <c r="F107" s="16" t="s">
        <v>801</v>
      </c>
      <c r="G107" s="15" t="s">
        <v>825</v>
      </c>
      <c r="H107" s="18">
        <v>0.0</v>
      </c>
      <c r="I107" s="16" t="s">
        <v>801</v>
      </c>
      <c r="J107" s="17">
        <v>4.83</v>
      </c>
    </row>
    <row r="108" ht="15.75" customHeight="1">
      <c r="A108" s="15" t="s">
        <v>978</v>
      </c>
      <c r="B108" s="16" t="s">
        <v>801</v>
      </c>
      <c r="C108" s="17">
        <v>3.76</v>
      </c>
      <c r="D108" s="17">
        <v>4.18</v>
      </c>
      <c r="E108" s="15" t="s">
        <v>979</v>
      </c>
      <c r="F108" s="16" t="s">
        <v>801</v>
      </c>
      <c r="G108" s="15" t="s">
        <v>825</v>
      </c>
      <c r="H108" s="18">
        <v>0.0</v>
      </c>
      <c r="I108" s="16" t="s">
        <v>801</v>
      </c>
      <c r="J108" s="17">
        <v>4.68</v>
      </c>
    </row>
    <row r="109" ht="15.75" customHeight="1">
      <c r="A109" s="15" t="s">
        <v>980</v>
      </c>
      <c r="B109" s="16" t="s">
        <v>801</v>
      </c>
      <c r="C109" s="17">
        <v>18.8</v>
      </c>
      <c r="D109" s="17">
        <v>20.89</v>
      </c>
      <c r="E109" s="15" t="s">
        <v>981</v>
      </c>
      <c r="F109" s="16" t="s">
        <v>801</v>
      </c>
      <c r="G109" s="15" t="s">
        <v>825</v>
      </c>
      <c r="H109" s="18">
        <v>0.0</v>
      </c>
      <c r="I109" s="16" t="s">
        <v>801</v>
      </c>
      <c r="J109" s="17">
        <v>23.4</v>
      </c>
    </row>
    <row r="110" ht="15.75" customHeight="1">
      <c r="A110" s="15" t="s">
        <v>982</v>
      </c>
      <c r="B110" s="16" t="s">
        <v>801</v>
      </c>
      <c r="C110" s="17">
        <v>59.4</v>
      </c>
      <c r="D110" s="17">
        <v>66.0</v>
      </c>
      <c r="E110" s="15" t="s">
        <v>983</v>
      </c>
      <c r="F110" s="16" t="s">
        <v>801</v>
      </c>
      <c r="G110" s="15" t="s">
        <v>825</v>
      </c>
      <c r="H110" s="18">
        <v>0.0</v>
      </c>
      <c r="I110" s="16" t="s">
        <v>801</v>
      </c>
      <c r="J110" s="17">
        <v>73.92</v>
      </c>
    </row>
    <row r="111" ht="15.75" customHeight="1">
      <c r="A111" s="15" t="s">
        <v>984</v>
      </c>
      <c r="B111" s="16" t="s">
        <v>801</v>
      </c>
      <c r="C111" s="17">
        <v>143.02</v>
      </c>
      <c r="D111" s="17">
        <v>158.94</v>
      </c>
      <c r="E111" s="15" t="s">
        <v>985</v>
      </c>
      <c r="F111" s="16" t="s">
        <v>801</v>
      </c>
      <c r="G111" s="15" t="s">
        <v>825</v>
      </c>
      <c r="H111" s="18">
        <v>0.0</v>
      </c>
      <c r="I111" s="16" t="s">
        <v>801</v>
      </c>
      <c r="J111" s="17">
        <v>178.01</v>
      </c>
    </row>
    <row r="112" ht="15.75" customHeight="1">
      <c r="A112" s="15" t="s">
        <v>986</v>
      </c>
      <c r="B112" s="16" t="s">
        <v>801</v>
      </c>
      <c r="C112" s="17">
        <v>138.51</v>
      </c>
      <c r="D112" s="17">
        <v>153.88</v>
      </c>
      <c r="E112" s="15" t="s">
        <v>987</v>
      </c>
      <c r="F112" s="16" t="s">
        <v>801</v>
      </c>
      <c r="G112" s="15" t="s">
        <v>825</v>
      </c>
      <c r="H112" s="18">
        <v>0.0</v>
      </c>
      <c r="I112" s="16" t="s">
        <v>801</v>
      </c>
      <c r="J112" s="17">
        <v>172.35</v>
      </c>
    </row>
    <row r="113" ht="15.75" customHeight="1">
      <c r="A113" s="15" t="s">
        <v>988</v>
      </c>
      <c r="B113" s="16" t="s">
        <v>801</v>
      </c>
      <c r="C113" s="17">
        <v>182.7</v>
      </c>
      <c r="D113" s="17">
        <v>202.99</v>
      </c>
      <c r="E113" s="15" t="s">
        <v>989</v>
      </c>
      <c r="F113" s="16" t="s">
        <v>801</v>
      </c>
      <c r="G113" s="15" t="s">
        <v>825</v>
      </c>
      <c r="H113" s="18">
        <v>0.0</v>
      </c>
      <c r="I113" s="16" t="s">
        <v>801</v>
      </c>
      <c r="J113" s="17">
        <v>227.35</v>
      </c>
    </row>
    <row r="114" ht="15.75" customHeight="1">
      <c r="A114" s="15" t="s">
        <v>990</v>
      </c>
      <c r="B114" s="16" t="s">
        <v>801</v>
      </c>
      <c r="C114" s="17">
        <v>45.44</v>
      </c>
      <c r="D114" s="17">
        <v>50.49</v>
      </c>
      <c r="E114" s="15" t="s">
        <v>991</v>
      </c>
      <c r="F114" s="16" t="s">
        <v>801</v>
      </c>
      <c r="G114" s="15" t="s">
        <v>825</v>
      </c>
      <c r="H114" s="18">
        <v>0.0</v>
      </c>
      <c r="I114" s="16" t="s">
        <v>801</v>
      </c>
      <c r="J114" s="17">
        <v>56.55</v>
      </c>
    </row>
    <row r="115" ht="15.75" customHeight="1">
      <c r="A115" s="15" t="s">
        <v>992</v>
      </c>
      <c r="B115" s="16" t="s">
        <v>801</v>
      </c>
      <c r="C115" s="17">
        <v>76.82</v>
      </c>
      <c r="D115" s="17">
        <v>85.36</v>
      </c>
      <c r="E115" s="15" t="s">
        <v>993</v>
      </c>
      <c r="F115" s="16" t="s">
        <v>801</v>
      </c>
      <c r="G115" s="15" t="s">
        <v>825</v>
      </c>
      <c r="H115" s="18">
        <v>0.0</v>
      </c>
      <c r="I115" s="16" t="s">
        <v>801</v>
      </c>
      <c r="J115" s="17">
        <v>95.6</v>
      </c>
    </row>
    <row r="116" ht="15.75" customHeight="1">
      <c r="A116" s="15" t="s">
        <v>994</v>
      </c>
      <c r="B116" s="16" t="s">
        <v>801</v>
      </c>
      <c r="C116" s="17">
        <v>15.28</v>
      </c>
      <c r="D116" s="17">
        <v>16.98</v>
      </c>
      <c r="E116" s="15" t="s">
        <v>995</v>
      </c>
      <c r="F116" s="16" t="s">
        <v>801</v>
      </c>
      <c r="G116" s="15" t="s">
        <v>825</v>
      </c>
      <c r="H116" s="18">
        <v>0.0</v>
      </c>
      <c r="I116" s="16" t="s">
        <v>801</v>
      </c>
      <c r="J116" s="17">
        <v>19.02</v>
      </c>
    </row>
    <row r="117" ht="15.75" customHeight="1">
      <c r="A117" s="15" t="s">
        <v>996</v>
      </c>
      <c r="B117" s="16" t="s">
        <v>801</v>
      </c>
      <c r="C117" s="17">
        <v>76.51</v>
      </c>
      <c r="D117" s="17">
        <v>84.89</v>
      </c>
      <c r="E117" s="15" t="s">
        <v>997</v>
      </c>
      <c r="F117" s="16" t="s">
        <v>801</v>
      </c>
      <c r="G117" s="15" t="s">
        <v>825</v>
      </c>
      <c r="H117" s="18">
        <v>0.0</v>
      </c>
      <c r="I117" s="16" t="s">
        <v>801</v>
      </c>
      <c r="J117" s="17">
        <v>95.08</v>
      </c>
    </row>
    <row r="118" ht="15.75" customHeight="1">
      <c r="A118" s="15" t="s">
        <v>998</v>
      </c>
      <c r="B118" s="16" t="s">
        <v>801</v>
      </c>
      <c r="C118" s="17">
        <v>254.88</v>
      </c>
      <c r="D118" s="17">
        <v>283.2</v>
      </c>
      <c r="E118" s="15" t="s">
        <v>999</v>
      </c>
      <c r="F118" s="16" t="s">
        <v>801</v>
      </c>
      <c r="G118" s="15" t="s">
        <v>825</v>
      </c>
      <c r="H118" s="18">
        <v>0.0</v>
      </c>
      <c r="I118" s="16" t="s">
        <v>801</v>
      </c>
      <c r="J118" s="17">
        <v>317.18</v>
      </c>
    </row>
    <row r="119" ht="15.75" customHeight="1">
      <c r="A119" s="15" t="s">
        <v>1000</v>
      </c>
      <c r="B119" s="16" t="s">
        <v>801</v>
      </c>
      <c r="C119" s="17">
        <v>62.64</v>
      </c>
      <c r="D119" s="17">
        <v>69.6</v>
      </c>
      <c r="E119" s="15" t="s">
        <v>1001</v>
      </c>
      <c r="F119" s="16" t="s">
        <v>801</v>
      </c>
      <c r="G119" s="15" t="s">
        <v>825</v>
      </c>
      <c r="H119" s="18">
        <v>0.0</v>
      </c>
      <c r="I119" s="16" t="s">
        <v>801</v>
      </c>
      <c r="J119" s="17">
        <v>77.95</v>
      </c>
    </row>
    <row r="120" ht="15.75" customHeight="1">
      <c r="A120" s="15" t="s">
        <v>1002</v>
      </c>
      <c r="B120" s="16" t="s">
        <v>801</v>
      </c>
      <c r="C120" s="17">
        <v>116.23</v>
      </c>
      <c r="D120" s="17">
        <v>129.14</v>
      </c>
      <c r="E120" s="15" t="s">
        <v>1003</v>
      </c>
      <c r="F120" s="16" t="s">
        <v>801</v>
      </c>
      <c r="G120" s="15" t="s">
        <v>825</v>
      </c>
      <c r="H120" s="18">
        <v>0.0</v>
      </c>
      <c r="I120" s="16" t="s">
        <v>801</v>
      </c>
      <c r="J120" s="17">
        <v>144.64</v>
      </c>
    </row>
    <row r="121" ht="15.75" customHeight="1">
      <c r="A121" s="15" t="s">
        <v>1004</v>
      </c>
      <c r="B121" s="16" t="s">
        <v>801</v>
      </c>
      <c r="C121" s="17">
        <v>88.05</v>
      </c>
      <c r="D121" s="17">
        <v>97.83</v>
      </c>
      <c r="E121" s="15" t="s">
        <v>1005</v>
      </c>
      <c r="F121" s="16" t="s">
        <v>801</v>
      </c>
      <c r="G121" s="15" t="s">
        <v>825</v>
      </c>
      <c r="H121" s="18">
        <v>0.0</v>
      </c>
      <c r="I121" s="16" t="s">
        <v>801</v>
      </c>
      <c r="J121" s="17">
        <v>109.57</v>
      </c>
    </row>
    <row r="122" ht="15.75" customHeight="1">
      <c r="A122" s="15" t="s">
        <v>1006</v>
      </c>
      <c r="B122" s="16" t="s">
        <v>801</v>
      </c>
      <c r="C122" s="17">
        <v>23.34</v>
      </c>
      <c r="D122" s="17">
        <v>25.93</v>
      </c>
      <c r="E122" s="15" t="s">
        <v>1007</v>
      </c>
      <c r="F122" s="16" t="s">
        <v>801</v>
      </c>
      <c r="G122" s="15" t="s">
        <v>825</v>
      </c>
      <c r="H122" s="18">
        <v>0.0</v>
      </c>
      <c r="I122" s="16" t="s">
        <v>801</v>
      </c>
      <c r="J122" s="17">
        <v>29.04</v>
      </c>
    </row>
    <row r="123" ht="15.75" customHeight="1">
      <c r="A123" s="15" t="s">
        <v>1008</v>
      </c>
      <c r="B123" s="16" t="s">
        <v>801</v>
      </c>
      <c r="C123" s="17">
        <v>116.7</v>
      </c>
      <c r="D123" s="17">
        <v>129.64</v>
      </c>
      <c r="E123" s="15" t="s">
        <v>1009</v>
      </c>
      <c r="F123" s="16" t="s">
        <v>801</v>
      </c>
      <c r="G123" s="15" t="s">
        <v>825</v>
      </c>
      <c r="H123" s="18">
        <v>0.0</v>
      </c>
      <c r="I123" s="16" t="s">
        <v>801</v>
      </c>
      <c r="J123" s="17">
        <v>145.2</v>
      </c>
    </row>
    <row r="124" ht="15.75" customHeight="1">
      <c r="A124" s="15" t="s">
        <v>1010</v>
      </c>
      <c r="B124" s="16" t="s">
        <v>801</v>
      </c>
      <c r="C124" s="17">
        <v>327.99</v>
      </c>
      <c r="D124" s="17">
        <v>364.43</v>
      </c>
      <c r="E124" s="15" t="s">
        <v>1011</v>
      </c>
      <c r="F124" s="16" t="s">
        <v>801</v>
      </c>
      <c r="G124" s="15" t="s">
        <v>825</v>
      </c>
      <c r="H124" s="18">
        <v>0.0</v>
      </c>
      <c r="I124" s="16" t="s">
        <v>801</v>
      </c>
      <c r="J124" s="17">
        <v>408.16</v>
      </c>
    </row>
    <row r="125" ht="15.75" customHeight="1">
      <c r="A125" s="15" t="s">
        <v>1012</v>
      </c>
      <c r="B125" s="16" t="s">
        <v>801</v>
      </c>
      <c r="C125" s="17">
        <v>28.66</v>
      </c>
      <c r="D125" s="17">
        <v>31.84</v>
      </c>
      <c r="E125" s="15" t="s">
        <v>1013</v>
      </c>
      <c r="F125" s="16" t="s">
        <v>801</v>
      </c>
      <c r="G125" s="15" t="s">
        <v>825</v>
      </c>
      <c r="H125" s="18">
        <v>0.0</v>
      </c>
      <c r="I125" s="16" t="s">
        <v>801</v>
      </c>
      <c r="J125" s="17">
        <v>35.66</v>
      </c>
    </row>
    <row r="126" ht="15.75" customHeight="1">
      <c r="A126" s="15" t="s">
        <v>1014</v>
      </c>
      <c r="B126" s="16" t="s">
        <v>801</v>
      </c>
      <c r="C126" s="17">
        <v>12.46</v>
      </c>
      <c r="D126" s="17">
        <v>13.84</v>
      </c>
      <c r="E126" s="15" t="s">
        <v>1015</v>
      </c>
      <c r="F126" s="16" t="s">
        <v>801</v>
      </c>
      <c r="G126" s="15" t="s">
        <v>825</v>
      </c>
      <c r="H126" s="18">
        <v>0.0</v>
      </c>
      <c r="I126" s="16" t="s">
        <v>801</v>
      </c>
      <c r="J126" s="17">
        <v>15.5</v>
      </c>
    </row>
    <row r="127" ht="15.75" customHeight="1">
      <c r="A127" s="15" t="s">
        <v>1016</v>
      </c>
      <c r="B127" s="16" t="s">
        <v>801</v>
      </c>
      <c r="C127" s="17">
        <v>29.8</v>
      </c>
      <c r="D127" s="17">
        <v>33.11</v>
      </c>
      <c r="E127" s="15" t="s">
        <v>1017</v>
      </c>
      <c r="F127" s="16" t="s">
        <v>801</v>
      </c>
      <c r="G127" s="15" t="s">
        <v>825</v>
      </c>
      <c r="H127" s="18">
        <v>0.0</v>
      </c>
      <c r="I127" s="16" t="s">
        <v>801</v>
      </c>
      <c r="J127" s="17">
        <v>37.08</v>
      </c>
    </row>
    <row r="128" ht="15.75" customHeight="1">
      <c r="A128" s="15" t="s">
        <v>1018</v>
      </c>
      <c r="B128" s="16" t="s">
        <v>801</v>
      </c>
      <c r="C128" s="17">
        <v>63.52</v>
      </c>
      <c r="D128" s="17">
        <v>70.58</v>
      </c>
      <c r="E128" s="15" t="s">
        <v>1019</v>
      </c>
      <c r="F128" s="16" t="s">
        <v>801</v>
      </c>
      <c r="G128" s="15" t="s">
        <v>825</v>
      </c>
      <c r="H128" s="18">
        <v>0.0</v>
      </c>
      <c r="I128" s="16" t="s">
        <v>801</v>
      </c>
      <c r="J128" s="17">
        <v>79.05</v>
      </c>
    </row>
    <row r="129" ht="15.75" customHeight="1">
      <c r="A129" s="15" t="s">
        <v>1020</v>
      </c>
      <c r="B129" s="16" t="s">
        <v>801</v>
      </c>
      <c r="C129" s="17">
        <v>14.88</v>
      </c>
      <c r="D129" s="17">
        <v>16.54</v>
      </c>
      <c r="E129" s="15" t="s">
        <v>1021</v>
      </c>
      <c r="F129" s="16" t="s">
        <v>801</v>
      </c>
      <c r="G129" s="15" t="s">
        <v>825</v>
      </c>
      <c r="H129" s="18">
        <v>0.0</v>
      </c>
      <c r="I129" s="16" t="s">
        <v>801</v>
      </c>
      <c r="J129" s="17">
        <v>18.52</v>
      </c>
    </row>
    <row r="130" ht="15.75" customHeight="1">
      <c r="A130" s="15" t="s">
        <v>1022</v>
      </c>
      <c r="B130" s="16" t="s">
        <v>801</v>
      </c>
      <c r="C130" s="17">
        <v>26.35</v>
      </c>
      <c r="D130" s="17">
        <v>29.28</v>
      </c>
      <c r="E130" s="15" t="s">
        <v>1023</v>
      </c>
      <c r="F130" s="16" t="s">
        <v>801</v>
      </c>
      <c r="G130" s="15" t="s">
        <v>825</v>
      </c>
      <c r="H130" s="18">
        <v>0.0</v>
      </c>
      <c r="I130" s="16" t="s">
        <v>801</v>
      </c>
      <c r="J130" s="17">
        <v>32.79</v>
      </c>
    </row>
    <row r="131" ht="15.75" customHeight="1">
      <c r="A131" s="15" t="s">
        <v>1024</v>
      </c>
      <c r="B131" s="16" t="s">
        <v>801</v>
      </c>
      <c r="C131" s="17">
        <v>12.83</v>
      </c>
      <c r="D131" s="17">
        <v>14.26</v>
      </c>
      <c r="E131" s="15" t="s">
        <v>1025</v>
      </c>
      <c r="F131" s="16" t="s">
        <v>801</v>
      </c>
      <c r="G131" s="15" t="s">
        <v>825</v>
      </c>
      <c r="H131" s="18">
        <v>0.0</v>
      </c>
      <c r="I131" s="16" t="s">
        <v>801</v>
      </c>
      <c r="J131" s="17">
        <v>15.97</v>
      </c>
    </row>
    <row r="132" ht="15.75" customHeight="1">
      <c r="A132" s="15" t="s">
        <v>1026</v>
      </c>
      <c r="B132" s="16" t="s">
        <v>801</v>
      </c>
      <c r="C132" s="17">
        <v>12.18</v>
      </c>
      <c r="D132" s="17">
        <v>12.18</v>
      </c>
      <c r="E132" s="15" t="s">
        <v>1027</v>
      </c>
      <c r="F132" s="16" t="s">
        <v>801</v>
      </c>
      <c r="G132" s="15" t="s">
        <v>825</v>
      </c>
      <c r="H132" s="18">
        <v>0.0</v>
      </c>
      <c r="I132" s="16" t="s">
        <v>801</v>
      </c>
      <c r="J132" s="17">
        <v>13.64</v>
      </c>
    </row>
    <row r="133" ht="15.75" customHeight="1">
      <c r="A133" s="15" t="s">
        <v>1028</v>
      </c>
      <c r="B133" s="16" t="s">
        <v>801</v>
      </c>
      <c r="C133" s="17">
        <v>10.96</v>
      </c>
      <c r="D133" s="17">
        <v>12.18</v>
      </c>
      <c r="E133" s="15" t="s">
        <v>1027</v>
      </c>
      <c r="F133" s="16" t="s">
        <v>801</v>
      </c>
      <c r="G133" s="15" t="s">
        <v>825</v>
      </c>
      <c r="H133" s="18">
        <v>0.0</v>
      </c>
      <c r="I133" s="16" t="s">
        <v>801</v>
      </c>
      <c r="J133" s="17">
        <v>13.64</v>
      </c>
    </row>
    <row r="134" ht="15.75" customHeight="1">
      <c r="A134" s="15" t="s">
        <v>1029</v>
      </c>
      <c r="B134" s="16" t="s">
        <v>801</v>
      </c>
      <c r="C134" s="17">
        <v>91.15</v>
      </c>
      <c r="D134" s="17">
        <v>101.28</v>
      </c>
      <c r="E134" s="15" t="s">
        <v>1030</v>
      </c>
      <c r="F134" s="16" t="s">
        <v>801</v>
      </c>
      <c r="G134" s="15" t="s">
        <v>825</v>
      </c>
      <c r="H134" s="18">
        <v>0.0</v>
      </c>
      <c r="I134" s="16" t="s">
        <v>801</v>
      </c>
      <c r="J134" s="17">
        <v>113.43</v>
      </c>
    </row>
    <row r="135" ht="15.75" customHeight="1">
      <c r="A135" s="15" t="s">
        <v>1031</v>
      </c>
      <c r="B135" s="16" t="s">
        <v>801</v>
      </c>
      <c r="C135" s="17">
        <v>54.68</v>
      </c>
      <c r="D135" s="17">
        <v>60.75</v>
      </c>
      <c r="E135" s="15" t="s">
        <v>1032</v>
      </c>
      <c r="F135" s="16" t="s">
        <v>801</v>
      </c>
      <c r="G135" s="15" t="s">
        <v>825</v>
      </c>
      <c r="H135" s="18">
        <v>0.0</v>
      </c>
      <c r="I135" s="16" t="s">
        <v>801</v>
      </c>
      <c r="J135" s="17">
        <v>68.04</v>
      </c>
    </row>
    <row r="136" ht="15.75" customHeight="1">
      <c r="A136" s="15" t="s">
        <v>1033</v>
      </c>
      <c r="B136" s="16" t="s">
        <v>801</v>
      </c>
      <c r="C136" s="17">
        <v>45.88</v>
      </c>
      <c r="D136" s="17">
        <v>51.0</v>
      </c>
      <c r="E136" s="15" t="s">
        <v>1034</v>
      </c>
      <c r="F136" s="16" t="s">
        <v>801</v>
      </c>
      <c r="G136" s="15" t="s">
        <v>825</v>
      </c>
      <c r="H136" s="18">
        <v>0.0</v>
      </c>
      <c r="I136" s="16" t="s">
        <v>801</v>
      </c>
      <c r="J136" s="17">
        <v>57.12</v>
      </c>
    </row>
    <row r="137" ht="15.75" customHeight="1">
      <c r="A137" s="15" t="s">
        <v>1035</v>
      </c>
      <c r="B137" s="16" t="s">
        <v>801</v>
      </c>
      <c r="C137" s="17">
        <v>50.05</v>
      </c>
      <c r="D137" s="17">
        <v>55.61</v>
      </c>
      <c r="E137" s="15" t="s">
        <v>1036</v>
      </c>
      <c r="F137" s="16" t="s">
        <v>801</v>
      </c>
      <c r="G137" s="15" t="s">
        <v>825</v>
      </c>
      <c r="H137" s="18">
        <v>0.0</v>
      </c>
      <c r="I137" s="16" t="s">
        <v>801</v>
      </c>
      <c r="J137" s="17">
        <v>62.28</v>
      </c>
    </row>
    <row r="138" ht="15.75" customHeight="1">
      <c r="A138" s="15" t="s">
        <v>1037</v>
      </c>
      <c r="B138" s="16" t="s">
        <v>801</v>
      </c>
      <c r="C138" s="17">
        <v>39.22</v>
      </c>
      <c r="D138" s="17">
        <v>43.58</v>
      </c>
      <c r="E138" s="15" t="s">
        <v>1038</v>
      </c>
      <c r="F138" s="16" t="s">
        <v>801</v>
      </c>
      <c r="G138" s="15" t="s">
        <v>825</v>
      </c>
      <c r="H138" s="18">
        <v>0.0</v>
      </c>
      <c r="I138" s="16" t="s">
        <v>801</v>
      </c>
      <c r="J138" s="17">
        <v>48.81</v>
      </c>
    </row>
    <row r="139" ht="15.75" customHeight="1">
      <c r="A139" s="15" t="s">
        <v>1039</v>
      </c>
      <c r="B139" s="16" t="s">
        <v>801</v>
      </c>
      <c r="C139" s="17">
        <v>70.95</v>
      </c>
      <c r="D139" s="17">
        <v>78.83</v>
      </c>
      <c r="E139" s="15" t="s">
        <v>1040</v>
      </c>
      <c r="F139" s="16" t="s">
        <v>801</v>
      </c>
      <c r="G139" s="15" t="s">
        <v>825</v>
      </c>
      <c r="H139" s="18">
        <v>0.0</v>
      </c>
      <c r="I139" s="16" t="s">
        <v>801</v>
      </c>
      <c r="J139" s="17">
        <v>88.29</v>
      </c>
    </row>
    <row r="140" ht="15.75" customHeight="1">
      <c r="A140" s="15" t="s">
        <v>1041</v>
      </c>
      <c r="B140" s="16" t="s">
        <v>801</v>
      </c>
      <c r="C140" s="17">
        <v>72.49</v>
      </c>
      <c r="D140" s="17">
        <v>80.54</v>
      </c>
      <c r="E140" s="15" t="s">
        <v>1042</v>
      </c>
      <c r="F140" s="16" t="s">
        <v>801</v>
      </c>
      <c r="G140" s="15" t="s">
        <v>825</v>
      </c>
      <c r="H140" s="18">
        <v>0.0</v>
      </c>
      <c r="I140" s="16" t="s">
        <v>801</v>
      </c>
      <c r="J140" s="17">
        <v>90.2</v>
      </c>
    </row>
    <row r="141" ht="15.75" customHeight="1">
      <c r="A141" s="15" t="s">
        <v>1043</v>
      </c>
      <c r="B141" s="16" t="s">
        <v>801</v>
      </c>
      <c r="C141" s="17">
        <v>141.81</v>
      </c>
      <c r="D141" s="17">
        <v>157.57</v>
      </c>
      <c r="E141" s="15" t="s">
        <v>1044</v>
      </c>
      <c r="F141" s="16" t="s">
        <v>801</v>
      </c>
      <c r="G141" s="15" t="s">
        <v>825</v>
      </c>
      <c r="H141" s="18">
        <v>0.0</v>
      </c>
      <c r="I141" s="16" t="s">
        <v>801</v>
      </c>
      <c r="J141" s="17">
        <v>176.48</v>
      </c>
    </row>
    <row r="142" ht="15.75" customHeight="1">
      <c r="A142" s="15" t="s">
        <v>1045</v>
      </c>
      <c r="B142" s="16" t="s">
        <v>801</v>
      </c>
      <c r="C142" s="17">
        <v>281.04</v>
      </c>
      <c r="D142" s="17">
        <v>312.27</v>
      </c>
      <c r="E142" s="15" t="s">
        <v>1046</v>
      </c>
      <c r="F142" s="16" t="s">
        <v>801</v>
      </c>
      <c r="G142" s="15" t="s">
        <v>825</v>
      </c>
      <c r="H142" s="18">
        <v>0.0</v>
      </c>
      <c r="I142" s="16" t="s">
        <v>801</v>
      </c>
      <c r="J142" s="17">
        <v>349.74</v>
      </c>
    </row>
    <row r="143" ht="15.75" customHeight="1">
      <c r="A143" s="15" t="s">
        <v>1047</v>
      </c>
      <c r="B143" s="16" t="s">
        <v>801</v>
      </c>
      <c r="C143" s="17">
        <v>313.41</v>
      </c>
      <c r="D143" s="17">
        <v>348.24</v>
      </c>
      <c r="E143" s="15" t="s">
        <v>1048</v>
      </c>
      <c r="F143" s="16" t="s">
        <v>801</v>
      </c>
      <c r="G143" s="15" t="s">
        <v>825</v>
      </c>
      <c r="H143" s="18">
        <v>0.0</v>
      </c>
      <c r="I143" s="16" t="s">
        <v>801</v>
      </c>
      <c r="J143" s="17">
        <v>390.03</v>
      </c>
    </row>
    <row r="144" ht="15.75" customHeight="1">
      <c r="A144" s="15" t="s">
        <v>1049</v>
      </c>
      <c r="B144" s="16" t="s">
        <v>801</v>
      </c>
      <c r="C144" s="17">
        <v>12.05</v>
      </c>
      <c r="D144" s="17">
        <v>13.39</v>
      </c>
      <c r="E144" s="15" t="s">
        <v>1050</v>
      </c>
      <c r="F144" s="16" t="s">
        <v>801</v>
      </c>
      <c r="G144" s="15" t="s">
        <v>825</v>
      </c>
      <c r="H144" s="18">
        <v>0.0</v>
      </c>
      <c r="I144" s="16" t="s">
        <v>801</v>
      </c>
      <c r="J144" s="17">
        <v>15.0</v>
      </c>
    </row>
    <row r="145" ht="15.75" customHeight="1">
      <c r="A145" s="15" t="s">
        <v>1051</v>
      </c>
      <c r="B145" s="16" t="s">
        <v>801</v>
      </c>
      <c r="C145" s="17">
        <v>96.37</v>
      </c>
      <c r="D145" s="17">
        <v>107.08</v>
      </c>
      <c r="E145" s="15" t="s">
        <v>1052</v>
      </c>
      <c r="F145" s="16" t="s">
        <v>801</v>
      </c>
      <c r="G145" s="15" t="s">
        <v>825</v>
      </c>
      <c r="H145" s="18">
        <v>0.0</v>
      </c>
      <c r="I145" s="16" t="s">
        <v>801</v>
      </c>
      <c r="J145" s="17">
        <v>119.93</v>
      </c>
    </row>
    <row r="146" ht="15.75" customHeight="1">
      <c r="A146" s="15" t="s">
        <v>1053</v>
      </c>
      <c r="B146" s="16" t="s">
        <v>801</v>
      </c>
      <c r="C146" s="17">
        <v>199.36</v>
      </c>
      <c r="D146" s="17">
        <v>221.51</v>
      </c>
      <c r="E146" s="15" t="s">
        <v>1054</v>
      </c>
      <c r="F146" s="16" t="s">
        <v>801</v>
      </c>
      <c r="G146" s="15" t="s">
        <v>825</v>
      </c>
      <c r="H146" s="18">
        <v>0.0</v>
      </c>
      <c r="I146" s="16" t="s">
        <v>801</v>
      </c>
      <c r="J146" s="17">
        <v>248.09</v>
      </c>
    </row>
    <row r="147" ht="15.75" customHeight="1">
      <c r="A147" s="15" t="s">
        <v>1055</v>
      </c>
      <c r="B147" s="16" t="s">
        <v>801</v>
      </c>
      <c r="C147" s="17">
        <v>115.21</v>
      </c>
      <c r="D147" s="17">
        <v>128.01</v>
      </c>
      <c r="E147" s="15" t="s">
        <v>1056</v>
      </c>
      <c r="F147" s="16" t="s">
        <v>801</v>
      </c>
      <c r="G147" s="15" t="s">
        <v>825</v>
      </c>
      <c r="H147" s="18">
        <v>0.0</v>
      </c>
      <c r="I147" s="16" t="s">
        <v>801</v>
      </c>
      <c r="J147" s="17">
        <v>143.37</v>
      </c>
    </row>
    <row r="148" ht="15.75" customHeight="1">
      <c r="A148" s="15" t="s">
        <v>1057</v>
      </c>
      <c r="B148" s="16" t="s">
        <v>801</v>
      </c>
      <c r="C148" s="17">
        <v>258.26</v>
      </c>
      <c r="D148" s="17">
        <v>286.96</v>
      </c>
      <c r="E148" s="15" t="s">
        <v>1058</v>
      </c>
      <c r="F148" s="16" t="s">
        <v>801</v>
      </c>
      <c r="G148" s="15" t="s">
        <v>825</v>
      </c>
      <c r="H148" s="18">
        <v>0.0</v>
      </c>
      <c r="I148" s="16" t="s">
        <v>801</v>
      </c>
      <c r="J148" s="17">
        <v>321.4</v>
      </c>
    </row>
    <row r="149" ht="15.75" customHeight="1">
      <c r="A149" s="15" t="s">
        <v>1059</v>
      </c>
      <c r="B149" s="16" t="s">
        <v>801</v>
      </c>
      <c r="C149" s="17">
        <v>97.97</v>
      </c>
      <c r="D149" s="17">
        <v>108.85</v>
      </c>
      <c r="E149" s="15" t="s">
        <v>1060</v>
      </c>
      <c r="F149" s="16" t="s">
        <v>801</v>
      </c>
      <c r="G149" s="15" t="s">
        <v>825</v>
      </c>
      <c r="H149" s="18">
        <v>0.0</v>
      </c>
      <c r="I149" s="16" t="s">
        <v>801</v>
      </c>
      <c r="J149" s="17">
        <v>121.91</v>
      </c>
    </row>
    <row r="150" ht="15.75" customHeight="1">
      <c r="A150" s="15" t="s">
        <v>1061</v>
      </c>
      <c r="B150" s="16" t="s">
        <v>801</v>
      </c>
      <c r="C150" s="17">
        <v>34.65</v>
      </c>
      <c r="D150" s="17">
        <v>38.5</v>
      </c>
      <c r="E150" s="15" t="s">
        <v>1062</v>
      </c>
      <c r="F150" s="16" t="s">
        <v>801</v>
      </c>
      <c r="G150" s="15" t="s">
        <v>825</v>
      </c>
      <c r="H150" s="18">
        <v>0.0</v>
      </c>
      <c r="I150" s="16" t="s">
        <v>801</v>
      </c>
      <c r="J150" s="17">
        <v>43.12</v>
      </c>
    </row>
    <row r="151" ht="15.75" customHeight="1">
      <c r="A151" s="15" t="s">
        <v>1063</v>
      </c>
      <c r="B151" s="16" t="s">
        <v>801</v>
      </c>
      <c r="C151" s="17">
        <v>52.19</v>
      </c>
      <c r="D151" s="17">
        <v>57.99</v>
      </c>
      <c r="E151" s="15" t="s">
        <v>1064</v>
      </c>
      <c r="F151" s="16" t="s">
        <v>801</v>
      </c>
      <c r="G151" s="15" t="s">
        <v>825</v>
      </c>
      <c r="H151" s="18">
        <v>0.0</v>
      </c>
      <c r="I151" s="16" t="s">
        <v>801</v>
      </c>
      <c r="J151" s="17">
        <v>64.95</v>
      </c>
    </row>
    <row r="152" ht="15.75" customHeight="1">
      <c r="A152" s="15" t="s">
        <v>1065</v>
      </c>
      <c r="B152" s="16" t="s">
        <v>801</v>
      </c>
      <c r="C152" s="17">
        <v>68.01</v>
      </c>
      <c r="D152" s="17">
        <v>75.57</v>
      </c>
      <c r="E152" s="15" t="s">
        <v>1066</v>
      </c>
      <c r="F152" s="16" t="s">
        <v>801</v>
      </c>
      <c r="G152" s="15" t="s">
        <v>825</v>
      </c>
      <c r="H152" s="18">
        <v>0.0</v>
      </c>
      <c r="I152" s="16" t="s">
        <v>801</v>
      </c>
      <c r="J152" s="17">
        <v>84.64</v>
      </c>
    </row>
    <row r="153" ht="15.75" customHeight="1">
      <c r="A153" s="15" t="s">
        <v>1067</v>
      </c>
      <c r="B153" s="16" t="s">
        <v>801</v>
      </c>
      <c r="C153" s="17">
        <v>46.2</v>
      </c>
      <c r="D153" s="17">
        <v>51.34</v>
      </c>
      <c r="E153" s="15" t="s">
        <v>1068</v>
      </c>
      <c r="F153" s="16" t="s">
        <v>801</v>
      </c>
      <c r="G153" s="15" t="s">
        <v>825</v>
      </c>
      <c r="H153" s="18">
        <v>0.0</v>
      </c>
      <c r="I153" s="16" t="s">
        <v>801</v>
      </c>
      <c r="J153" s="17">
        <v>57.5</v>
      </c>
    </row>
    <row r="154" ht="15.75" customHeight="1">
      <c r="A154" s="15" t="s">
        <v>1069</v>
      </c>
      <c r="B154" s="16" t="s">
        <v>801</v>
      </c>
      <c r="C154" s="17">
        <v>36.57</v>
      </c>
      <c r="D154" s="17">
        <v>40.64</v>
      </c>
      <c r="E154" s="15" t="s">
        <v>1070</v>
      </c>
      <c r="F154" s="16" t="s">
        <v>801</v>
      </c>
      <c r="G154" s="15" t="s">
        <v>825</v>
      </c>
      <c r="H154" s="18">
        <v>0.0</v>
      </c>
      <c r="I154" s="16" t="s">
        <v>801</v>
      </c>
      <c r="J154" s="17">
        <v>45.52</v>
      </c>
    </row>
    <row r="155" ht="15.75" customHeight="1">
      <c r="A155" s="15" t="s">
        <v>1071</v>
      </c>
      <c r="B155" s="16" t="s">
        <v>801</v>
      </c>
      <c r="C155" s="17">
        <v>225.89</v>
      </c>
      <c r="D155" s="17">
        <v>250.99</v>
      </c>
      <c r="E155" s="15" t="s">
        <v>1072</v>
      </c>
      <c r="F155" s="16" t="s">
        <v>801</v>
      </c>
      <c r="G155" s="15" t="s">
        <v>825</v>
      </c>
      <c r="H155" s="18">
        <v>0.0</v>
      </c>
      <c r="I155" s="16" t="s">
        <v>801</v>
      </c>
      <c r="J155" s="17">
        <v>281.11</v>
      </c>
    </row>
    <row r="156" ht="15.75" customHeight="1">
      <c r="A156" s="15" t="s">
        <v>1073</v>
      </c>
      <c r="B156" s="16" t="s">
        <v>801</v>
      </c>
      <c r="C156" s="17">
        <v>162.43</v>
      </c>
      <c r="D156" s="17">
        <v>180.48</v>
      </c>
      <c r="E156" s="15" t="s">
        <v>1074</v>
      </c>
      <c r="F156" s="16" t="s">
        <v>801</v>
      </c>
      <c r="G156" s="15" t="s">
        <v>825</v>
      </c>
      <c r="H156" s="18">
        <v>0.0</v>
      </c>
      <c r="I156" s="16" t="s">
        <v>801</v>
      </c>
      <c r="J156" s="17">
        <v>202.14</v>
      </c>
    </row>
    <row r="157" ht="15.75" customHeight="1">
      <c r="A157" s="15" t="s">
        <v>1075</v>
      </c>
      <c r="B157" s="16" t="s">
        <v>801</v>
      </c>
      <c r="C157" s="17">
        <v>82.08</v>
      </c>
      <c r="D157" s="17">
        <v>91.2</v>
      </c>
      <c r="E157" s="15" t="s">
        <v>1076</v>
      </c>
      <c r="F157" s="16" t="s">
        <v>801</v>
      </c>
      <c r="G157" s="15" t="s">
        <v>825</v>
      </c>
      <c r="H157" s="18">
        <v>0.0</v>
      </c>
      <c r="I157" s="16" t="s">
        <v>801</v>
      </c>
      <c r="J157" s="17">
        <v>102.14</v>
      </c>
    </row>
    <row r="158" ht="15.75" customHeight="1">
      <c r="A158" s="15" t="s">
        <v>1077</v>
      </c>
      <c r="B158" s="16" t="s">
        <v>801</v>
      </c>
      <c r="C158" s="17">
        <v>231.55</v>
      </c>
      <c r="D158" s="17">
        <v>257.28</v>
      </c>
      <c r="E158" s="15" t="s">
        <v>1078</v>
      </c>
      <c r="F158" s="16" t="s">
        <v>801</v>
      </c>
      <c r="G158" s="15" t="s">
        <v>825</v>
      </c>
      <c r="H158" s="18">
        <v>0.0</v>
      </c>
      <c r="I158" s="16" t="s">
        <v>801</v>
      </c>
      <c r="J158" s="17">
        <v>288.15</v>
      </c>
    </row>
    <row r="159" ht="15.75" customHeight="1">
      <c r="A159" s="15" t="s">
        <v>1079</v>
      </c>
      <c r="B159" s="16" t="s">
        <v>801</v>
      </c>
      <c r="C159" s="17">
        <v>264.38</v>
      </c>
      <c r="D159" s="17">
        <v>293.76</v>
      </c>
      <c r="E159" s="15" t="s">
        <v>1080</v>
      </c>
      <c r="F159" s="16" t="s">
        <v>801</v>
      </c>
      <c r="G159" s="15" t="s">
        <v>825</v>
      </c>
      <c r="H159" s="18">
        <v>0.0</v>
      </c>
      <c r="I159" s="16" t="s">
        <v>801</v>
      </c>
      <c r="J159" s="17">
        <v>329.01</v>
      </c>
    </row>
    <row r="160" ht="15.75" customHeight="1">
      <c r="A160" s="15" t="s">
        <v>1081</v>
      </c>
      <c r="B160" s="16" t="s">
        <v>801</v>
      </c>
      <c r="C160" s="17">
        <v>139.32</v>
      </c>
      <c r="D160" s="17">
        <v>154.8</v>
      </c>
      <c r="E160" s="15" t="s">
        <v>1082</v>
      </c>
      <c r="F160" s="16" t="s">
        <v>801</v>
      </c>
      <c r="G160" s="15" t="s">
        <v>825</v>
      </c>
      <c r="H160" s="18">
        <v>0.0</v>
      </c>
      <c r="I160" s="16" t="s">
        <v>801</v>
      </c>
      <c r="J160" s="17">
        <v>173.38</v>
      </c>
    </row>
    <row r="161" ht="15.75" customHeight="1">
      <c r="A161" s="15" t="s">
        <v>1083</v>
      </c>
      <c r="B161" s="16" t="s">
        <v>801</v>
      </c>
      <c r="C161" s="17">
        <v>455.2</v>
      </c>
      <c r="D161" s="17">
        <v>505.78</v>
      </c>
      <c r="E161" s="15" t="s">
        <v>1084</v>
      </c>
      <c r="F161" s="16" t="s">
        <v>801</v>
      </c>
      <c r="G161" s="15" t="s">
        <v>825</v>
      </c>
      <c r="H161" s="18">
        <v>0.0</v>
      </c>
      <c r="I161" s="16" t="s">
        <v>801</v>
      </c>
      <c r="J161" s="17">
        <v>566.47</v>
      </c>
    </row>
    <row r="162" ht="15.75" customHeight="1">
      <c r="A162" s="15" t="s">
        <v>1085</v>
      </c>
      <c r="B162" s="16" t="s">
        <v>801</v>
      </c>
      <c r="C162" s="17">
        <v>224.02</v>
      </c>
      <c r="D162" s="17">
        <v>248.91</v>
      </c>
      <c r="E162" s="15" t="s">
        <v>1086</v>
      </c>
      <c r="F162" s="16" t="s">
        <v>801</v>
      </c>
      <c r="G162" s="15" t="s">
        <v>825</v>
      </c>
      <c r="H162" s="18">
        <v>0.0</v>
      </c>
      <c r="I162" s="16" t="s">
        <v>801</v>
      </c>
      <c r="J162" s="17">
        <v>278.78</v>
      </c>
    </row>
    <row r="163" ht="15.75" customHeight="1">
      <c r="A163" s="15" t="s">
        <v>1087</v>
      </c>
      <c r="B163" s="16" t="s">
        <v>801</v>
      </c>
      <c r="C163" s="17">
        <v>8.54</v>
      </c>
      <c r="D163" s="17">
        <v>9.49</v>
      </c>
      <c r="E163" s="15" t="s">
        <v>1088</v>
      </c>
      <c r="F163" s="16" t="s">
        <v>801</v>
      </c>
      <c r="G163" s="15" t="s">
        <v>825</v>
      </c>
      <c r="H163" s="18">
        <v>0.0</v>
      </c>
      <c r="I163" s="16" t="s">
        <v>801</v>
      </c>
      <c r="J163" s="17">
        <v>10.63</v>
      </c>
    </row>
    <row r="164" ht="15.75" customHeight="1">
      <c r="A164" s="15" t="s">
        <v>1089</v>
      </c>
      <c r="B164" s="16" t="s">
        <v>801</v>
      </c>
      <c r="C164" s="17">
        <v>101.12</v>
      </c>
      <c r="D164" s="17">
        <v>112.36</v>
      </c>
      <c r="E164" s="15" t="s">
        <v>1090</v>
      </c>
      <c r="F164" s="16" t="s">
        <v>801</v>
      </c>
      <c r="G164" s="15" t="s">
        <v>825</v>
      </c>
      <c r="H164" s="18">
        <v>0.0</v>
      </c>
      <c r="I164" s="16" t="s">
        <v>801</v>
      </c>
      <c r="J164" s="17">
        <v>125.84</v>
      </c>
    </row>
    <row r="165" ht="15.75" customHeight="1">
      <c r="A165" s="15" t="s">
        <v>1091</v>
      </c>
      <c r="B165" s="16" t="s">
        <v>801</v>
      </c>
      <c r="C165" s="17">
        <v>145.46</v>
      </c>
      <c r="D165" s="17">
        <v>161.62</v>
      </c>
      <c r="E165" s="15" t="s">
        <v>1092</v>
      </c>
      <c r="F165" s="16" t="s">
        <v>801</v>
      </c>
      <c r="G165" s="15" t="s">
        <v>825</v>
      </c>
      <c r="H165" s="18">
        <v>0.0</v>
      </c>
      <c r="I165" s="16" t="s">
        <v>801</v>
      </c>
      <c r="J165" s="17">
        <v>181.01</v>
      </c>
    </row>
    <row r="166" ht="15.75" customHeight="1">
      <c r="A166" s="15" t="s">
        <v>1093</v>
      </c>
      <c r="B166" s="16" t="s">
        <v>801</v>
      </c>
      <c r="C166" s="17">
        <v>88.13</v>
      </c>
      <c r="D166" s="17">
        <v>97.92</v>
      </c>
      <c r="E166" s="15" t="s">
        <v>1094</v>
      </c>
      <c r="F166" s="16" t="s">
        <v>801</v>
      </c>
      <c r="G166" s="15" t="s">
        <v>825</v>
      </c>
      <c r="H166" s="18">
        <v>0.0</v>
      </c>
      <c r="I166" s="16" t="s">
        <v>801</v>
      </c>
      <c r="J166" s="17">
        <v>109.67</v>
      </c>
    </row>
    <row r="167" ht="15.75" customHeight="1">
      <c r="A167" s="15" t="s">
        <v>1095</v>
      </c>
      <c r="B167" s="16" t="s">
        <v>801</v>
      </c>
      <c r="C167" s="17">
        <v>44.34</v>
      </c>
      <c r="D167" s="17">
        <v>49.26</v>
      </c>
      <c r="E167" s="15" t="s">
        <v>1096</v>
      </c>
      <c r="F167" s="16" t="s">
        <v>801</v>
      </c>
      <c r="G167" s="15" t="s">
        <v>825</v>
      </c>
      <c r="H167" s="18">
        <v>0.0</v>
      </c>
      <c r="I167" s="16" t="s">
        <v>801</v>
      </c>
      <c r="J167" s="17">
        <v>55.17</v>
      </c>
    </row>
    <row r="168" ht="15.75" customHeight="1">
      <c r="A168" s="15" t="s">
        <v>1097</v>
      </c>
      <c r="B168" s="16" t="s">
        <v>801</v>
      </c>
      <c r="C168" s="17">
        <v>258.21</v>
      </c>
      <c r="D168" s="17">
        <v>286.9</v>
      </c>
      <c r="E168" s="15" t="s">
        <v>1098</v>
      </c>
      <c r="F168" s="16" t="s">
        <v>801</v>
      </c>
      <c r="G168" s="15" t="s">
        <v>1099</v>
      </c>
      <c r="H168" s="18">
        <v>0.0</v>
      </c>
      <c r="I168" s="16" t="s">
        <v>801</v>
      </c>
      <c r="J168" s="17">
        <v>286.9</v>
      </c>
    </row>
    <row r="169" ht="15.75" customHeight="1">
      <c r="A169" s="15" t="s">
        <v>1100</v>
      </c>
      <c r="B169" s="16" t="s">
        <v>801</v>
      </c>
      <c r="C169" s="17">
        <v>26.52</v>
      </c>
      <c r="D169" s="17">
        <v>29.47</v>
      </c>
      <c r="E169" s="15" t="s">
        <v>1101</v>
      </c>
      <c r="F169" s="16" t="s">
        <v>801</v>
      </c>
      <c r="G169" s="15" t="s">
        <v>825</v>
      </c>
      <c r="H169" s="18">
        <v>0.0</v>
      </c>
      <c r="I169" s="16" t="s">
        <v>801</v>
      </c>
      <c r="J169" s="17">
        <v>33.01</v>
      </c>
    </row>
    <row r="170" ht="15.75" customHeight="1">
      <c r="A170" s="15" t="s">
        <v>1102</v>
      </c>
      <c r="B170" s="16" t="s">
        <v>801</v>
      </c>
      <c r="C170" s="17">
        <v>20.96</v>
      </c>
      <c r="D170" s="17">
        <v>23.29</v>
      </c>
      <c r="E170" s="15" t="s">
        <v>1103</v>
      </c>
      <c r="F170" s="16" t="s">
        <v>801</v>
      </c>
      <c r="G170" s="15" t="s">
        <v>825</v>
      </c>
      <c r="H170" s="18">
        <v>0.0</v>
      </c>
      <c r="I170" s="16" t="s">
        <v>801</v>
      </c>
      <c r="J170" s="17">
        <v>26.08</v>
      </c>
    </row>
    <row r="171" ht="15.75" customHeight="1">
      <c r="A171" s="15" t="s">
        <v>1104</v>
      </c>
      <c r="B171" s="16" t="s">
        <v>801</v>
      </c>
      <c r="C171" s="17">
        <v>17.68</v>
      </c>
      <c r="D171" s="17">
        <v>19.64</v>
      </c>
      <c r="E171" s="15" t="s">
        <v>1105</v>
      </c>
      <c r="F171" s="16" t="s">
        <v>801</v>
      </c>
      <c r="G171" s="15" t="s">
        <v>825</v>
      </c>
      <c r="H171" s="18">
        <v>0.0</v>
      </c>
      <c r="I171" s="16" t="s">
        <v>801</v>
      </c>
      <c r="J171" s="17">
        <v>22.0</v>
      </c>
    </row>
    <row r="172" ht="15.75" customHeight="1">
      <c r="A172" s="15" t="s">
        <v>1106</v>
      </c>
      <c r="B172" s="16" t="s">
        <v>801</v>
      </c>
      <c r="C172" s="17">
        <v>142.14</v>
      </c>
      <c r="D172" s="17">
        <v>227.05</v>
      </c>
      <c r="E172" s="15" t="s">
        <v>1107</v>
      </c>
      <c r="F172" s="16" t="s">
        <v>801</v>
      </c>
      <c r="G172" s="15" t="s">
        <v>959</v>
      </c>
      <c r="H172" s="18">
        <v>0.0</v>
      </c>
      <c r="I172" s="16" t="s">
        <v>801</v>
      </c>
      <c r="J172" s="17">
        <v>238.4</v>
      </c>
    </row>
    <row r="173" ht="15.75" customHeight="1">
      <c r="A173" s="15" t="s">
        <v>1108</v>
      </c>
      <c r="B173" s="16" t="s">
        <v>801</v>
      </c>
      <c r="C173" s="17">
        <v>213.57</v>
      </c>
      <c r="D173" s="17">
        <v>341.72</v>
      </c>
      <c r="E173" s="15" t="s">
        <v>1109</v>
      </c>
      <c r="F173" s="16" t="s">
        <v>801</v>
      </c>
      <c r="G173" s="15" t="s">
        <v>959</v>
      </c>
      <c r="H173" s="18">
        <v>0.0</v>
      </c>
      <c r="I173" s="16" t="s">
        <v>801</v>
      </c>
      <c r="J173" s="17">
        <v>358.81</v>
      </c>
    </row>
    <row r="174" ht="15.75" customHeight="1">
      <c r="A174" s="15" t="s">
        <v>1110</v>
      </c>
      <c r="B174" s="16" t="s">
        <v>801</v>
      </c>
      <c r="C174" s="17">
        <v>227.84</v>
      </c>
      <c r="D174" s="17">
        <v>227.84</v>
      </c>
      <c r="E174" s="15" t="s">
        <v>1111</v>
      </c>
      <c r="F174" s="16" t="s">
        <v>801</v>
      </c>
      <c r="G174" s="15" t="s">
        <v>959</v>
      </c>
      <c r="H174" s="18">
        <v>0.0</v>
      </c>
      <c r="I174" s="16" t="s">
        <v>801</v>
      </c>
      <c r="J174" s="17">
        <v>239.23</v>
      </c>
    </row>
    <row r="175" ht="15.75" customHeight="1">
      <c r="A175" s="15" t="s">
        <v>1112</v>
      </c>
      <c r="B175" s="16" t="s">
        <v>801</v>
      </c>
      <c r="C175" s="17">
        <v>158.09</v>
      </c>
      <c r="D175" s="17">
        <v>252.95</v>
      </c>
      <c r="E175" s="15" t="s">
        <v>1113</v>
      </c>
      <c r="F175" s="16" t="s">
        <v>801</v>
      </c>
      <c r="G175" s="15" t="s">
        <v>959</v>
      </c>
      <c r="H175" s="18">
        <v>0.0</v>
      </c>
      <c r="I175" s="16" t="s">
        <v>801</v>
      </c>
      <c r="J175" s="17">
        <v>265.6</v>
      </c>
    </row>
    <row r="176" ht="15.75" customHeight="1">
      <c r="A176" s="15" t="s">
        <v>1114</v>
      </c>
      <c r="B176" s="16" t="s">
        <v>801</v>
      </c>
      <c r="C176" s="17">
        <v>78.8</v>
      </c>
      <c r="D176" s="17">
        <v>87.56</v>
      </c>
      <c r="E176" s="15" t="s">
        <v>1115</v>
      </c>
      <c r="F176" s="16" t="s">
        <v>801</v>
      </c>
      <c r="G176" s="15" t="s">
        <v>959</v>
      </c>
      <c r="H176" s="18">
        <v>0.0</v>
      </c>
      <c r="I176" s="16" t="s">
        <v>801</v>
      </c>
      <c r="J176" s="17">
        <v>91.94</v>
      </c>
    </row>
    <row r="177" ht="15.75" customHeight="1">
      <c r="A177" s="15" t="s">
        <v>1116</v>
      </c>
      <c r="B177" s="16" t="s">
        <v>801</v>
      </c>
      <c r="C177" s="17">
        <v>86.42</v>
      </c>
      <c r="D177" s="17">
        <v>96.02</v>
      </c>
      <c r="E177" s="15" t="s">
        <v>1117</v>
      </c>
      <c r="F177" s="16" t="s">
        <v>801</v>
      </c>
      <c r="G177" s="15" t="s">
        <v>825</v>
      </c>
      <c r="H177" s="18">
        <v>0.0</v>
      </c>
      <c r="I177" s="16" t="s">
        <v>801</v>
      </c>
      <c r="J177" s="17">
        <v>107.54</v>
      </c>
    </row>
    <row r="178" ht="15.75" customHeight="1">
      <c r="A178" s="15" t="s">
        <v>1118</v>
      </c>
      <c r="B178" s="16" t="s">
        <v>801</v>
      </c>
      <c r="C178" s="17">
        <v>101.82</v>
      </c>
      <c r="D178" s="17">
        <v>113.13</v>
      </c>
      <c r="E178" s="15" t="s">
        <v>1119</v>
      </c>
      <c r="F178" s="16" t="s">
        <v>801</v>
      </c>
      <c r="G178" s="15" t="s">
        <v>825</v>
      </c>
      <c r="H178" s="18">
        <v>0.0</v>
      </c>
      <c r="I178" s="16" t="s">
        <v>801</v>
      </c>
      <c r="J178" s="17">
        <v>126.71</v>
      </c>
    </row>
    <row r="179" ht="15.75" customHeight="1">
      <c r="A179" s="15" t="s">
        <v>1120</v>
      </c>
      <c r="B179" s="16" t="s">
        <v>801</v>
      </c>
      <c r="C179" s="17">
        <v>2.87</v>
      </c>
      <c r="D179" s="17">
        <v>3.19</v>
      </c>
      <c r="E179" s="15" t="s">
        <v>1121</v>
      </c>
      <c r="F179" s="16" t="s">
        <v>801</v>
      </c>
      <c r="G179" s="15" t="s">
        <v>825</v>
      </c>
      <c r="H179" s="18">
        <v>0.0</v>
      </c>
      <c r="I179" s="16" t="s">
        <v>801</v>
      </c>
      <c r="J179" s="17">
        <v>3.57</v>
      </c>
    </row>
    <row r="180" ht="15.75" customHeight="1">
      <c r="A180" s="15" t="s">
        <v>1122</v>
      </c>
      <c r="B180" s="16" t="s">
        <v>801</v>
      </c>
      <c r="C180" s="17">
        <v>14.35</v>
      </c>
      <c r="D180" s="17">
        <v>15.96</v>
      </c>
      <c r="E180" s="15" t="s">
        <v>1123</v>
      </c>
      <c r="F180" s="16" t="s">
        <v>801</v>
      </c>
      <c r="G180" s="15" t="s">
        <v>825</v>
      </c>
      <c r="H180" s="18">
        <v>0.0</v>
      </c>
      <c r="I180" s="16" t="s">
        <v>801</v>
      </c>
      <c r="J180" s="17">
        <v>17.88</v>
      </c>
    </row>
    <row r="181" ht="15.75" customHeight="1">
      <c r="A181" s="15" t="s">
        <v>1124</v>
      </c>
      <c r="B181" s="16" t="s">
        <v>801</v>
      </c>
      <c r="C181" s="17">
        <v>17.35</v>
      </c>
      <c r="D181" s="17">
        <v>19.25</v>
      </c>
      <c r="E181" s="15" t="s">
        <v>1125</v>
      </c>
      <c r="F181" s="16" t="s">
        <v>801</v>
      </c>
      <c r="G181" s="15" t="s">
        <v>825</v>
      </c>
      <c r="H181" s="18">
        <v>0.0</v>
      </c>
      <c r="I181" s="16" t="s">
        <v>801</v>
      </c>
      <c r="J181" s="17">
        <v>21.56</v>
      </c>
    </row>
    <row r="182" ht="15.75" customHeight="1">
      <c r="A182" s="15" t="s">
        <v>1126</v>
      </c>
      <c r="B182" s="16" t="s">
        <v>801</v>
      </c>
      <c r="C182" s="17">
        <v>136.47</v>
      </c>
      <c r="D182" s="17">
        <v>151.63</v>
      </c>
      <c r="E182" s="15" t="s">
        <v>1127</v>
      </c>
      <c r="F182" s="16" t="s">
        <v>801</v>
      </c>
      <c r="G182" s="15" t="s">
        <v>825</v>
      </c>
      <c r="H182" s="18">
        <v>0.0</v>
      </c>
      <c r="I182" s="16" t="s">
        <v>801</v>
      </c>
      <c r="J182" s="17">
        <v>169.83</v>
      </c>
    </row>
    <row r="183" ht="15.75" customHeight="1">
      <c r="A183" s="15" t="s">
        <v>1128</v>
      </c>
      <c r="B183" s="16" t="s">
        <v>801</v>
      </c>
      <c r="C183" s="17">
        <v>240.52</v>
      </c>
      <c r="D183" s="17">
        <v>267.25</v>
      </c>
      <c r="E183" s="15" t="s">
        <v>1129</v>
      </c>
      <c r="F183" s="16" t="s">
        <v>801</v>
      </c>
      <c r="G183" s="15" t="s">
        <v>825</v>
      </c>
      <c r="H183" s="18">
        <v>0.0</v>
      </c>
      <c r="I183" s="16" t="s">
        <v>801</v>
      </c>
      <c r="J183" s="17">
        <v>299.32</v>
      </c>
    </row>
    <row r="184" ht="15.75" customHeight="1">
      <c r="A184" s="15" t="s">
        <v>1130</v>
      </c>
      <c r="B184" s="16" t="s">
        <v>801</v>
      </c>
      <c r="C184" s="17">
        <v>38.15</v>
      </c>
      <c r="D184" s="17">
        <v>42.38</v>
      </c>
      <c r="E184" s="15" t="s">
        <v>1131</v>
      </c>
      <c r="F184" s="16" t="s">
        <v>801</v>
      </c>
      <c r="G184" s="15" t="s">
        <v>825</v>
      </c>
      <c r="H184" s="18">
        <v>0.0</v>
      </c>
      <c r="I184" s="16" t="s">
        <v>801</v>
      </c>
      <c r="J184" s="17">
        <v>47.47</v>
      </c>
    </row>
    <row r="185" ht="15.75" customHeight="1">
      <c r="A185" s="15" t="s">
        <v>1132</v>
      </c>
      <c r="B185" s="16" t="s">
        <v>801</v>
      </c>
      <c r="C185" s="17">
        <v>46.2</v>
      </c>
      <c r="D185" s="17">
        <v>51.34</v>
      </c>
      <c r="E185" s="15" t="s">
        <v>1068</v>
      </c>
      <c r="F185" s="16" t="s">
        <v>801</v>
      </c>
      <c r="G185" s="15" t="s">
        <v>825</v>
      </c>
      <c r="H185" s="18">
        <v>0.0</v>
      </c>
      <c r="I185" s="16" t="s">
        <v>801</v>
      </c>
      <c r="J185" s="17">
        <v>57.5</v>
      </c>
    </row>
    <row r="186" ht="15.75" customHeight="1">
      <c r="A186" s="15" t="s">
        <v>1133</v>
      </c>
      <c r="B186" s="16" t="s">
        <v>801</v>
      </c>
      <c r="C186" s="17">
        <v>43.41</v>
      </c>
      <c r="D186" s="17">
        <v>48.24</v>
      </c>
      <c r="E186" s="15" t="s">
        <v>1134</v>
      </c>
      <c r="F186" s="16" t="s">
        <v>801</v>
      </c>
      <c r="G186" s="15" t="s">
        <v>825</v>
      </c>
      <c r="H186" s="18">
        <v>0.0</v>
      </c>
      <c r="I186" s="16" t="s">
        <v>801</v>
      </c>
      <c r="J186" s="17">
        <v>54.03</v>
      </c>
    </row>
    <row r="187" ht="15.75" customHeight="1">
      <c r="A187" s="15" t="s">
        <v>1135</v>
      </c>
      <c r="B187" s="16" t="s">
        <v>801</v>
      </c>
      <c r="C187" s="17">
        <v>62.41</v>
      </c>
      <c r="D187" s="17">
        <v>69.34</v>
      </c>
      <c r="E187" s="15" t="s">
        <v>1136</v>
      </c>
      <c r="F187" s="16" t="s">
        <v>801</v>
      </c>
      <c r="G187" s="15" t="s">
        <v>825</v>
      </c>
      <c r="H187" s="18">
        <v>0.0</v>
      </c>
      <c r="I187" s="16" t="s">
        <v>801</v>
      </c>
      <c r="J187" s="17">
        <v>77.66</v>
      </c>
    </row>
    <row r="188" ht="15.75" customHeight="1">
      <c r="A188" s="15" t="s">
        <v>1137</v>
      </c>
      <c r="B188" s="16" t="s">
        <v>801</v>
      </c>
      <c r="C188" s="17">
        <v>68.84</v>
      </c>
      <c r="D188" s="17">
        <v>76.49</v>
      </c>
      <c r="E188" s="15" t="s">
        <v>1138</v>
      </c>
      <c r="F188" s="16" t="s">
        <v>801</v>
      </c>
      <c r="G188" s="15" t="s">
        <v>825</v>
      </c>
      <c r="H188" s="18">
        <v>0.0</v>
      </c>
      <c r="I188" s="16" t="s">
        <v>801</v>
      </c>
      <c r="J188" s="17">
        <v>85.67</v>
      </c>
    </row>
    <row r="189" ht="15.75" customHeight="1">
      <c r="A189" s="15" t="s">
        <v>1139</v>
      </c>
      <c r="B189" s="16" t="s">
        <v>801</v>
      </c>
      <c r="C189" s="17">
        <v>178.75</v>
      </c>
      <c r="D189" s="17">
        <v>198.61</v>
      </c>
      <c r="E189" s="15" t="s">
        <v>1140</v>
      </c>
      <c r="F189" s="16" t="s">
        <v>801</v>
      </c>
      <c r="G189" s="15" t="s">
        <v>825</v>
      </c>
      <c r="H189" s="18">
        <v>0.0</v>
      </c>
      <c r="I189" s="16" t="s">
        <v>801</v>
      </c>
      <c r="J189" s="17">
        <v>222.44</v>
      </c>
    </row>
    <row r="190" ht="15.75" customHeight="1">
      <c r="A190" s="15" t="s">
        <v>1141</v>
      </c>
      <c r="B190" s="16" t="s">
        <v>801</v>
      </c>
      <c r="C190" s="17">
        <v>111.24</v>
      </c>
      <c r="D190" s="17">
        <v>123.59</v>
      </c>
      <c r="E190" s="15" t="s">
        <v>1142</v>
      </c>
      <c r="F190" s="16" t="s">
        <v>801</v>
      </c>
      <c r="G190" s="15" t="s">
        <v>825</v>
      </c>
      <c r="H190" s="18">
        <v>0.0</v>
      </c>
      <c r="I190" s="16" t="s">
        <v>801</v>
      </c>
      <c r="J190" s="17">
        <v>138.42</v>
      </c>
    </row>
    <row r="191" ht="15.75" customHeight="1">
      <c r="A191" s="15" t="s">
        <v>1143</v>
      </c>
      <c r="B191" s="16" t="s">
        <v>801</v>
      </c>
      <c r="C191" s="17">
        <v>92.83</v>
      </c>
      <c r="D191" s="17">
        <v>103.14</v>
      </c>
      <c r="E191" s="15" t="s">
        <v>1144</v>
      </c>
      <c r="F191" s="16" t="s">
        <v>801</v>
      </c>
      <c r="G191" s="15" t="s">
        <v>825</v>
      </c>
      <c r="H191" s="18">
        <v>0.0</v>
      </c>
      <c r="I191" s="16" t="s">
        <v>801</v>
      </c>
      <c r="J191" s="17">
        <v>115.52</v>
      </c>
    </row>
    <row r="192" ht="15.75" customHeight="1">
      <c r="A192" s="15" t="s">
        <v>1145</v>
      </c>
      <c r="B192" s="16" t="s">
        <v>801</v>
      </c>
      <c r="C192" s="17">
        <v>71.36</v>
      </c>
      <c r="D192" s="17">
        <v>79.29</v>
      </c>
      <c r="E192" s="15" t="s">
        <v>1146</v>
      </c>
      <c r="F192" s="16" t="s">
        <v>801</v>
      </c>
      <c r="G192" s="15" t="s">
        <v>825</v>
      </c>
      <c r="H192" s="18">
        <v>0.0</v>
      </c>
      <c r="I192" s="16" t="s">
        <v>801</v>
      </c>
      <c r="J192" s="17">
        <v>88.8</v>
      </c>
    </row>
    <row r="193" ht="15.75" customHeight="1">
      <c r="A193" s="15" t="s">
        <v>1147</v>
      </c>
      <c r="B193" s="16" t="s">
        <v>801</v>
      </c>
      <c r="C193" s="17">
        <v>63.78</v>
      </c>
      <c r="D193" s="17">
        <v>70.87</v>
      </c>
      <c r="E193" s="15" t="s">
        <v>1148</v>
      </c>
      <c r="F193" s="16" t="s">
        <v>801</v>
      </c>
      <c r="G193" s="15" t="s">
        <v>825</v>
      </c>
      <c r="H193" s="18">
        <v>0.0</v>
      </c>
      <c r="I193" s="16" t="s">
        <v>801</v>
      </c>
      <c r="J193" s="17">
        <v>79.37</v>
      </c>
    </row>
    <row r="194" ht="15.75" customHeight="1">
      <c r="A194" s="15" t="s">
        <v>1149</v>
      </c>
      <c r="B194" s="16" t="s">
        <v>801</v>
      </c>
      <c r="C194" s="17">
        <v>174.12</v>
      </c>
      <c r="D194" s="17">
        <v>193.46</v>
      </c>
      <c r="E194" s="15" t="s">
        <v>1150</v>
      </c>
      <c r="F194" s="16" t="s">
        <v>801</v>
      </c>
      <c r="G194" s="15" t="s">
        <v>825</v>
      </c>
      <c r="H194" s="18">
        <v>0.0</v>
      </c>
      <c r="I194" s="16" t="s">
        <v>801</v>
      </c>
      <c r="J194" s="17">
        <v>216.68</v>
      </c>
    </row>
    <row r="195" ht="15.75" customHeight="1">
      <c r="A195" s="15" t="s">
        <v>1151</v>
      </c>
      <c r="B195" s="16" t="s">
        <v>801</v>
      </c>
      <c r="C195" s="17">
        <v>51.25</v>
      </c>
      <c r="D195" s="17">
        <v>56.95</v>
      </c>
      <c r="E195" s="15" t="s">
        <v>1152</v>
      </c>
      <c r="F195" s="16" t="s">
        <v>801</v>
      </c>
      <c r="G195" s="15" t="s">
        <v>855</v>
      </c>
      <c r="H195" s="18">
        <v>0.0</v>
      </c>
      <c r="I195" s="16" t="s">
        <v>801</v>
      </c>
      <c r="J195" s="17">
        <v>67.2</v>
      </c>
    </row>
    <row r="196" ht="15.75" customHeight="1">
      <c r="A196" s="15" t="s">
        <v>1153</v>
      </c>
      <c r="B196" s="16" t="s">
        <v>801</v>
      </c>
      <c r="C196" s="17">
        <v>58.58</v>
      </c>
      <c r="D196" s="17">
        <v>65.08</v>
      </c>
      <c r="E196" s="15" t="s">
        <v>1154</v>
      </c>
      <c r="F196" s="16" t="s">
        <v>801</v>
      </c>
      <c r="G196" s="15" t="s">
        <v>855</v>
      </c>
      <c r="H196" s="18">
        <v>0.0</v>
      </c>
      <c r="I196" s="16" t="s">
        <v>801</v>
      </c>
      <c r="J196" s="17">
        <v>76.79</v>
      </c>
    </row>
    <row r="197" ht="15.75" customHeight="1">
      <c r="A197" s="15" t="s">
        <v>1155</v>
      </c>
      <c r="B197" s="16" t="s">
        <v>801</v>
      </c>
      <c r="C197" s="17">
        <v>443.57</v>
      </c>
      <c r="D197" s="17">
        <v>492.86</v>
      </c>
      <c r="E197" s="15" t="s">
        <v>1156</v>
      </c>
      <c r="F197" s="16" t="s">
        <v>801</v>
      </c>
      <c r="G197" s="15" t="s">
        <v>825</v>
      </c>
      <c r="H197" s="18">
        <v>0.0</v>
      </c>
      <c r="I197" s="16" t="s">
        <v>801</v>
      </c>
      <c r="J197" s="17">
        <v>552.0</v>
      </c>
    </row>
    <row r="198" ht="15.75" customHeight="1">
      <c r="A198" s="15" t="s">
        <v>1157</v>
      </c>
      <c r="B198" s="16" t="s">
        <v>801</v>
      </c>
      <c r="C198" s="17">
        <v>45.62</v>
      </c>
      <c r="D198" s="17">
        <v>50.69</v>
      </c>
      <c r="E198" s="15" t="s">
        <v>1158</v>
      </c>
      <c r="F198" s="16" t="s">
        <v>801</v>
      </c>
      <c r="G198" s="15" t="s">
        <v>825</v>
      </c>
      <c r="H198" s="18">
        <v>0.0</v>
      </c>
      <c r="I198" s="16" t="s">
        <v>801</v>
      </c>
      <c r="J198" s="17">
        <v>56.77</v>
      </c>
    </row>
    <row r="199" ht="15.75" customHeight="1">
      <c r="A199" s="15" t="s">
        <v>1159</v>
      </c>
      <c r="B199" s="16" t="s">
        <v>801</v>
      </c>
      <c r="C199" s="17">
        <v>62.81</v>
      </c>
      <c r="D199" s="17">
        <v>69.79</v>
      </c>
      <c r="E199" s="15" t="s">
        <v>1160</v>
      </c>
      <c r="F199" s="16" t="s">
        <v>801</v>
      </c>
      <c r="G199" s="15" t="s">
        <v>825</v>
      </c>
      <c r="H199" s="18">
        <v>0.0</v>
      </c>
      <c r="I199" s="16" t="s">
        <v>801</v>
      </c>
      <c r="J199" s="17">
        <v>78.16</v>
      </c>
    </row>
    <row r="200" ht="15.75" customHeight="1">
      <c r="A200" s="15" t="s">
        <v>1161</v>
      </c>
      <c r="B200" s="16" t="s">
        <v>801</v>
      </c>
      <c r="C200" s="17">
        <v>69.26</v>
      </c>
      <c r="D200" s="17">
        <v>76.95</v>
      </c>
      <c r="E200" s="15" t="s">
        <v>1162</v>
      </c>
      <c r="F200" s="16" t="s">
        <v>801</v>
      </c>
      <c r="G200" s="15" t="s">
        <v>825</v>
      </c>
      <c r="H200" s="18">
        <v>0.0</v>
      </c>
      <c r="I200" s="16" t="s">
        <v>801</v>
      </c>
      <c r="J200" s="17">
        <v>86.18</v>
      </c>
    </row>
    <row r="201" ht="15.75" customHeight="1">
      <c r="A201" s="15" t="s">
        <v>1163</v>
      </c>
      <c r="B201" s="16" t="s">
        <v>801</v>
      </c>
      <c r="C201" s="17">
        <v>35.65</v>
      </c>
      <c r="D201" s="17">
        <v>39.61</v>
      </c>
      <c r="E201" s="15" t="s">
        <v>1164</v>
      </c>
      <c r="F201" s="16" t="s">
        <v>801</v>
      </c>
      <c r="G201" s="15" t="s">
        <v>825</v>
      </c>
      <c r="H201" s="18">
        <v>0.0</v>
      </c>
      <c r="I201" s="16" t="s">
        <v>801</v>
      </c>
      <c r="J201" s="17">
        <v>44.36</v>
      </c>
    </row>
    <row r="202" ht="15.75" customHeight="1">
      <c r="A202" s="15" t="s">
        <v>1165</v>
      </c>
      <c r="B202" s="16" t="s">
        <v>801</v>
      </c>
      <c r="C202" s="17">
        <v>139.66</v>
      </c>
      <c r="D202" s="17">
        <v>155.18</v>
      </c>
      <c r="E202" s="15" t="s">
        <v>1166</v>
      </c>
      <c r="F202" s="16" t="s">
        <v>801</v>
      </c>
      <c r="G202" s="15" t="s">
        <v>825</v>
      </c>
      <c r="H202" s="18">
        <v>0.0</v>
      </c>
      <c r="I202" s="16" t="s">
        <v>801</v>
      </c>
      <c r="J202" s="17">
        <v>173.8</v>
      </c>
    </row>
    <row r="203" ht="15.75" customHeight="1">
      <c r="A203" s="15" t="s">
        <v>1167</v>
      </c>
      <c r="B203" s="16" t="s">
        <v>801</v>
      </c>
      <c r="C203" s="17">
        <v>303.33</v>
      </c>
      <c r="D203" s="17">
        <v>337.07</v>
      </c>
      <c r="E203" s="15" t="s">
        <v>1168</v>
      </c>
      <c r="F203" s="16" t="s">
        <v>801</v>
      </c>
      <c r="G203" s="15" t="s">
        <v>825</v>
      </c>
      <c r="H203" s="18">
        <v>0.0</v>
      </c>
      <c r="I203" s="16" t="s">
        <v>801</v>
      </c>
      <c r="J203" s="17">
        <v>377.52</v>
      </c>
    </row>
    <row r="204" ht="15.75" customHeight="1">
      <c r="A204" s="15" t="s">
        <v>1169</v>
      </c>
      <c r="B204" s="16" t="s">
        <v>801</v>
      </c>
      <c r="C204" s="17">
        <v>277.17</v>
      </c>
      <c r="D204" s="17">
        <v>307.97</v>
      </c>
      <c r="E204" s="15" t="s">
        <v>1170</v>
      </c>
      <c r="F204" s="16" t="s">
        <v>801</v>
      </c>
      <c r="G204" s="15" t="s">
        <v>825</v>
      </c>
      <c r="H204" s="18">
        <v>0.0</v>
      </c>
      <c r="I204" s="16" t="s">
        <v>801</v>
      </c>
      <c r="J204" s="17">
        <v>344.93</v>
      </c>
    </row>
    <row r="205" ht="15.75" customHeight="1">
      <c r="A205" s="15" t="s">
        <v>1171</v>
      </c>
      <c r="B205" s="16" t="s">
        <v>801</v>
      </c>
      <c r="C205" s="17">
        <v>440.4</v>
      </c>
      <c r="D205" s="17">
        <v>489.39</v>
      </c>
      <c r="E205" s="15" t="s">
        <v>1172</v>
      </c>
      <c r="F205" s="16" t="s">
        <v>801</v>
      </c>
      <c r="G205" s="15" t="s">
        <v>825</v>
      </c>
      <c r="H205" s="18">
        <v>0.0</v>
      </c>
      <c r="I205" s="16" t="s">
        <v>801</v>
      </c>
      <c r="J205" s="17">
        <v>548.12</v>
      </c>
    </row>
    <row r="206" ht="15.75" customHeight="1">
      <c r="A206" s="15" t="s">
        <v>1173</v>
      </c>
      <c r="B206" s="16" t="s">
        <v>801</v>
      </c>
      <c r="C206" s="17">
        <v>443.57</v>
      </c>
      <c r="D206" s="17">
        <v>492.86</v>
      </c>
      <c r="E206" s="15" t="s">
        <v>1156</v>
      </c>
      <c r="F206" s="16" t="s">
        <v>801</v>
      </c>
      <c r="G206" s="15" t="s">
        <v>825</v>
      </c>
      <c r="H206" s="18">
        <v>0.0</v>
      </c>
      <c r="I206" s="16" t="s">
        <v>801</v>
      </c>
      <c r="J206" s="17">
        <v>552.0</v>
      </c>
    </row>
    <row r="207" ht="15.75" customHeight="1">
      <c r="A207" s="15" t="s">
        <v>1174</v>
      </c>
      <c r="B207" s="16" t="s">
        <v>801</v>
      </c>
      <c r="C207" s="17">
        <v>243.17</v>
      </c>
      <c r="D207" s="17">
        <v>270.19</v>
      </c>
      <c r="E207" s="15" t="s">
        <v>1175</v>
      </c>
      <c r="F207" s="16" t="s">
        <v>801</v>
      </c>
      <c r="G207" s="15" t="s">
        <v>825</v>
      </c>
      <c r="H207" s="18">
        <v>0.0</v>
      </c>
      <c r="I207" s="16" t="s">
        <v>801</v>
      </c>
      <c r="J207" s="17">
        <v>302.61</v>
      </c>
    </row>
    <row r="208" ht="15.75" customHeight="1">
      <c r="A208" s="15" t="s">
        <v>1176</v>
      </c>
      <c r="B208" s="16" t="s">
        <v>801</v>
      </c>
      <c r="C208" s="17">
        <v>303.42</v>
      </c>
      <c r="D208" s="17">
        <v>337.13</v>
      </c>
      <c r="E208" s="15" t="s">
        <v>1177</v>
      </c>
      <c r="F208" s="16" t="s">
        <v>801</v>
      </c>
      <c r="G208" s="15" t="s">
        <v>825</v>
      </c>
      <c r="H208" s="18">
        <v>0.0</v>
      </c>
      <c r="I208" s="16" t="s">
        <v>801</v>
      </c>
      <c r="J208" s="17">
        <v>377.59</v>
      </c>
    </row>
    <row r="209" ht="15.75" customHeight="1">
      <c r="A209" s="15" t="s">
        <v>1178</v>
      </c>
      <c r="B209" s="16" t="s">
        <v>801</v>
      </c>
      <c r="C209" s="17">
        <v>200.64</v>
      </c>
      <c r="D209" s="17">
        <v>222.94</v>
      </c>
      <c r="E209" s="15" t="s">
        <v>1179</v>
      </c>
      <c r="F209" s="16" t="s">
        <v>801</v>
      </c>
      <c r="G209" s="15" t="s">
        <v>825</v>
      </c>
      <c r="H209" s="18">
        <v>0.0</v>
      </c>
      <c r="I209" s="16" t="s">
        <v>801</v>
      </c>
      <c r="J209" s="17">
        <v>249.69</v>
      </c>
    </row>
    <row r="210" ht="15.75" customHeight="1">
      <c r="A210" s="15" t="s">
        <v>1180</v>
      </c>
      <c r="B210" s="16" t="s">
        <v>801</v>
      </c>
      <c r="C210" s="17">
        <v>345.6</v>
      </c>
      <c r="D210" s="17">
        <v>383.97</v>
      </c>
      <c r="E210" s="15" t="s">
        <v>1181</v>
      </c>
      <c r="F210" s="16" t="s">
        <v>801</v>
      </c>
      <c r="G210" s="15" t="s">
        <v>825</v>
      </c>
      <c r="H210" s="18">
        <v>0.0</v>
      </c>
      <c r="I210" s="16" t="s">
        <v>801</v>
      </c>
      <c r="J210" s="17">
        <v>430.05</v>
      </c>
    </row>
    <row r="211" ht="15.75" customHeight="1">
      <c r="A211" s="15" t="s">
        <v>1182</v>
      </c>
      <c r="B211" s="16" t="s">
        <v>801</v>
      </c>
      <c r="C211" s="17">
        <v>200.01</v>
      </c>
      <c r="D211" s="17">
        <v>222.24</v>
      </c>
      <c r="E211" s="15" t="s">
        <v>1183</v>
      </c>
      <c r="F211" s="16" t="s">
        <v>801</v>
      </c>
      <c r="G211" s="15" t="s">
        <v>825</v>
      </c>
      <c r="H211" s="18">
        <v>0.0</v>
      </c>
      <c r="I211" s="16" t="s">
        <v>801</v>
      </c>
      <c r="J211" s="17">
        <v>248.91</v>
      </c>
    </row>
    <row r="212" ht="15.75" customHeight="1">
      <c r="A212" s="15" t="s">
        <v>1184</v>
      </c>
      <c r="B212" s="16" t="s">
        <v>801</v>
      </c>
      <c r="C212" s="17">
        <v>147.86</v>
      </c>
      <c r="D212" s="17">
        <v>164.29</v>
      </c>
      <c r="E212" s="15" t="s">
        <v>1185</v>
      </c>
      <c r="F212" s="16" t="s">
        <v>801</v>
      </c>
      <c r="G212" s="15" t="s">
        <v>825</v>
      </c>
      <c r="H212" s="18">
        <v>0.0</v>
      </c>
      <c r="I212" s="16" t="s">
        <v>801</v>
      </c>
      <c r="J212" s="17">
        <v>184.0</v>
      </c>
    </row>
    <row r="213" ht="15.75" customHeight="1">
      <c r="A213" s="15" t="s">
        <v>1186</v>
      </c>
      <c r="B213" s="16" t="s">
        <v>801</v>
      </c>
      <c r="C213" s="17">
        <v>109.94</v>
      </c>
      <c r="D213" s="17">
        <v>122.16</v>
      </c>
      <c r="E213" s="15" t="s">
        <v>1187</v>
      </c>
      <c r="F213" s="16" t="s">
        <v>801</v>
      </c>
      <c r="G213" s="15" t="s">
        <v>825</v>
      </c>
      <c r="H213" s="18">
        <v>0.0</v>
      </c>
      <c r="I213" s="16" t="s">
        <v>801</v>
      </c>
      <c r="J213" s="17">
        <v>136.82</v>
      </c>
    </row>
    <row r="214" ht="15.75" customHeight="1">
      <c r="A214" s="15" t="s">
        <v>1188</v>
      </c>
      <c r="B214" s="16" t="s">
        <v>801</v>
      </c>
      <c r="C214" s="17">
        <v>224.61</v>
      </c>
      <c r="D214" s="17">
        <v>249.6</v>
      </c>
      <c r="E214" s="15" t="s">
        <v>1189</v>
      </c>
      <c r="F214" s="16" t="s">
        <v>801</v>
      </c>
      <c r="G214" s="15" t="s">
        <v>825</v>
      </c>
      <c r="H214" s="18">
        <v>0.0</v>
      </c>
      <c r="I214" s="16" t="s">
        <v>801</v>
      </c>
      <c r="J214" s="17">
        <v>279.55</v>
      </c>
    </row>
    <row r="215" ht="15.75" customHeight="1">
      <c r="A215" s="15" t="s">
        <v>1190</v>
      </c>
      <c r="B215" s="16" t="s">
        <v>801</v>
      </c>
      <c r="C215" s="17">
        <v>188.81</v>
      </c>
      <c r="D215" s="17">
        <v>209.79</v>
      </c>
      <c r="E215" s="15" t="s">
        <v>1191</v>
      </c>
      <c r="F215" s="16" t="s">
        <v>801</v>
      </c>
      <c r="G215" s="15" t="s">
        <v>825</v>
      </c>
      <c r="H215" s="18">
        <v>0.0</v>
      </c>
      <c r="I215" s="16" t="s">
        <v>801</v>
      </c>
      <c r="J215" s="17">
        <v>234.96</v>
      </c>
    </row>
    <row r="216" ht="15.75" customHeight="1">
      <c r="A216" s="15" t="s">
        <v>1192</v>
      </c>
      <c r="B216" s="16" t="s">
        <v>801</v>
      </c>
      <c r="C216" s="17">
        <v>337.98</v>
      </c>
      <c r="D216" s="17">
        <v>375.59</v>
      </c>
      <c r="E216" s="15" t="s">
        <v>1193</v>
      </c>
      <c r="F216" s="16" t="s">
        <v>801</v>
      </c>
      <c r="G216" s="15" t="s">
        <v>825</v>
      </c>
      <c r="H216" s="18">
        <v>0.0</v>
      </c>
      <c r="I216" s="16" t="s">
        <v>801</v>
      </c>
      <c r="J216" s="17">
        <v>420.66</v>
      </c>
    </row>
    <row r="217" ht="15.75" customHeight="1">
      <c r="A217" s="15" t="s">
        <v>1194</v>
      </c>
      <c r="B217" s="16" t="s">
        <v>801</v>
      </c>
      <c r="C217" s="17">
        <v>183.21</v>
      </c>
      <c r="D217" s="17">
        <v>203.57</v>
      </c>
      <c r="E217" s="15" t="s">
        <v>1195</v>
      </c>
      <c r="F217" s="16" t="s">
        <v>801</v>
      </c>
      <c r="G217" s="15" t="s">
        <v>825</v>
      </c>
      <c r="H217" s="18">
        <v>0.0</v>
      </c>
      <c r="I217" s="16" t="s">
        <v>801</v>
      </c>
      <c r="J217" s="17">
        <v>228.0</v>
      </c>
    </row>
    <row r="218" ht="15.75" customHeight="1">
      <c r="A218" s="15" t="s">
        <v>1196</v>
      </c>
      <c r="B218" s="16" t="s">
        <v>801</v>
      </c>
      <c r="C218" s="17">
        <v>51.89</v>
      </c>
      <c r="D218" s="17">
        <v>57.65</v>
      </c>
      <c r="E218" s="15" t="s">
        <v>1197</v>
      </c>
      <c r="F218" s="16" t="s">
        <v>801</v>
      </c>
      <c r="G218" s="15" t="s">
        <v>825</v>
      </c>
      <c r="H218" s="18">
        <v>0.0</v>
      </c>
      <c r="I218" s="16" t="s">
        <v>801</v>
      </c>
      <c r="J218" s="17">
        <v>64.57</v>
      </c>
    </row>
    <row r="219" ht="15.75" customHeight="1">
      <c r="A219" s="15" t="s">
        <v>1198</v>
      </c>
      <c r="B219" s="16" t="s">
        <v>801</v>
      </c>
      <c r="C219" s="17">
        <v>57.67</v>
      </c>
      <c r="D219" s="17">
        <v>64.08</v>
      </c>
      <c r="E219" s="15" t="s">
        <v>1199</v>
      </c>
      <c r="F219" s="16" t="s">
        <v>801</v>
      </c>
      <c r="G219" s="15" t="s">
        <v>825</v>
      </c>
      <c r="H219" s="18">
        <v>0.0</v>
      </c>
      <c r="I219" s="16" t="s">
        <v>801</v>
      </c>
      <c r="J219" s="17">
        <v>71.77</v>
      </c>
    </row>
    <row r="220" ht="15.75" customHeight="1">
      <c r="A220" s="15" t="s">
        <v>1200</v>
      </c>
      <c r="B220" s="16" t="s">
        <v>801</v>
      </c>
      <c r="C220" s="17">
        <v>67.6</v>
      </c>
      <c r="D220" s="17">
        <v>75.11</v>
      </c>
      <c r="E220" s="15" t="s">
        <v>1201</v>
      </c>
      <c r="F220" s="16" t="s">
        <v>801</v>
      </c>
      <c r="G220" s="15" t="s">
        <v>825</v>
      </c>
      <c r="H220" s="18">
        <v>0.0</v>
      </c>
      <c r="I220" s="16" t="s">
        <v>801</v>
      </c>
      <c r="J220" s="17">
        <v>84.12</v>
      </c>
    </row>
    <row r="221" ht="15.75" customHeight="1">
      <c r="A221" s="15" t="s">
        <v>1202</v>
      </c>
      <c r="B221" s="16" t="s">
        <v>801</v>
      </c>
      <c r="C221" s="17">
        <v>50.97</v>
      </c>
      <c r="D221" s="17">
        <v>56.64</v>
      </c>
      <c r="E221" s="15" t="s">
        <v>1203</v>
      </c>
      <c r="F221" s="16" t="s">
        <v>801</v>
      </c>
      <c r="G221" s="15" t="s">
        <v>825</v>
      </c>
      <c r="H221" s="18">
        <v>0.0</v>
      </c>
      <c r="I221" s="16" t="s">
        <v>801</v>
      </c>
      <c r="J221" s="17">
        <v>63.44</v>
      </c>
    </row>
    <row r="222" ht="15.75" customHeight="1">
      <c r="A222" s="15" t="s">
        <v>1204</v>
      </c>
      <c r="B222" s="16" t="s">
        <v>801</v>
      </c>
      <c r="C222" s="17">
        <v>241.02</v>
      </c>
      <c r="D222" s="17">
        <v>267.8</v>
      </c>
      <c r="E222" s="15" t="s">
        <v>1205</v>
      </c>
      <c r="F222" s="16" t="s">
        <v>801</v>
      </c>
      <c r="G222" s="15" t="s">
        <v>855</v>
      </c>
      <c r="H222" s="18">
        <v>0.0</v>
      </c>
      <c r="I222" s="16" t="s">
        <v>801</v>
      </c>
      <c r="J222" s="17">
        <v>316.0</v>
      </c>
    </row>
    <row r="223" ht="15.75" customHeight="1">
      <c r="A223" s="12" t="s">
        <v>804</v>
      </c>
      <c r="B223" s="13"/>
      <c r="C223" s="13"/>
      <c r="D223" s="13"/>
      <c r="E223" s="13"/>
      <c r="F223" s="13"/>
      <c r="G223" s="13"/>
      <c r="H223" s="13"/>
      <c r="I223" s="13"/>
      <c r="J223" s="13"/>
    </row>
    <row r="224" ht="15.75" customHeight="1">
      <c r="A224" s="14" t="s">
        <v>1206</v>
      </c>
    </row>
    <row r="225" ht="15.75" customHeight="1">
      <c r="A225" s="14" t="s">
        <v>804</v>
      </c>
    </row>
    <row r="226" ht="15.75" customHeight="1">
      <c r="A226" s="15" t="s">
        <v>1207</v>
      </c>
      <c r="B226" s="16" t="s">
        <v>801</v>
      </c>
      <c r="C226" s="17">
        <v>15.09</v>
      </c>
      <c r="D226" s="17">
        <v>18.63</v>
      </c>
      <c r="E226" s="15" t="s">
        <v>1208</v>
      </c>
      <c r="F226" s="16" t="s">
        <v>801</v>
      </c>
      <c r="G226" s="15" t="s">
        <v>825</v>
      </c>
      <c r="H226" s="18">
        <v>0.0</v>
      </c>
      <c r="I226" s="16" t="s">
        <v>801</v>
      </c>
      <c r="J226" s="17">
        <v>20.87</v>
      </c>
    </row>
    <row r="227" ht="15.75" customHeight="1">
      <c r="A227" s="12" t="s">
        <v>804</v>
      </c>
      <c r="B227" s="13"/>
      <c r="C227" s="13"/>
      <c r="D227" s="13"/>
      <c r="E227" s="13"/>
      <c r="F227" s="13"/>
      <c r="G227" s="13"/>
      <c r="H227" s="13"/>
      <c r="I227" s="13"/>
      <c r="J227" s="13"/>
    </row>
    <row r="228" ht="15.75" customHeight="1">
      <c r="A228" s="14" t="s">
        <v>781</v>
      </c>
    </row>
    <row r="229" ht="15.75" customHeight="1">
      <c r="A229" s="14" t="s">
        <v>804</v>
      </c>
    </row>
    <row r="230" ht="15.75" customHeight="1">
      <c r="A230" s="15" t="s">
        <v>1209</v>
      </c>
      <c r="B230" s="16" t="s">
        <v>801</v>
      </c>
      <c r="C230" s="17">
        <v>61.69</v>
      </c>
      <c r="D230" s="17">
        <v>64.27</v>
      </c>
      <c r="E230" s="15" t="s">
        <v>1210</v>
      </c>
      <c r="F230" s="16" t="s">
        <v>801</v>
      </c>
      <c r="G230" s="15" t="s">
        <v>825</v>
      </c>
      <c r="H230" s="18">
        <v>0.0</v>
      </c>
      <c r="I230" s="16" t="s">
        <v>801</v>
      </c>
      <c r="J230" s="17">
        <v>71.98</v>
      </c>
    </row>
    <row r="231" ht="15.75" customHeight="1">
      <c r="A231" s="12" t="s">
        <v>804</v>
      </c>
      <c r="B231" s="13"/>
      <c r="C231" s="13"/>
      <c r="D231" s="13"/>
      <c r="E231" s="13"/>
      <c r="F231" s="13"/>
      <c r="G231" s="13"/>
      <c r="H231" s="13"/>
      <c r="I231" s="13"/>
      <c r="J231" s="13"/>
    </row>
    <row r="232" ht="15.75" customHeight="1">
      <c r="A232" s="14" t="s">
        <v>774</v>
      </c>
    </row>
    <row r="233" ht="15.75" customHeight="1">
      <c r="A233" s="14" t="s">
        <v>804</v>
      </c>
    </row>
    <row r="234" ht="15.75" customHeight="1">
      <c r="A234" s="15" t="s">
        <v>1211</v>
      </c>
      <c r="B234" s="16" t="s">
        <v>801</v>
      </c>
      <c r="C234" s="17">
        <v>46.61</v>
      </c>
      <c r="D234" s="17">
        <v>91.67</v>
      </c>
      <c r="E234" s="15" t="s">
        <v>1212</v>
      </c>
      <c r="F234" s="16" t="s">
        <v>801</v>
      </c>
      <c r="G234" s="15" t="s">
        <v>855</v>
      </c>
      <c r="H234" s="18">
        <v>0.0</v>
      </c>
      <c r="I234" s="16" t="s">
        <v>801</v>
      </c>
      <c r="J234" s="17">
        <v>108.17</v>
      </c>
    </row>
    <row r="235" ht="15.75" customHeight="1">
      <c r="A235" s="15" t="s">
        <v>1213</v>
      </c>
      <c r="B235" s="16" t="s">
        <v>801</v>
      </c>
      <c r="C235" s="17">
        <v>110.16</v>
      </c>
      <c r="D235" s="17">
        <v>216.68</v>
      </c>
      <c r="E235" s="15" t="s">
        <v>1214</v>
      </c>
      <c r="F235" s="16" t="s">
        <v>801</v>
      </c>
      <c r="G235" s="15" t="s">
        <v>855</v>
      </c>
      <c r="H235" s="18">
        <v>0.0</v>
      </c>
      <c r="I235" s="16" t="s">
        <v>801</v>
      </c>
      <c r="J235" s="17">
        <v>255.68</v>
      </c>
    </row>
    <row r="236" ht="15.75" customHeight="1">
      <c r="A236" s="12" t="s">
        <v>804</v>
      </c>
      <c r="B236" s="13"/>
      <c r="C236" s="13"/>
      <c r="D236" s="13"/>
      <c r="E236" s="13"/>
      <c r="F236" s="13"/>
      <c r="G236" s="13"/>
      <c r="H236" s="13"/>
      <c r="I236" s="13"/>
      <c r="J236" s="13"/>
    </row>
    <row r="237" ht="15.75" customHeight="1">
      <c r="A237" s="14" t="s">
        <v>782</v>
      </c>
    </row>
    <row r="238" ht="15.75" customHeight="1">
      <c r="A238" s="14" t="s">
        <v>804</v>
      </c>
    </row>
    <row r="239" ht="15.75" customHeight="1">
      <c r="A239" s="15" t="s">
        <v>1215</v>
      </c>
      <c r="B239" s="16" t="s">
        <v>801</v>
      </c>
      <c r="C239" s="17">
        <v>70.18</v>
      </c>
      <c r="D239" s="17">
        <v>70.18</v>
      </c>
      <c r="E239" s="15" t="s">
        <v>1216</v>
      </c>
      <c r="F239" s="16" t="s">
        <v>801</v>
      </c>
      <c r="G239" s="15" t="s">
        <v>825</v>
      </c>
      <c r="H239" s="18">
        <v>0.0</v>
      </c>
      <c r="I239" s="16" t="s">
        <v>801</v>
      </c>
      <c r="J239" s="17">
        <v>78.6</v>
      </c>
    </row>
    <row r="240" ht="15.75" customHeight="1">
      <c r="A240" s="12" t="s">
        <v>804</v>
      </c>
      <c r="B240" s="13"/>
      <c r="C240" s="13"/>
      <c r="D240" s="13"/>
      <c r="E240" s="13"/>
      <c r="F240" s="13"/>
      <c r="G240" s="13"/>
      <c r="H240" s="13"/>
      <c r="I240" s="13"/>
      <c r="J240" s="13"/>
    </row>
    <row r="241" ht="15.75" customHeight="1">
      <c r="A241" s="14" t="s">
        <v>783</v>
      </c>
    </row>
    <row r="242" ht="15.75" customHeight="1">
      <c r="A242" s="14" t="s">
        <v>804</v>
      </c>
    </row>
    <row r="243" ht="15.75" customHeight="1">
      <c r="A243" s="15" t="s">
        <v>1217</v>
      </c>
      <c r="B243" s="16" t="s">
        <v>801</v>
      </c>
      <c r="C243" s="17">
        <v>67.86</v>
      </c>
      <c r="D243" s="17">
        <v>70.69</v>
      </c>
      <c r="E243" s="15" t="s">
        <v>900</v>
      </c>
      <c r="F243" s="16" t="s">
        <v>801</v>
      </c>
      <c r="G243" s="15" t="s">
        <v>825</v>
      </c>
      <c r="H243" s="18">
        <v>0.0</v>
      </c>
      <c r="I243" s="16" t="s">
        <v>801</v>
      </c>
      <c r="J243" s="17">
        <v>79.17</v>
      </c>
    </row>
    <row r="244" ht="15.75" customHeight="1">
      <c r="A244" s="12" t="s">
        <v>804</v>
      </c>
      <c r="B244" s="13"/>
      <c r="C244" s="13"/>
      <c r="D244" s="13"/>
      <c r="E244" s="13"/>
      <c r="F244" s="13"/>
      <c r="G244" s="13"/>
      <c r="H244" s="13"/>
      <c r="I244" s="13"/>
      <c r="J244" s="13"/>
    </row>
    <row r="245" ht="15.75" customHeight="1">
      <c r="A245" s="14" t="s">
        <v>784</v>
      </c>
    </row>
    <row r="246" ht="15.75" customHeight="1">
      <c r="A246" s="14" t="s">
        <v>804</v>
      </c>
    </row>
    <row r="247" ht="15.75" customHeight="1">
      <c r="A247" s="15" t="s">
        <v>1218</v>
      </c>
      <c r="B247" s="16" t="s">
        <v>801</v>
      </c>
      <c r="C247" s="17">
        <v>100.86</v>
      </c>
      <c r="D247" s="17">
        <v>112.07</v>
      </c>
      <c r="E247" s="15" t="s">
        <v>1219</v>
      </c>
      <c r="F247" s="16" t="s">
        <v>801</v>
      </c>
      <c r="G247" s="15" t="s">
        <v>825</v>
      </c>
      <c r="H247" s="18">
        <v>0.0</v>
      </c>
      <c r="I247" s="16" t="s">
        <v>801</v>
      </c>
      <c r="J247" s="17">
        <v>125.52</v>
      </c>
    </row>
    <row r="248" ht="15.75" customHeight="1">
      <c r="A248" s="12" t="s">
        <v>804</v>
      </c>
      <c r="B248" s="13"/>
      <c r="C248" s="13"/>
      <c r="D248" s="13"/>
      <c r="E248" s="13"/>
      <c r="F248" s="13"/>
      <c r="G248" s="13"/>
      <c r="H248" s="13"/>
      <c r="I248" s="13"/>
      <c r="J248" s="13"/>
    </row>
    <row r="249" ht="15.75" customHeight="1">
      <c r="A249" s="14" t="s">
        <v>759</v>
      </c>
    </row>
    <row r="250" ht="15.75" customHeight="1">
      <c r="A250" s="14" t="s">
        <v>804</v>
      </c>
    </row>
    <row r="251" ht="15.75" customHeight="1">
      <c r="A251" s="15" t="s">
        <v>1220</v>
      </c>
      <c r="B251" s="16" t="s">
        <v>801</v>
      </c>
      <c r="C251" s="17">
        <v>138.04</v>
      </c>
      <c r="D251" s="17">
        <v>138.04</v>
      </c>
      <c r="E251" s="15" t="s">
        <v>1221</v>
      </c>
      <c r="F251" s="16" t="s">
        <v>801</v>
      </c>
      <c r="G251" s="15" t="s">
        <v>825</v>
      </c>
      <c r="H251" s="18">
        <v>0.0</v>
      </c>
      <c r="I251" s="16" t="s">
        <v>801</v>
      </c>
      <c r="J251" s="17">
        <v>154.6</v>
      </c>
    </row>
    <row r="252" ht="15.75" customHeight="1">
      <c r="A252" s="15" t="s">
        <v>1222</v>
      </c>
      <c r="B252" s="16" t="s">
        <v>801</v>
      </c>
      <c r="C252" s="17">
        <v>136.65</v>
      </c>
      <c r="D252" s="17">
        <v>151.84</v>
      </c>
      <c r="E252" s="15" t="s">
        <v>1223</v>
      </c>
      <c r="F252" s="16" t="s">
        <v>801</v>
      </c>
      <c r="G252" s="15" t="s">
        <v>825</v>
      </c>
      <c r="H252" s="18">
        <v>0.0</v>
      </c>
      <c r="I252" s="16" t="s">
        <v>801</v>
      </c>
      <c r="J252" s="17">
        <v>170.06</v>
      </c>
    </row>
    <row r="253" ht="15.75" customHeight="1">
      <c r="A253" s="15" t="s">
        <v>1224</v>
      </c>
      <c r="B253" s="16" t="s">
        <v>801</v>
      </c>
      <c r="C253" s="17">
        <v>80.92</v>
      </c>
      <c r="D253" s="17">
        <v>89.91</v>
      </c>
      <c r="E253" s="15" t="s">
        <v>1225</v>
      </c>
      <c r="F253" s="16" t="s">
        <v>801</v>
      </c>
      <c r="G253" s="15" t="s">
        <v>825</v>
      </c>
      <c r="H253" s="18">
        <v>0.0</v>
      </c>
      <c r="I253" s="16" t="s">
        <v>801</v>
      </c>
      <c r="J253" s="17">
        <v>100.7</v>
      </c>
    </row>
    <row r="254" ht="15.75" customHeight="1">
      <c r="A254" s="15" t="s">
        <v>1226</v>
      </c>
      <c r="B254" s="16" t="s">
        <v>801</v>
      </c>
      <c r="C254" s="17">
        <v>74.83</v>
      </c>
      <c r="D254" s="17">
        <v>83.14</v>
      </c>
      <c r="E254" s="15" t="s">
        <v>1227</v>
      </c>
      <c r="F254" s="16" t="s">
        <v>801</v>
      </c>
      <c r="G254" s="15" t="s">
        <v>825</v>
      </c>
      <c r="H254" s="18">
        <v>0.0</v>
      </c>
      <c r="I254" s="16" t="s">
        <v>801</v>
      </c>
      <c r="J254" s="17">
        <v>93.12</v>
      </c>
    </row>
    <row r="255" ht="15.75" customHeight="1">
      <c r="A255" s="15" t="s">
        <v>1228</v>
      </c>
      <c r="B255" s="16" t="s">
        <v>801</v>
      </c>
      <c r="C255" s="17">
        <v>107.14</v>
      </c>
      <c r="D255" s="17">
        <v>119.05</v>
      </c>
      <c r="E255" s="15" t="s">
        <v>1229</v>
      </c>
      <c r="F255" s="16" t="s">
        <v>801</v>
      </c>
      <c r="G255" s="15" t="s">
        <v>825</v>
      </c>
      <c r="H255" s="18">
        <v>0.0</v>
      </c>
      <c r="I255" s="16" t="s">
        <v>801</v>
      </c>
      <c r="J255" s="17">
        <v>133.34</v>
      </c>
    </row>
    <row r="256" ht="15.75" customHeight="1">
      <c r="A256" s="15" t="s">
        <v>1230</v>
      </c>
      <c r="B256" s="16" t="s">
        <v>801</v>
      </c>
      <c r="C256" s="17">
        <v>104.58</v>
      </c>
      <c r="D256" s="17">
        <v>104.58</v>
      </c>
      <c r="E256" s="15" t="s">
        <v>1231</v>
      </c>
      <c r="F256" s="16" t="s">
        <v>801</v>
      </c>
      <c r="G256" s="15" t="s">
        <v>825</v>
      </c>
      <c r="H256" s="18">
        <v>0.0</v>
      </c>
      <c r="I256" s="16" t="s">
        <v>801</v>
      </c>
      <c r="J256" s="17">
        <v>117.13</v>
      </c>
    </row>
    <row r="257" ht="15.75" customHeight="1">
      <c r="A257" s="15" t="s">
        <v>1232</v>
      </c>
      <c r="B257" s="16" t="s">
        <v>801</v>
      </c>
      <c r="C257" s="17">
        <v>138.27</v>
      </c>
      <c r="D257" s="17">
        <v>153.64</v>
      </c>
      <c r="E257" s="15" t="s">
        <v>1233</v>
      </c>
      <c r="F257" s="16" t="s">
        <v>801</v>
      </c>
      <c r="G257" s="15" t="s">
        <v>825</v>
      </c>
      <c r="H257" s="18">
        <v>0.0</v>
      </c>
      <c r="I257" s="16" t="s">
        <v>801</v>
      </c>
      <c r="J257" s="17">
        <v>172.08</v>
      </c>
    </row>
    <row r="258" ht="15.75" customHeight="1">
      <c r="A258" s="15" t="s">
        <v>1234</v>
      </c>
      <c r="B258" s="16" t="s">
        <v>801</v>
      </c>
      <c r="C258" s="17">
        <v>85.42</v>
      </c>
      <c r="D258" s="17">
        <v>98.88</v>
      </c>
      <c r="E258" s="15" t="s">
        <v>1235</v>
      </c>
      <c r="F258" s="16" t="s">
        <v>801</v>
      </c>
      <c r="G258" s="15" t="s">
        <v>855</v>
      </c>
      <c r="H258" s="18">
        <v>0.0</v>
      </c>
      <c r="I258" s="16" t="s">
        <v>801</v>
      </c>
      <c r="J258" s="17">
        <v>116.68</v>
      </c>
    </row>
    <row r="259" ht="15.75" customHeight="1">
      <c r="A259" s="15" t="s">
        <v>1236</v>
      </c>
      <c r="B259" s="16" t="s">
        <v>801</v>
      </c>
      <c r="C259" s="17">
        <v>96.43</v>
      </c>
      <c r="D259" s="17">
        <v>107.14</v>
      </c>
      <c r="E259" s="15" t="s">
        <v>827</v>
      </c>
      <c r="F259" s="16" t="s">
        <v>801</v>
      </c>
      <c r="G259" s="15" t="s">
        <v>825</v>
      </c>
      <c r="H259" s="18">
        <v>0.0</v>
      </c>
      <c r="I259" s="16" t="s">
        <v>801</v>
      </c>
      <c r="J259" s="17">
        <v>120.0</v>
      </c>
    </row>
    <row r="260" ht="15.75" customHeight="1">
      <c r="A260" s="12" t="s">
        <v>804</v>
      </c>
      <c r="B260" s="13"/>
      <c r="C260" s="13"/>
      <c r="D260" s="13"/>
      <c r="E260" s="13"/>
      <c r="F260" s="13"/>
      <c r="G260" s="13"/>
      <c r="H260" s="13"/>
      <c r="I260" s="13"/>
      <c r="J260" s="13"/>
    </row>
    <row r="261" ht="15.75" customHeight="1">
      <c r="A261" s="14" t="s">
        <v>769</v>
      </c>
    </row>
    <row r="262" ht="15.75" customHeight="1">
      <c r="A262" s="14" t="s">
        <v>804</v>
      </c>
    </row>
    <row r="263" ht="15.75" customHeight="1">
      <c r="A263" s="15" t="s">
        <v>1237</v>
      </c>
      <c r="B263" s="16" t="s">
        <v>801</v>
      </c>
      <c r="C263" s="17">
        <v>84.32</v>
      </c>
      <c r="D263" s="17">
        <v>140.55</v>
      </c>
      <c r="E263" s="15" t="s">
        <v>864</v>
      </c>
      <c r="F263" s="16" t="s">
        <v>801</v>
      </c>
      <c r="G263" s="15" t="s">
        <v>855</v>
      </c>
      <c r="H263" s="18">
        <v>0.0</v>
      </c>
      <c r="I263" s="16" t="s">
        <v>801</v>
      </c>
      <c r="J263" s="17">
        <v>165.85</v>
      </c>
    </row>
    <row r="264" ht="15.75" customHeight="1">
      <c r="A264" s="15" t="s">
        <v>1238</v>
      </c>
      <c r="B264" s="16" t="s">
        <v>801</v>
      </c>
      <c r="C264" s="17">
        <v>105.93</v>
      </c>
      <c r="D264" s="17">
        <v>176.57</v>
      </c>
      <c r="E264" s="15" t="s">
        <v>876</v>
      </c>
      <c r="F264" s="16" t="s">
        <v>801</v>
      </c>
      <c r="G264" s="15" t="s">
        <v>855</v>
      </c>
      <c r="H264" s="18">
        <v>0.0</v>
      </c>
      <c r="I264" s="16" t="s">
        <v>801</v>
      </c>
      <c r="J264" s="17">
        <v>208.35</v>
      </c>
    </row>
    <row r="265" ht="15.75" customHeight="1">
      <c r="A265" s="15" t="s">
        <v>1239</v>
      </c>
      <c r="B265" s="16" t="s">
        <v>801</v>
      </c>
      <c r="C265" s="17">
        <v>211.44</v>
      </c>
      <c r="D265" s="17">
        <v>352.44</v>
      </c>
      <c r="E265" s="15" t="s">
        <v>1240</v>
      </c>
      <c r="F265" s="16" t="s">
        <v>801</v>
      </c>
      <c r="G265" s="15" t="s">
        <v>855</v>
      </c>
      <c r="H265" s="18">
        <v>0.0</v>
      </c>
      <c r="I265" s="16" t="s">
        <v>801</v>
      </c>
      <c r="J265" s="17">
        <v>415.88</v>
      </c>
    </row>
    <row r="266" ht="15.75" customHeight="1">
      <c r="A266" s="15" t="s">
        <v>1241</v>
      </c>
      <c r="B266" s="16" t="s">
        <v>801</v>
      </c>
      <c r="C266" s="17">
        <v>41.95</v>
      </c>
      <c r="D266" s="17">
        <v>67.12</v>
      </c>
      <c r="E266" s="15" t="s">
        <v>1242</v>
      </c>
      <c r="F266" s="16" t="s">
        <v>801</v>
      </c>
      <c r="G266" s="15" t="s">
        <v>855</v>
      </c>
      <c r="H266" s="18">
        <v>0.0</v>
      </c>
      <c r="I266" s="16" t="s">
        <v>801</v>
      </c>
      <c r="J266" s="17">
        <v>79.2</v>
      </c>
    </row>
    <row r="267" ht="15.75" customHeight="1">
      <c r="A267" s="12" t="s">
        <v>804</v>
      </c>
      <c r="B267" s="13"/>
      <c r="C267" s="13"/>
      <c r="D267" s="13"/>
      <c r="E267" s="13"/>
      <c r="F267" s="13"/>
      <c r="G267" s="13"/>
      <c r="H267" s="13"/>
      <c r="I267" s="13"/>
      <c r="J267" s="13"/>
    </row>
    <row r="268" ht="15.75" customHeight="1">
      <c r="A268" s="14" t="s">
        <v>785</v>
      </c>
    </row>
    <row r="269" ht="15.75" customHeight="1">
      <c r="A269" s="14" t="s">
        <v>804</v>
      </c>
    </row>
    <row r="270" ht="15.75" customHeight="1">
      <c r="A270" s="15" t="s">
        <v>1243</v>
      </c>
      <c r="B270" s="16" t="s">
        <v>801</v>
      </c>
      <c r="C270" s="17">
        <v>15.12</v>
      </c>
      <c r="D270" s="17">
        <v>11.78</v>
      </c>
      <c r="E270" s="15" t="s">
        <v>1244</v>
      </c>
      <c r="F270" s="16" t="s">
        <v>801</v>
      </c>
      <c r="G270" s="15" t="s">
        <v>959</v>
      </c>
      <c r="H270" s="18">
        <v>0.0</v>
      </c>
      <c r="I270" s="16" t="s">
        <v>801</v>
      </c>
      <c r="J270" s="17">
        <v>12.37</v>
      </c>
    </row>
    <row r="271" ht="15.75" customHeight="1">
      <c r="A271" s="12" t="s">
        <v>804</v>
      </c>
      <c r="B271" s="13"/>
      <c r="C271" s="13"/>
      <c r="D271" s="13"/>
      <c r="E271" s="13"/>
      <c r="F271" s="13"/>
      <c r="G271" s="13"/>
      <c r="H271" s="13"/>
      <c r="I271" s="13"/>
      <c r="J271" s="13"/>
    </row>
    <row r="272" ht="15.75" customHeight="1">
      <c r="A272" s="14" t="s">
        <v>786</v>
      </c>
    </row>
    <row r="273" ht="15.75" customHeight="1">
      <c r="A273" s="14" t="s">
        <v>804</v>
      </c>
    </row>
    <row r="274" ht="15.75" customHeight="1">
      <c r="A274" s="15" t="s">
        <v>1245</v>
      </c>
      <c r="B274" s="16" t="s">
        <v>801</v>
      </c>
      <c r="C274" s="17">
        <v>129.67</v>
      </c>
      <c r="D274" s="17">
        <v>144.08</v>
      </c>
      <c r="E274" s="15" t="s">
        <v>1246</v>
      </c>
      <c r="F274" s="16" t="s">
        <v>801</v>
      </c>
      <c r="G274" s="15" t="s">
        <v>825</v>
      </c>
      <c r="H274" s="18">
        <v>0.0</v>
      </c>
      <c r="I274" s="16" t="s">
        <v>801</v>
      </c>
      <c r="J274" s="17">
        <v>161.37</v>
      </c>
    </row>
    <row r="275" ht="15.75" customHeight="1">
      <c r="A275" s="12" t="s">
        <v>804</v>
      </c>
      <c r="B275" s="13"/>
      <c r="C275" s="13"/>
      <c r="D275" s="13"/>
      <c r="E275" s="13"/>
      <c r="F275" s="13"/>
      <c r="G275" s="13"/>
      <c r="H275" s="13"/>
      <c r="I275" s="13"/>
      <c r="J275" s="13"/>
    </row>
    <row r="276" ht="15.75" customHeight="1">
      <c r="A276" s="14" t="s">
        <v>752</v>
      </c>
    </row>
    <row r="277" ht="15.75" customHeight="1">
      <c r="A277" s="14" t="s">
        <v>804</v>
      </c>
    </row>
    <row r="278" ht="15.75" customHeight="1">
      <c r="A278" s="15" t="s">
        <v>1247</v>
      </c>
      <c r="B278" s="16" t="s">
        <v>801</v>
      </c>
      <c r="C278" s="17">
        <v>275.14</v>
      </c>
      <c r="D278" s="17">
        <v>305.72</v>
      </c>
      <c r="E278" s="15" t="s">
        <v>1248</v>
      </c>
      <c r="F278" s="16" t="s">
        <v>801</v>
      </c>
      <c r="G278" s="15" t="s">
        <v>825</v>
      </c>
      <c r="H278" s="18">
        <v>0.0</v>
      </c>
      <c r="I278" s="16" t="s">
        <v>801</v>
      </c>
      <c r="J278" s="17">
        <v>342.41</v>
      </c>
    </row>
    <row r="279" ht="15.75" customHeight="1">
      <c r="A279" s="15" t="s">
        <v>1249</v>
      </c>
      <c r="B279" s="16" t="s">
        <v>801</v>
      </c>
      <c r="C279" s="17">
        <v>189.96</v>
      </c>
      <c r="D279" s="17">
        <v>189.96</v>
      </c>
      <c r="E279" s="15" t="s">
        <v>1250</v>
      </c>
      <c r="F279" s="16" t="s">
        <v>801</v>
      </c>
      <c r="G279" s="15" t="s">
        <v>825</v>
      </c>
      <c r="H279" s="18">
        <v>0.0</v>
      </c>
      <c r="I279" s="16" t="s">
        <v>801</v>
      </c>
      <c r="J279" s="17">
        <v>212.76</v>
      </c>
    </row>
    <row r="280" ht="15.75" customHeight="1">
      <c r="A280" s="15" t="s">
        <v>1251</v>
      </c>
      <c r="B280" s="16" t="s">
        <v>801</v>
      </c>
      <c r="C280" s="17">
        <v>131.92</v>
      </c>
      <c r="D280" s="17">
        <v>211.08</v>
      </c>
      <c r="E280" s="15" t="s">
        <v>1250</v>
      </c>
      <c r="F280" s="16" t="s">
        <v>801</v>
      </c>
      <c r="G280" s="15" t="s">
        <v>825</v>
      </c>
      <c r="H280" s="18">
        <v>0.0</v>
      </c>
      <c r="I280" s="16" t="s">
        <v>801</v>
      </c>
      <c r="J280" s="17">
        <v>236.41</v>
      </c>
    </row>
    <row r="281" ht="15.75" customHeight="1">
      <c r="A281" s="15" t="s">
        <v>1252</v>
      </c>
      <c r="B281" s="16" t="s">
        <v>801</v>
      </c>
      <c r="C281" s="17">
        <v>77.14</v>
      </c>
      <c r="D281" s="17">
        <v>77.14</v>
      </c>
      <c r="E281" s="15" t="s">
        <v>1253</v>
      </c>
      <c r="F281" s="16" t="s">
        <v>801</v>
      </c>
      <c r="G281" s="15" t="s">
        <v>825</v>
      </c>
      <c r="H281" s="18">
        <v>0.0</v>
      </c>
      <c r="I281" s="16" t="s">
        <v>801</v>
      </c>
      <c r="J281" s="17">
        <v>86.4</v>
      </c>
    </row>
    <row r="282" ht="15.75" customHeight="1">
      <c r="A282" s="15" t="s">
        <v>1254</v>
      </c>
      <c r="B282" s="16" t="s">
        <v>801</v>
      </c>
      <c r="C282" s="17">
        <v>173.57</v>
      </c>
      <c r="D282" s="17">
        <v>192.86</v>
      </c>
      <c r="E282" s="15" t="s">
        <v>1255</v>
      </c>
      <c r="F282" s="16" t="s">
        <v>801</v>
      </c>
      <c r="G282" s="15" t="s">
        <v>825</v>
      </c>
      <c r="H282" s="18">
        <v>0.0</v>
      </c>
      <c r="I282" s="16" t="s">
        <v>801</v>
      </c>
      <c r="J282" s="17">
        <v>216.0</v>
      </c>
    </row>
    <row r="283" ht="15.75" customHeight="1">
      <c r="A283" s="15" t="s">
        <v>1256</v>
      </c>
      <c r="B283" s="16" t="s">
        <v>801</v>
      </c>
      <c r="C283" s="17">
        <v>41.57</v>
      </c>
      <c r="D283" s="17">
        <v>41.57</v>
      </c>
      <c r="E283" s="15" t="s">
        <v>1257</v>
      </c>
      <c r="F283" s="16" t="s">
        <v>801</v>
      </c>
      <c r="G283" s="15" t="s">
        <v>825</v>
      </c>
      <c r="H283" s="18">
        <v>0.0</v>
      </c>
      <c r="I283" s="16" t="s">
        <v>801</v>
      </c>
      <c r="J283" s="17">
        <v>46.56</v>
      </c>
    </row>
    <row r="284" ht="15.75" customHeight="1">
      <c r="A284" s="15" t="s">
        <v>1258</v>
      </c>
      <c r="B284" s="16" t="s">
        <v>801</v>
      </c>
      <c r="C284" s="17">
        <v>89.99</v>
      </c>
      <c r="D284" s="17">
        <v>126.0</v>
      </c>
      <c r="E284" s="15" t="s">
        <v>1259</v>
      </c>
      <c r="F284" s="16" t="s">
        <v>801</v>
      </c>
      <c r="G284" s="15" t="s">
        <v>855</v>
      </c>
      <c r="H284" s="18">
        <v>0.0</v>
      </c>
      <c r="I284" s="16" t="s">
        <v>801</v>
      </c>
      <c r="J284" s="17">
        <v>148.68</v>
      </c>
    </row>
    <row r="285" ht="15.75" customHeight="1">
      <c r="A285" s="15" t="s">
        <v>1260</v>
      </c>
      <c r="B285" s="16" t="s">
        <v>801</v>
      </c>
      <c r="C285" s="17">
        <v>256.5</v>
      </c>
      <c r="D285" s="17">
        <v>285.01</v>
      </c>
      <c r="E285" s="15" t="s">
        <v>1261</v>
      </c>
      <c r="F285" s="16" t="s">
        <v>801</v>
      </c>
      <c r="G285" s="15" t="s">
        <v>825</v>
      </c>
      <c r="H285" s="18">
        <v>0.0</v>
      </c>
      <c r="I285" s="16" t="s">
        <v>801</v>
      </c>
      <c r="J285" s="17">
        <v>319.21</v>
      </c>
    </row>
    <row r="286" ht="15.75" customHeight="1">
      <c r="A286" s="15" t="s">
        <v>1262</v>
      </c>
      <c r="B286" s="16" t="s">
        <v>801</v>
      </c>
      <c r="C286" s="17">
        <v>208.93</v>
      </c>
      <c r="D286" s="17">
        <v>232.15</v>
      </c>
      <c r="E286" s="15" t="s">
        <v>1263</v>
      </c>
      <c r="F286" s="16" t="s">
        <v>801</v>
      </c>
      <c r="G286" s="15" t="s">
        <v>825</v>
      </c>
      <c r="H286" s="18">
        <v>0.0</v>
      </c>
      <c r="I286" s="16" t="s">
        <v>801</v>
      </c>
      <c r="J286" s="17">
        <v>260.01</v>
      </c>
    </row>
    <row r="287" ht="15.75" customHeight="1">
      <c r="A287" s="15" t="s">
        <v>1264</v>
      </c>
      <c r="B287" s="16" t="s">
        <v>801</v>
      </c>
      <c r="C287" s="17">
        <v>186.43</v>
      </c>
      <c r="D287" s="17">
        <v>207.15</v>
      </c>
      <c r="E287" s="15" t="s">
        <v>1265</v>
      </c>
      <c r="F287" s="16" t="s">
        <v>801</v>
      </c>
      <c r="G287" s="15" t="s">
        <v>825</v>
      </c>
      <c r="H287" s="18">
        <v>0.0</v>
      </c>
      <c r="I287" s="16" t="s">
        <v>801</v>
      </c>
      <c r="J287" s="17">
        <v>232.01</v>
      </c>
    </row>
    <row r="288" ht="15.75" customHeight="1">
      <c r="A288" s="15" t="s">
        <v>1266</v>
      </c>
      <c r="B288" s="16" t="s">
        <v>801</v>
      </c>
      <c r="C288" s="17">
        <v>136.99</v>
      </c>
      <c r="D288" s="17">
        <v>192.5</v>
      </c>
      <c r="E288" s="15" t="s">
        <v>1267</v>
      </c>
      <c r="F288" s="16" t="s">
        <v>801</v>
      </c>
      <c r="G288" s="15" t="s">
        <v>855</v>
      </c>
      <c r="H288" s="18">
        <v>0.0</v>
      </c>
      <c r="I288" s="16" t="s">
        <v>801</v>
      </c>
      <c r="J288" s="17">
        <v>227.15</v>
      </c>
    </row>
    <row r="289" ht="15.75" customHeight="1">
      <c r="A289" s="15" t="s">
        <v>1268</v>
      </c>
      <c r="B289" s="16" t="s">
        <v>801</v>
      </c>
      <c r="C289" s="17">
        <v>350.85</v>
      </c>
      <c r="D289" s="17">
        <v>389.85</v>
      </c>
      <c r="E289" s="15" t="s">
        <v>1269</v>
      </c>
      <c r="F289" s="16" t="s">
        <v>801</v>
      </c>
      <c r="G289" s="15" t="s">
        <v>855</v>
      </c>
      <c r="H289" s="18">
        <v>0.0</v>
      </c>
      <c r="I289" s="16" t="s">
        <v>801</v>
      </c>
      <c r="J289" s="17">
        <v>460.02</v>
      </c>
    </row>
    <row r="290" ht="15.75" customHeight="1">
      <c r="A290" s="15" t="s">
        <v>1270</v>
      </c>
      <c r="B290" s="16" t="s">
        <v>801</v>
      </c>
      <c r="C290" s="17">
        <v>201.36</v>
      </c>
      <c r="D290" s="17">
        <v>223.74</v>
      </c>
      <c r="E290" s="15" t="s">
        <v>1271</v>
      </c>
      <c r="F290" s="16" t="s">
        <v>801</v>
      </c>
      <c r="G290" s="15" t="s">
        <v>855</v>
      </c>
      <c r="H290" s="18">
        <v>0.0</v>
      </c>
      <c r="I290" s="16" t="s">
        <v>801</v>
      </c>
      <c r="J290" s="17">
        <v>264.01</v>
      </c>
    </row>
    <row r="291" ht="15.75" customHeight="1">
      <c r="A291" s="15" t="s">
        <v>1272</v>
      </c>
      <c r="B291" s="16" t="s">
        <v>801</v>
      </c>
      <c r="C291" s="17">
        <v>165.86</v>
      </c>
      <c r="D291" s="17">
        <v>203.58</v>
      </c>
      <c r="E291" s="15" t="s">
        <v>1195</v>
      </c>
      <c r="F291" s="16" t="s">
        <v>801</v>
      </c>
      <c r="G291" s="15" t="s">
        <v>825</v>
      </c>
      <c r="H291" s="18">
        <v>0.0</v>
      </c>
      <c r="I291" s="16" t="s">
        <v>801</v>
      </c>
      <c r="J291" s="17">
        <v>228.01</v>
      </c>
    </row>
    <row r="292" ht="15.75" customHeight="1">
      <c r="A292" s="15" t="s">
        <v>1273</v>
      </c>
      <c r="B292" s="16" t="s">
        <v>801</v>
      </c>
      <c r="C292" s="17">
        <v>167.14</v>
      </c>
      <c r="D292" s="17">
        <v>185.72</v>
      </c>
      <c r="E292" s="15" t="s">
        <v>1214</v>
      </c>
      <c r="F292" s="16" t="s">
        <v>801</v>
      </c>
      <c r="G292" s="15" t="s">
        <v>825</v>
      </c>
      <c r="H292" s="18">
        <v>0.0</v>
      </c>
      <c r="I292" s="16" t="s">
        <v>801</v>
      </c>
      <c r="J292" s="17">
        <v>208.01</v>
      </c>
    </row>
    <row r="293" ht="15.75" customHeight="1">
      <c r="A293" s="15" t="s">
        <v>1274</v>
      </c>
      <c r="B293" s="16" t="s">
        <v>801</v>
      </c>
      <c r="C293" s="17">
        <v>160.71</v>
      </c>
      <c r="D293" s="17">
        <v>178.58</v>
      </c>
      <c r="E293" s="15" t="s">
        <v>876</v>
      </c>
      <c r="F293" s="16" t="s">
        <v>801</v>
      </c>
      <c r="G293" s="15" t="s">
        <v>825</v>
      </c>
      <c r="H293" s="18">
        <v>0.0</v>
      </c>
      <c r="I293" s="16" t="s">
        <v>801</v>
      </c>
      <c r="J293" s="17">
        <v>200.01</v>
      </c>
    </row>
    <row r="294" ht="15.75" customHeight="1">
      <c r="A294" s="15" t="s">
        <v>1275</v>
      </c>
      <c r="B294" s="16" t="s">
        <v>801</v>
      </c>
      <c r="C294" s="17">
        <v>624.99</v>
      </c>
      <c r="D294" s="17">
        <v>875.0</v>
      </c>
      <c r="E294" s="15" t="s">
        <v>1276</v>
      </c>
      <c r="F294" s="16" t="s">
        <v>801</v>
      </c>
      <c r="G294" s="15" t="s">
        <v>855</v>
      </c>
      <c r="H294" s="18">
        <v>0.0</v>
      </c>
      <c r="I294" s="16" t="s">
        <v>801</v>
      </c>
      <c r="J294" s="17">
        <v>1032.5</v>
      </c>
    </row>
    <row r="295" ht="15.75" customHeight="1">
      <c r="A295" s="15" t="s">
        <v>1277</v>
      </c>
      <c r="B295" s="16" t="s">
        <v>801</v>
      </c>
      <c r="C295" s="17">
        <v>355.93</v>
      </c>
      <c r="D295" s="17">
        <v>427.14</v>
      </c>
      <c r="E295" s="15" t="s">
        <v>1278</v>
      </c>
      <c r="F295" s="16" t="s">
        <v>801</v>
      </c>
      <c r="G295" s="15" t="s">
        <v>855</v>
      </c>
      <c r="H295" s="18">
        <v>0.0</v>
      </c>
      <c r="I295" s="16" t="s">
        <v>801</v>
      </c>
      <c r="J295" s="17">
        <v>504.03</v>
      </c>
    </row>
    <row r="296" ht="15.75" customHeight="1">
      <c r="A296" s="15" t="s">
        <v>1279</v>
      </c>
      <c r="B296" s="16" t="s">
        <v>801</v>
      </c>
      <c r="C296" s="17">
        <v>259.33</v>
      </c>
      <c r="D296" s="17">
        <v>288.15</v>
      </c>
      <c r="E296" s="15" t="s">
        <v>1280</v>
      </c>
      <c r="F296" s="16" t="s">
        <v>801</v>
      </c>
      <c r="G296" s="15" t="s">
        <v>855</v>
      </c>
      <c r="H296" s="18">
        <v>0.0</v>
      </c>
      <c r="I296" s="16" t="s">
        <v>801</v>
      </c>
      <c r="J296" s="17">
        <v>340.02</v>
      </c>
    </row>
    <row r="297" ht="15.75" customHeight="1">
      <c r="A297" s="15" t="s">
        <v>1281</v>
      </c>
      <c r="B297" s="16" t="s">
        <v>801</v>
      </c>
      <c r="C297" s="17">
        <v>211.44</v>
      </c>
      <c r="D297" s="17">
        <v>338.32</v>
      </c>
      <c r="E297" s="15" t="s">
        <v>1240</v>
      </c>
      <c r="F297" s="16" t="s">
        <v>801</v>
      </c>
      <c r="G297" s="15" t="s">
        <v>855</v>
      </c>
      <c r="H297" s="18">
        <v>0.0</v>
      </c>
      <c r="I297" s="16" t="s">
        <v>801</v>
      </c>
      <c r="J297" s="17">
        <v>399.22</v>
      </c>
    </row>
    <row r="298" ht="15.75" customHeight="1">
      <c r="A298" s="15" t="s">
        <v>1282</v>
      </c>
      <c r="B298" s="16" t="s">
        <v>801</v>
      </c>
      <c r="C298" s="17">
        <v>180.08</v>
      </c>
      <c r="D298" s="17">
        <v>288.15</v>
      </c>
      <c r="E298" s="15" t="s">
        <v>1280</v>
      </c>
      <c r="F298" s="16" t="s">
        <v>801</v>
      </c>
      <c r="G298" s="15" t="s">
        <v>855</v>
      </c>
      <c r="H298" s="18">
        <v>0.0</v>
      </c>
      <c r="I298" s="16" t="s">
        <v>801</v>
      </c>
      <c r="J298" s="17">
        <v>340.02</v>
      </c>
    </row>
    <row r="299" ht="15.75" customHeight="1">
      <c r="A299" s="15" t="s">
        <v>1283</v>
      </c>
      <c r="B299" s="16" t="s">
        <v>801</v>
      </c>
      <c r="C299" s="17">
        <v>47.44</v>
      </c>
      <c r="D299" s="17">
        <v>52.71</v>
      </c>
      <c r="E299" s="15" t="s">
        <v>1284</v>
      </c>
      <c r="F299" s="16" t="s">
        <v>801</v>
      </c>
      <c r="G299" s="15" t="s">
        <v>825</v>
      </c>
      <c r="H299" s="18">
        <v>0.0</v>
      </c>
      <c r="I299" s="16" t="s">
        <v>801</v>
      </c>
      <c r="J299" s="17">
        <v>59.04</v>
      </c>
    </row>
    <row r="300" ht="15.75" customHeight="1">
      <c r="A300" s="15" t="s">
        <v>1285</v>
      </c>
      <c r="B300" s="16" t="s">
        <v>801</v>
      </c>
      <c r="C300" s="17">
        <v>241.07</v>
      </c>
      <c r="D300" s="17">
        <v>267.87</v>
      </c>
      <c r="E300" s="15" t="s">
        <v>1286</v>
      </c>
      <c r="F300" s="16" t="s">
        <v>801</v>
      </c>
      <c r="G300" s="15" t="s">
        <v>825</v>
      </c>
      <c r="H300" s="18">
        <v>0.0</v>
      </c>
      <c r="I300" s="16" t="s">
        <v>801</v>
      </c>
      <c r="J300" s="17">
        <v>300.01</v>
      </c>
    </row>
    <row r="301" ht="15.75" customHeight="1">
      <c r="A301" s="15" t="s">
        <v>1287</v>
      </c>
      <c r="B301" s="16" t="s">
        <v>801</v>
      </c>
      <c r="C301" s="17">
        <v>161.99</v>
      </c>
      <c r="D301" s="17">
        <v>227.5</v>
      </c>
      <c r="E301" s="15" t="s">
        <v>1263</v>
      </c>
      <c r="F301" s="16" t="s">
        <v>801</v>
      </c>
      <c r="G301" s="15" t="s">
        <v>855</v>
      </c>
      <c r="H301" s="18">
        <v>0.0</v>
      </c>
      <c r="I301" s="16" t="s">
        <v>801</v>
      </c>
      <c r="J301" s="17">
        <v>268.45</v>
      </c>
    </row>
    <row r="302" ht="15.75" customHeight="1">
      <c r="A302" s="15" t="s">
        <v>1288</v>
      </c>
      <c r="B302" s="16" t="s">
        <v>801</v>
      </c>
      <c r="C302" s="17">
        <v>54.99</v>
      </c>
      <c r="D302" s="17">
        <v>77.0</v>
      </c>
      <c r="E302" s="15" t="s">
        <v>1212</v>
      </c>
      <c r="F302" s="16" t="s">
        <v>801</v>
      </c>
      <c r="G302" s="15" t="s">
        <v>855</v>
      </c>
      <c r="H302" s="18">
        <v>0.0</v>
      </c>
      <c r="I302" s="16" t="s">
        <v>801</v>
      </c>
      <c r="J302" s="17">
        <v>90.86</v>
      </c>
    </row>
    <row r="303" ht="15.75" customHeight="1">
      <c r="A303" s="15" t="s">
        <v>1289</v>
      </c>
      <c r="B303" s="16" t="s">
        <v>801</v>
      </c>
      <c r="C303" s="17">
        <v>149.0</v>
      </c>
      <c r="D303" s="17">
        <v>212.86</v>
      </c>
      <c r="E303" s="15" t="s">
        <v>1290</v>
      </c>
      <c r="F303" s="16" t="s">
        <v>801</v>
      </c>
      <c r="G303" s="15" t="s">
        <v>825</v>
      </c>
      <c r="H303" s="18">
        <v>0.0</v>
      </c>
      <c r="I303" s="16" t="s">
        <v>801</v>
      </c>
      <c r="J303" s="17">
        <v>238.4</v>
      </c>
    </row>
    <row r="304" ht="15.75" customHeight="1">
      <c r="A304" s="15" t="s">
        <v>1291</v>
      </c>
      <c r="B304" s="16" t="s">
        <v>801</v>
      </c>
      <c r="C304" s="17">
        <v>149.5</v>
      </c>
      <c r="D304" s="17">
        <v>213.58</v>
      </c>
      <c r="E304" s="15" t="s">
        <v>1111</v>
      </c>
      <c r="F304" s="16" t="s">
        <v>801</v>
      </c>
      <c r="G304" s="15" t="s">
        <v>825</v>
      </c>
      <c r="H304" s="18">
        <v>0.0</v>
      </c>
      <c r="I304" s="16" t="s">
        <v>801</v>
      </c>
      <c r="J304" s="17">
        <v>239.21</v>
      </c>
    </row>
    <row r="305" ht="15.75" customHeight="1">
      <c r="A305" s="15" t="s">
        <v>1292</v>
      </c>
      <c r="B305" s="16" t="s">
        <v>801</v>
      </c>
      <c r="C305" s="17">
        <v>124.5</v>
      </c>
      <c r="D305" s="17">
        <v>177.86</v>
      </c>
      <c r="E305" s="15" t="s">
        <v>1293</v>
      </c>
      <c r="F305" s="16" t="s">
        <v>801</v>
      </c>
      <c r="G305" s="15" t="s">
        <v>825</v>
      </c>
      <c r="H305" s="18">
        <v>0.0</v>
      </c>
      <c r="I305" s="16" t="s">
        <v>801</v>
      </c>
      <c r="J305" s="17">
        <v>199.2</v>
      </c>
    </row>
    <row r="306" ht="15.75" customHeight="1">
      <c r="A306" s="15" t="s">
        <v>1294</v>
      </c>
      <c r="B306" s="16" t="s">
        <v>801</v>
      </c>
      <c r="C306" s="17">
        <v>162.5</v>
      </c>
      <c r="D306" s="17">
        <v>232.15</v>
      </c>
      <c r="E306" s="15" t="s">
        <v>1263</v>
      </c>
      <c r="F306" s="16" t="s">
        <v>801</v>
      </c>
      <c r="G306" s="15" t="s">
        <v>825</v>
      </c>
      <c r="H306" s="18">
        <v>0.0</v>
      </c>
      <c r="I306" s="16" t="s">
        <v>801</v>
      </c>
      <c r="J306" s="17">
        <v>260.01</v>
      </c>
    </row>
    <row r="307" ht="15.75" customHeight="1">
      <c r="A307" s="15" t="s">
        <v>1295</v>
      </c>
      <c r="B307" s="16" t="s">
        <v>801</v>
      </c>
      <c r="C307" s="17">
        <v>84.38</v>
      </c>
      <c r="D307" s="17">
        <v>140.64</v>
      </c>
      <c r="E307" s="15" t="s">
        <v>1296</v>
      </c>
      <c r="F307" s="16" t="s">
        <v>801</v>
      </c>
      <c r="G307" s="15" t="s">
        <v>825</v>
      </c>
      <c r="H307" s="18">
        <v>0.0</v>
      </c>
      <c r="I307" s="16" t="s">
        <v>801</v>
      </c>
      <c r="J307" s="17">
        <v>157.52</v>
      </c>
    </row>
    <row r="308" ht="15.75" customHeight="1">
      <c r="A308" s="15" t="s">
        <v>1297</v>
      </c>
      <c r="B308" s="16" t="s">
        <v>801</v>
      </c>
      <c r="C308" s="17">
        <v>154.91</v>
      </c>
      <c r="D308" s="17">
        <v>258.21</v>
      </c>
      <c r="E308" s="15" t="s">
        <v>1298</v>
      </c>
      <c r="F308" s="16" t="s">
        <v>801</v>
      </c>
      <c r="G308" s="15" t="s">
        <v>825</v>
      </c>
      <c r="H308" s="18">
        <v>0.0</v>
      </c>
      <c r="I308" s="16" t="s">
        <v>801</v>
      </c>
      <c r="J308" s="17">
        <v>289.2</v>
      </c>
    </row>
    <row r="309" ht="15.75" customHeight="1">
      <c r="A309" s="15" t="s">
        <v>1299</v>
      </c>
      <c r="B309" s="16" t="s">
        <v>801</v>
      </c>
      <c r="C309" s="17">
        <v>134.38</v>
      </c>
      <c r="D309" s="17">
        <v>215.01</v>
      </c>
      <c r="E309" s="15" t="s">
        <v>1300</v>
      </c>
      <c r="F309" s="16" t="s">
        <v>801</v>
      </c>
      <c r="G309" s="15" t="s">
        <v>825</v>
      </c>
      <c r="H309" s="18">
        <v>0.0</v>
      </c>
      <c r="I309" s="16" t="s">
        <v>801</v>
      </c>
      <c r="J309" s="17">
        <v>240.81</v>
      </c>
    </row>
    <row r="310" ht="15.75" customHeight="1">
      <c r="A310" s="15" t="s">
        <v>1301</v>
      </c>
      <c r="B310" s="16" t="s">
        <v>801</v>
      </c>
      <c r="C310" s="17">
        <v>95.0</v>
      </c>
      <c r="D310" s="17">
        <v>135.72</v>
      </c>
      <c r="E310" s="15" t="s">
        <v>886</v>
      </c>
      <c r="F310" s="16" t="s">
        <v>801</v>
      </c>
      <c r="G310" s="15" t="s">
        <v>825</v>
      </c>
      <c r="H310" s="18">
        <v>0.0</v>
      </c>
      <c r="I310" s="16" t="s">
        <v>801</v>
      </c>
      <c r="J310" s="17">
        <v>152.01</v>
      </c>
    </row>
    <row r="311" ht="15.75" customHeight="1">
      <c r="A311" s="15" t="s">
        <v>1302</v>
      </c>
      <c r="B311" s="16" t="s">
        <v>801</v>
      </c>
      <c r="C311" s="17">
        <v>255.5</v>
      </c>
      <c r="D311" s="17">
        <v>408.8</v>
      </c>
      <c r="E311" s="15" t="s">
        <v>1303</v>
      </c>
      <c r="F311" s="16" t="s">
        <v>801</v>
      </c>
      <c r="G311" s="15" t="s">
        <v>959</v>
      </c>
      <c r="H311" s="18">
        <v>0.0</v>
      </c>
      <c r="I311" s="16" t="s">
        <v>801</v>
      </c>
      <c r="J311" s="17">
        <v>429.24</v>
      </c>
    </row>
    <row r="312" ht="15.75" customHeight="1">
      <c r="A312" s="15" t="s">
        <v>1304</v>
      </c>
      <c r="B312" s="16" t="s">
        <v>801</v>
      </c>
      <c r="C312" s="17">
        <v>367.92</v>
      </c>
      <c r="D312" s="17">
        <v>425.87</v>
      </c>
      <c r="E312" s="15" t="s">
        <v>1303</v>
      </c>
      <c r="F312" s="16" t="s">
        <v>801</v>
      </c>
      <c r="G312" s="15" t="s">
        <v>959</v>
      </c>
      <c r="H312" s="18">
        <v>0.0</v>
      </c>
      <c r="I312" s="16" t="s">
        <v>801</v>
      </c>
      <c r="J312" s="17">
        <v>447.16</v>
      </c>
    </row>
    <row r="313" ht="15.75" customHeight="1">
      <c r="A313" s="15" t="s">
        <v>1305</v>
      </c>
      <c r="B313" s="16" t="s">
        <v>801</v>
      </c>
      <c r="C313" s="17">
        <v>131.23</v>
      </c>
      <c r="D313" s="17">
        <v>209.96</v>
      </c>
      <c r="E313" s="15" t="s">
        <v>1306</v>
      </c>
      <c r="F313" s="16" t="s">
        <v>801</v>
      </c>
      <c r="G313" s="15" t="s">
        <v>959</v>
      </c>
      <c r="H313" s="18">
        <v>0.0</v>
      </c>
      <c r="I313" s="16" t="s">
        <v>801</v>
      </c>
      <c r="J313" s="17">
        <v>220.46</v>
      </c>
    </row>
    <row r="314" ht="15.75" customHeight="1">
      <c r="A314" s="15" t="s">
        <v>1307</v>
      </c>
      <c r="B314" s="16" t="s">
        <v>801</v>
      </c>
      <c r="C314" s="17">
        <v>274.5</v>
      </c>
      <c r="D314" s="17">
        <v>372.22</v>
      </c>
      <c r="E314" s="15" t="s">
        <v>1308</v>
      </c>
      <c r="F314" s="16" t="s">
        <v>801</v>
      </c>
      <c r="G314" s="15" t="s">
        <v>855</v>
      </c>
      <c r="H314" s="18">
        <v>0.0</v>
      </c>
      <c r="I314" s="16" t="s">
        <v>801</v>
      </c>
      <c r="J314" s="17">
        <v>439.22</v>
      </c>
    </row>
    <row r="315" ht="15.75" customHeight="1">
      <c r="A315" s="15" t="s">
        <v>1309</v>
      </c>
      <c r="B315" s="16" t="s">
        <v>801</v>
      </c>
      <c r="C315" s="17">
        <v>131.31</v>
      </c>
      <c r="D315" s="17">
        <v>145.9</v>
      </c>
      <c r="E315" s="15" t="s">
        <v>1310</v>
      </c>
      <c r="F315" s="16" t="s">
        <v>801</v>
      </c>
      <c r="G315" s="15" t="s">
        <v>959</v>
      </c>
      <c r="H315" s="18">
        <v>0.0</v>
      </c>
      <c r="I315" s="16" t="s">
        <v>801</v>
      </c>
      <c r="J315" s="17">
        <v>153.2</v>
      </c>
    </row>
    <row r="316" ht="15.75" customHeight="1">
      <c r="A316" s="15" t="s">
        <v>1311</v>
      </c>
      <c r="B316" s="16" t="s">
        <v>801</v>
      </c>
      <c r="C316" s="17">
        <v>139.89</v>
      </c>
      <c r="D316" s="17">
        <v>155.43</v>
      </c>
      <c r="E316" s="15" t="s">
        <v>1312</v>
      </c>
      <c r="F316" s="16" t="s">
        <v>801</v>
      </c>
      <c r="G316" s="15" t="s">
        <v>959</v>
      </c>
      <c r="H316" s="18">
        <v>0.0</v>
      </c>
      <c r="I316" s="16" t="s">
        <v>801</v>
      </c>
      <c r="J316" s="17">
        <v>163.2</v>
      </c>
    </row>
    <row r="317" ht="15.75" customHeight="1">
      <c r="A317" s="15" t="s">
        <v>1313</v>
      </c>
      <c r="B317" s="16" t="s">
        <v>801</v>
      </c>
      <c r="C317" s="17">
        <v>116.07</v>
      </c>
      <c r="D317" s="17">
        <v>185.72</v>
      </c>
      <c r="E317" s="15" t="s">
        <v>1214</v>
      </c>
      <c r="F317" s="16" t="s">
        <v>801</v>
      </c>
      <c r="G317" s="15" t="s">
        <v>825</v>
      </c>
      <c r="H317" s="18">
        <v>0.0</v>
      </c>
      <c r="I317" s="16" t="s">
        <v>801</v>
      </c>
      <c r="J317" s="17">
        <v>208.01</v>
      </c>
    </row>
    <row r="318" ht="15.75" customHeight="1">
      <c r="A318" s="15" t="s">
        <v>1314</v>
      </c>
      <c r="B318" s="16" t="s">
        <v>801</v>
      </c>
      <c r="C318" s="17">
        <v>129.98</v>
      </c>
      <c r="D318" s="17">
        <v>182.0</v>
      </c>
      <c r="E318" s="15" t="s">
        <v>1214</v>
      </c>
      <c r="F318" s="16" t="s">
        <v>801</v>
      </c>
      <c r="G318" s="15" t="s">
        <v>855</v>
      </c>
      <c r="H318" s="18">
        <v>0.0</v>
      </c>
      <c r="I318" s="16" t="s">
        <v>801</v>
      </c>
      <c r="J318" s="17">
        <v>214.76</v>
      </c>
    </row>
    <row r="319" ht="15.75" customHeight="1">
      <c r="A319" s="15" t="s">
        <v>1315</v>
      </c>
      <c r="B319" s="16" t="s">
        <v>801</v>
      </c>
      <c r="C319" s="17">
        <v>54.99</v>
      </c>
      <c r="D319" s="17">
        <v>77.0</v>
      </c>
      <c r="E319" s="15" t="s">
        <v>1212</v>
      </c>
      <c r="F319" s="16" t="s">
        <v>801</v>
      </c>
      <c r="G319" s="15" t="s">
        <v>855</v>
      </c>
      <c r="H319" s="18">
        <v>0.0</v>
      </c>
      <c r="I319" s="16" t="s">
        <v>801</v>
      </c>
      <c r="J319" s="17">
        <v>90.86</v>
      </c>
    </row>
    <row r="320" ht="15.75" customHeight="1">
      <c r="A320" s="15" t="s">
        <v>1316</v>
      </c>
      <c r="B320" s="16" t="s">
        <v>801</v>
      </c>
      <c r="C320" s="17">
        <v>124.99</v>
      </c>
      <c r="D320" s="17">
        <v>169.5</v>
      </c>
      <c r="E320" s="15" t="s">
        <v>876</v>
      </c>
      <c r="F320" s="16" t="s">
        <v>801</v>
      </c>
      <c r="G320" s="15" t="s">
        <v>855</v>
      </c>
      <c r="H320" s="18">
        <v>0.0</v>
      </c>
      <c r="I320" s="16" t="s">
        <v>801</v>
      </c>
      <c r="J320" s="17">
        <v>200.01</v>
      </c>
    </row>
    <row r="321" ht="15.75" customHeight="1">
      <c r="A321" s="15" t="s">
        <v>1317</v>
      </c>
      <c r="B321" s="16" t="s">
        <v>801</v>
      </c>
      <c r="C321" s="17">
        <v>224.99</v>
      </c>
      <c r="D321" s="17">
        <v>315.0</v>
      </c>
      <c r="E321" s="15" t="s">
        <v>1318</v>
      </c>
      <c r="F321" s="16" t="s">
        <v>801</v>
      </c>
      <c r="G321" s="15" t="s">
        <v>855</v>
      </c>
      <c r="H321" s="18">
        <v>0.0</v>
      </c>
      <c r="I321" s="16" t="s">
        <v>801</v>
      </c>
      <c r="J321" s="17">
        <v>371.7</v>
      </c>
    </row>
    <row r="322" ht="15.75" customHeight="1">
      <c r="A322" s="15" t="s">
        <v>1319</v>
      </c>
      <c r="B322" s="16" t="s">
        <v>801</v>
      </c>
      <c r="C322" s="17">
        <v>98.21</v>
      </c>
      <c r="D322" s="17">
        <v>163.71</v>
      </c>
      <c r="E322" s="15" t="s">
        <v>1320</v>
      </c>
      <c r="F322" s="16" t="s">
        <v>801</v>
      </c>
      <c r="G322" s="15" t="s">
        <v>825</v>
      </c>
      <c r="H322" s="18">
        <v>0.0</v>
      </c>
      <c r="I322" s="16" t="s">
        <v>801</v>
      </c>
      <c r="J322" s="17">
        <v>183.36</v>
      </c>
    </row>
    <row r="323" ht="15.75" customHeight="1">
      <c r="A323" s="15" t="s">
        <v>1321</v>
      </c>
      <c r="B323" s="16" t="s">
        <v>801</v>
      </c>
      <c r="C323" s="17">
        <v>98.21</v>
      </c>
      <c r="D323" s="17">
        <v>157.15</v>
      </c>
      <c r="E323" s="15" t="s">
        <v>1320</v>
      </c>
      <c r="F323" s="16" t="s">
        <v>801</v>
      </c>
      <c r="G323" s="15" t="s">
        <v>825</v>
      </c>
      <c r="H323" s="18">
        <v>0.0</v>
      </c>
      <c r="I323" s="16" t="s">
        <v>801</v>
      </c>
      <c r="J323" s="17">
        <v>176.01</v>
      </c>
    </row>
    <row r="324" ht="15.75" customHeight="1">
      <c r="A324" s="15" t="s">
        <v>1322</v>
      </c>
      <c r="B324" s="16" t="s">
        <v>801</v>
      </c>
      <c r="C324" s="17">
        <v>162.95</v>
      </c>
      <c r="D324" s="17">
        <v>271.61</v>
      </c>
      <c r="E324" s="15" t="s">
        <v>1323</v>
      </c>
      <c r="F324" s="16" t="s">
        <v>801</v>
      </c>
      <c r="G324" s="15" t="s">
        <v>825</v>
      </c>
      <c r="H324" s="18">
        <v>0.0</v>
      </c>
      <c r="I324" s="16" t="s">
        <v>801</v>
      </c>
      <c r="J324" s="17">
        <v>304.2</v>
      </c>
    </row>
    <row r="325" ht="15.75" customHeight="1">
      <c r="A325" s="15" t="s">
        <v>1324</v>
      </c>
      <c r="B325" s="16" t="s">
        <v>801</v>
      </c>
      <c r="C325" s="17">
        <v>62.5</v>
      </c>
      <c r="D325" s="17">
        <v>100.0</v>
      </c>
      <c r="E325" s="15" t="s">
        <v>1235</v>
      </c>
      <c r="F325" s="16" t="s">
        <v>801</v>
      </c>
      <c r="G325" s="15" t="s">
        <v>825</v>
      </c>
      <c r="H325" s="18">
        <v>0.0</v>
      </c>
      <c r="I325" s="16" t="s">
        <v>801</v>
      </c>
      <c r="J325" s="17">
        <v>112.0</v>
      </c>
    </row>
    <row r="326" ht="15.75" customHeight="1">
      <c r="A326" s="15" t="s">
        <v>1325</v>
      </c>
      <c r="B326" s="16" t="s">
        <v>801</v>
      </c>
      <c r="C326" s="17">
        <v>62.5</v>
      </c>
      <c r="D326" s="17">
        <v>116.67</v>
      </c>
      <c r="E326" s="15" t="s">
        <v>1235</v>
      </c>
      <c r="F326" s="16" t="s">
        <v>801</v>
      </c>
      <c r="G326" s="15" t="s">
        <v>825</v>
      </c>
      <c r="H326" s="18">
        <v>0.0</v>
      </c>
      <c r="I326" s="16" t="s">
        <v>801</v>
      </c>
      <c r="J326" s="17">
        <v>130.67</v>
      </c>
    </row>
    <row r="327" ht="15.75" customHeight="1">
      <c r="A327" s="15" t="s">
        <v>1326</v>
      </c>
      <c r="B327" s="16" t="s">
        <v>801</v>
      </c>
      <c r="C327" s="17">
        <v>78.45</v>
      </c>
      <c r="D327" s="17">
        <v>87.16</v>
      </c>
      <c r="E327" s="15" t="s">
        <v>1327</v>
      </c>
      <c r="F327" s="16" t="s">
        <v>801</v>
      </c>
      <c r="G327" s="15" t="s">
        <v>825</v>
      </c>
      <c r="H327" s="18">
        <v>0.0</v>
      </c>
      <c r="I327" s="16" t="s">
        <v>801</v>
      </c>
      <c r="J327" s="17">
        <v>97.62</v>
      </c>
    </row>
    <row r="328" ht="15.75" customHeight="1">
      <c r="A328" s="15" t="s">
        <v>1328</v>
      </c>
      <c r="B328" s="16" t="s">
        <v>801</v>
      </c>
      <c r="C328" s="17">
        <v>141.91</v>
      </c>
      <c r="D328" s="17">
        <v>157.68</v>
      </c>
      <c r="E328" s="15" t="s">
        <v>1329</v>
      </c>
      <c r="F328" s="16" t="s">
        <v>801</v>
      </c>
      <c r="G328" s="15" t="s">
        <v>825</v>
      </c>
      <c r="H328" s="18">
        <v>0.0</v>
      </c>
      <c r="I328" s="16" t="s">
        <v>801</v>
      </c>
      <c r="J328" s="17">
        <v>176.6</v>
      </c>
    </row>
    <row r="329" ht="15.75" customHeight="1">
      <c r="A329" s="15" t="s">
        <v>1330</v>
      </c>
      <c r="B329" s="16" t="s">
        <v>801</v>
      </c>
      <c r="C329" s="17">
        <v>20.0</v>
      </c>
      <c r="D329" s="17">
        <v>25.0</v>
      </c>
      <c r="E329" s="15" t="s">
        <v>1331</v>
      </c>
      <c r="F329" s="16" t="s">
        <v>801</v>
      </c>
      <c r="G329" s="15" t="s">
        <v>825</v>
      </c>
      <c r="H329" s="18">
        <v>0.0</v>
      </c>
      <c r="I329" s="16" t="s">
        <v>801</v>
      </c>
      <c r="J329" s="17">
        <v>28.0</v>
      </c>
    </row>
    <row r="330" ht="15.75" customHeight="1">
      <c r="A330" s="12" t="s">
        <v>804</v>
      </c>
      <c r="B330" s="13"/>
      <c r="C330" s="13"/>
      <c r="D330" s="13"/>
      <c r="E330" s="13"/>
      <c r="F330" s="13"/>
      <c r="G330" s="13"/>
      <c r="H330" s="13"/>
      <c r="I330" s="13"/>
      <c r="J330" s="13"/>
    </row>
    <row r="331" ht="15.75" customHeight="1">
      <c r="A331" s="14" t="s">
        <v>765</v>
      </c>
    </row>
    <row r="332" ht="15.75" customHeight="1">
      <c r="A332" s="14" t="s">
        <v>804</v>
      </c>
    </row>
    <row r="333" ht="15.75" customHeight="1">
      <c r="A333" s="15" t="s">
        <v>1332</v>
      </c>
      <c r="B333" s="16" t="s">
        <v>801</v>
      </c>
      <c r="C333" s="17">
        <v>11.66</v>
      </c>
      <c r="D333" s="17">
        <v>12.96</v>
      </c>
      <c r="E333" s="15" t="s">
        <v>1333</v>
      </c>
      <c r="F333" s="16" t="s">
        <v>801</v>
      </c>
      <c r="G333" s="15" t="s">
        <v>825</v>
      </c>
      <c r="H333" s="18">
        <v>0.0</v>
      </c>
      <c r="I333" s="16" t="s">
        <v>801</v>
      </c>
      <c r="J333" s="17">
        <v>14.52</v>
      </c>
    </row>
    <row r="334" ht="15.75" customHeight="1">
      <c r="A334" s="15" t="s">
        <v>1334</v>
      </c>
      <c r="B334" s="16" t="s">
        <v>801</v>
      </c>
      <c r="C334" s="17">
        <v>43.2</v>
      </c>
      <c r="D334" s="17">
        <v>43.2</v>
      </c>
      <c r="E334" s="15" t="s">
        <v>1335</v>
      </c>
      <c r="F334" s="16" t="s">
        <v>801</v>
      </c>
      <c r="G334" s="15" t="s">
        <v>825</v>
      </c>
      <c r="H334" s="18">
        <v>0.0</v>
      </c>
      <c r="I334" s="16" t="s">
        <v>801</v>
      </c>
      <c r="J334" s="17">
        <v>48.38</v>
      </c>
    </row>
    <row r="335" ht="15.75" customHeight="1">
      <c r="A335" s="15" t="s">
        <v>1336</v>
      </c>
      <c r="B335" s="16" t="s">
        <v>801</v>
      </c>
      <c r="C335" s="17">
        <v>143.28</v>
      </c>
      <c r="D335" s="17">
        <v>149.26</v>
      </c>
      <c r="E335" s="15" t="s">
        <v>1337</v>
      </c>
      <c r="F335" s="16" t="s">
        <v>801</v>
      </c>
      <c r="G335" s="15" t="s">
        <v>825</v>
      </c>
      <c r="H335" s="18">
        <v>0.0</v>
      </c>
      <c r="I335" s="16" t="s">
        <v>801</v>
      </c>
      <c r="J335" s="17">
        <v>167.17</v>
      </c>
    </row>
    <row r="336" ht="15.75" customHeight="1">
      <c r="A336" s="15" t="s">
        <v>1338</v>
      </c>
      <c r="B336" s="16" t="s">
        <v>801</v>
      </c>
      <c r="C336" s="17">
        <v>26.0</v>
      </c>
      <c r="D336" s="17">
        <v>26.49</v>
      </c>
      <c r="E336" s="15" t="s">
        <v>1339</v>
      </c>
      <c r="F336" s="16" t="s">
        <v>801</v>
      </c>
      <c r="G336" s="15" t="s">
        <v>825</v>
      </c>
      <c r="H336" s="18">
        <v>0.0</v>
      </c>
      <c r="I336" s="16" t="s">
        <v>801</v>
      </c>
      <c r="J336" s="17">
        <v>29.67</v>
      </c>
    </row>
    <row r="337" ht="15.75" customHeight="1">
      <c r="A337" s="15" t="s">
        <v>1340</v>
      </c>
      <c r="B337" s="16" t="s">
        <v>801</v>
      </c>
      <c r="C337" s="17">
        <v>6.13</v>
      </c>
      <c r="D337" s="17">
        <v>6.13</v>
      </c>
      <c r="E337" s="15" t="s">
        <v>1341</v>
      </c>
      <c r="F337" s="16" t="s">
        <v>801</v>
      </c>
      <c r="G337" s="15" t="s">
        <v>825</v>
      </c>
      <c r="H337" s="18">
        <v>0.0</v>
      </c>
      <c r="I337" s="16" t="s">
        <v>801</v>
      </c>
      <c r="J337" s="17">
        <v>6.87</v>
      </c>
    </row>
    <row r="338" ht="15.75" customHeight="1">
      <c r="A338" s="15" t="s">
        <v>1342</v>
      </c>
      <c r="B338" s="16" t="s">
        <v>801</v>
      </c>
      <c r="C338" s="17">
        <v>150.59</v>
      </c>
      <c r="D338" s="17">
        <v>167.32</v>
      </c>
      <c r="E338" s="15" t="s">
        <v>1343</v>
      </c>
      <c r="F338" s="16" t="s">
        <v>801</v>
      </c>
      <c r="G338" s="15" t="s">
        <v>825</v>
      </c>
      <c r="H338" s="18">
        <v>0.0</v>
      </c>
      <c r="I338" s="16" t="s">
        <v>801</v>
      </c>
      <c r="J338" s="17">
        <v>187.4</v>
      </c>
    </row>
    <row r="339" ht="15.75" customHeight="1">
      <c r="A339" s="12" t="s">
        <v>804</v>
      </c>
      <c r="B339" s="13"/>
      <c r="C339" s="13"/>
      <c r="D339" s="13"/>
      <c r="E339" s="13"/>
      <c r="F339" s="13"/>
      <c r="G339" s="13"/>
      <c r="H339" s="13"/>
      <c r="I339" s="13"/>
      <c r="J339" s="13"/>
    </row>
    <row r="340" ht="15.75" customHeight="1">
      <c r="A340" s="14" t="s">
        <v>775</v>
      </c>
    </row>
    <row r="341" ht="15.75" customHeight="1">
      <c r="A341" s="14" t="s">
        <v>804</v>
      </c>
    </row>
    <row r="342" ht="15.75" customHeight="1">
      <c r="A342" s="15" t="s">
        <v>1344</v>
      </c>
      <c r="B342" s="16" t="s">
        <v>801</v>
      </c>
      <c r="C342" s="17">
        <v>169.54</v>
      </c>
      <c r="D342" s="17">
        <v>176.36</v>
      </c>
      <c r="E342" s="15" t="s">
        <v>1345</v>
      </c>
      <c r="F342" s="16" t="s">
        <v>801</v>
      </c>
      <c r="G342" s="15" t="s">
        <v>825</v>
      </c>
      <c r="H342" s="18">
        <v>0.0</v>
      </c>
      <c r="I342" s="16" t="s">
        <v>801</v>
      </c>
      <c r="J342" s="17">
        <v>197.52</v>
      </c>
    </row>
    <row r="343" ht="15.75" customHeight="1">
      <c r="A343" s="15" t="s">
        <v>1346</v>
      </c>
      <c r="B343" s="16" t="s">
        <v>801</v>
      </c>
      <c r="C343" s="17">
        <v>97.84</v>
      </c>
      <c r="D343" s="17">
        <v>103.19</v>
      </c>
      <c r="E343" s="15" t="s">
        <v>1347</v>
      </c>
      <c r="F343" s="16" t="s">
        <v>801</v>
      </c>
      <c r="G343" s="15" t="s">
        <v>855</v>
      </c>
      <c r="H343" s="18">
        <v>0.0</v>
      </c>
      <c r="I343" s="16" t="s">
        <v>801</v>
      </c>
      <c r="J343" s="17">
        <v>121.76</v>
      </c>
    </row>
    <row r="344" ht="15.75" customHeight="1">
      <c r="A344" s="12" t="s">
        <v>804</v>
      </c>
      <c r="B344" s="13"/>
      <c r="C344" s="13"/>
      <c r="D344" s="13"/>
      <c r="E344" s="13"/>
      <c r="F344" s="13"/>
      <c r="G344" s="13"/>
      <c r="H344" s="13"/>
      <c r="I344" s="13"/>
      <c r="J344" s="13"/>
    </row>
    <row r="345" ht="15.75" customHeight="1">
      <c r="A345" s="14" t="s">
        <v>787</v>
      </c>
    </row>
    <row r="346" ht="15.75" customHeight="1">
      <c r="A346" s="14" t="s">
        <v>804</v>
      </c>
    </row>
    <row r="347" ht="15.75" customHeight="1">
      <c r="A347" s="15" t="s">
        <v>1348</v>
      </c>
      <c r="B347" s="16" t="s">
        <v>801</v>
      </c>
      <c r="C347" s="17">
        <v>112.0</v>
      </c>
      <c r="D347" s="17">
        <v>118.64</v>
      </c>
      <c r="E347" s="15" t="s">
        <v>1349</v>
      </c>
      <c r="F347" s="16" t="s">
        <v>801</v>
      </c>
      <c r="G347" s="15" t="s">
        <v>855</v>
      </c>
      <c r="H347" s="18">
        <v>0.0</v>
      </c>
      <c r="I347" s="16" t="s">
        <v>801</v>
      </c>
      <c r="J347" s="17">
        <v>140.0</v>
      </c>
    </row>
    <row r="348" ht="15.75" customHeight="1">
      <c r="A348" s="12" t="s">
        <v>804</v>
      </c>
      <c r="B348" s="13"/>
      <c r="C348" s="13"/>
      <c r="D348" s="13"/>
      <c r="E348" s="13"/>
      <c r="F348" s="13"/>
      <c r="G348" s="13"/>
      <c r="H348" s="13"/>
      <c r="I348" s="13"/>
      <c r="J348" s="13"/>
    </row>
    <row r="349" ht="15.75" customHeight="1">
      <c r="A349" s="14" t="s">
        <v>788</v>
      </c>
    </row>
    <row r="350" ht="15.75" customHeight="1">
      <c r="A350" s="14" t="s">
        <v>804</v>
      </c>
    </row>
    <row r="351" ht="15.75" customHeight="1">
      <c r="A351" s="15" t="s">
        <v>1350</v>
      </c>
      <c r="B351" s="16" t="s">
        <v>801</v>
      </c>
      <c r="C351" s="17">
        <v>76.79</v>
      </c>
      <c r="D351" s="17">
        <v>79.99</v>
      </c>
      <c r="E351" s="15" t="s">
        <v>1351</v>
      </c>
      <c r="F351" s="16" t="s">
        <v>801</v>
      </c>
      <c r="G351" s="15" t="s">
        <v>825</v>
      </c>
      <c r="H351" s="18">
        <v>0.0</v>
      </c>
      <c r="I351" s="16" t="s">
        <v>801</v>
      </c>
      <c r="J351" s="17">
        <v>89.59</v>
      </c>
    </row>
    <row r="352" ht="15.75" customHeight="1">
      <c r="A352" s="12" t="s">
        <v>804</v>
      </c>
      <c r="B352" s="13"/>
      <c r="C352" s="13"/>
      <c r="D352" s="13"/>
      <c r="E352" s="13"/>
      <c r="F352" s="13"/>
      <c r="G352" s="13"/>
      <c r="H352" s="13"/>
      <c r="I352" s="13"/>
      <c r="J352" s="13"/>
    </row>
    <row r="353" ht="15.75" customHeight="1">
      <c r="A353" s="14" t="s">
        <v>761</v>
      </c>
    </row>
    <row r="354" ht="15.75" customHeight="1">
      <c r="A354" s="14" t="s">
        <v>804</v>
      </c>
    </row>
    <row r="355" ht="15.75" customHeight="1">
      <c r="A355" s="15" t="s">
        <v>1352</v>
      </c>
      <c r="B355" s="16" t="s">
        <v>801</v>
      </c>
      <c r="C355" s="17">
        <v>44.69</v>
      </c>
      <c r="D355" s="17">
        <v>44.69</v>
      </c>
      <c r="E355" s="15" t="s">
        <v>1353</v>
      </c>
      <c r="F355" s="16" t="s">
        <v>801</v>
      </c>
      <c r="G355" s="15" t="s">
        <v>825</v>
      </c>
      <c r="H355" s="18">
        <v>0.0</v>
      </c>
      <c r="I355" s="16" t="s">
        <v>801</v>
      </c>
      <c r="J355" s="17">
        <v>50.05</v>
      </c>
    </row>
    <row r="356" ht="15.75" customHeight="1">
      <c r="A356" s="15" t="s">
        <v>1354</v>
      </c>
      <c r="B356" s="16" t="s">
        <v>801</v>
      </c>
      <c r="C356" s="17">
        <v>37.81</v>
      </c>
      <c r="D356" s="17">
        <v>37.81</v>
      </c>
      <c r="E356" s="15" t="s">
        <v>1355</v>
      </c>
      <c r="F356" s="16" t="s">
        <v>801</v>
      </c>
      <c r="G356" s="15" t="s">
        <v>825</v>
      </c>
      <c r="H356" s="18">
        <v>0.0</v>
      </c>
      <c r="I356" s="16" t="s">
        <v>801</v>
      </c>
      <c r="J356" s="17">
        <v>42.35</v>
      </c>
    </row>
    <row r="357" ht="15.75" customHeight="1">
      <c r="A357" s="15" t="s">
        <v>1356</v>
      </c>
      <c r="B357" s="16" t="s">
        <v>801</v>
      </c>
      <c r="C357" s="17">
        <v>55.0</v>
      </c>
      <c r="D357" s="17">
        <v>57.14</v>
      </c>
      <c r="E357" s="15" t="s">
        <v>1357</v>
      </c>
      <c r="F357" s="16" t="s">
        <v>801</v>
      </c>
      <c r="G357" s="15" t="s">
        <v>825</v>
      </c>
      <c r="H357" s="18">
        <v>0.0</v>
      </c>
      <c r="I357" s="16" t="s">
        <v>801</v>
      </c>
      <c r="J357" s="17">
        <v>64.0</v>
      </c>
    </row>
    <row r="358" ht="15.75" customHeight="1">
      <c r="A358" s="15" t="s">
        <v>1358</v>
      </c>
      <c r="B358" s="16" t="s">
        <v>801</v>
      </c>
      <c r="C358" s="17">
        <v>92.81</v>
      </c>
      <c r="D358" s="17">
        <v>96.43</v>
      </c>
      <c r="E358" s="15" t="s">
        <v>1359</v>
      </c>
      <c r="F358" s="16" t="s">
        <v>801</v>
      </c>
      <c r="G358" s="15" t="s">
        <v>825</v>
      </c>
      <c r="H358" s="18">
        <v>0.0</v>
      </c>
      <c r="I358" s="16" t="s">
        <v>801</v>
      </c>
      <c r="J358" s="17">
        <v>108.0</v>
      </c>
    </row>
    <row r="359" ht="15.75" customHeight="1">
      <c r="A359" s="15" t="s">
        <v>1360</v>
      </c>
      <c r="B359" s="16" t="s">
        <v>801</v>
      </c>
      <c r="C359" s="17">
        <v>82.5</v>
      </c>
      <c r="D359" s="17">
        <v>85.5</v>
      </c>
      <c r="E359" s="15" t="s">
        <v>936</v>
      </c>
      <c r="F359" s="16" t="s">
        <v>801</v>
      </c>
      <c r="G359" s="15" t="s">
        <v>825</v>
      </c>
      <c r="H359" s="18">
        <v>0.0</v>
      </c>
      <c r="I359" s="16" t="s">
        <v>801</v>
      </c>
      <c r="J359" s="17">
        <v>95.76</v>
      </c>
    </row>
    <row r="360" ht="15.75" customHeight="1">
      <c r="A360" s="15" t="s">
        <v>1361</v>
      </c>
      <c r="B360" s="16" t="s">
        <v>801</v>
      </c>
      <c r="C360" s="17">
        <v>58.43</v>
      </c>
      <c r="D360" s="17">
        <v>60.71</v>
      </c>
      <c r="E360" s="15" t="s">
        <v>914</v>
      </c>
      <c r="F360" s="16" t="s">
        <v>801</v>
      </c>
      <c r="G360" s="15" t="s">
        <v>825</v>
      </c>
      <c r="H360" s="18">
        <v>0.0</v>
      </c>
      <c r="I360" s="16" t="s">
        <v>801</v>
      </c>
      <c r="J360" s="17">
        <v>68.0</v>
      </c>
    </row>
    <row r="361" ht="15.75" customHeight="1">
      <c r="A361" s="15" t="s">
        <v>1362</v>
      </c>
      <c r="B361" s="16" t="s">
        <v>801</v>
      </c>
      <c r="C361" s="17">
        <v>92.81</v>
      </c>
      <c r="D361" s="17">
        <v>96.43</v>
      </c>
      <c r="E361" s="15" t="s">
        <v>1359</v>
      </c>
      <c r="F361" s="16" t="s">
        <v>801</v>
      </c>
      <c r="G361" s="15" t="s">
        <v>825</v>
      </c>
      <c r="H361" s="18">
        <v>0.0</v>
      </c>
      <c r="I361" s="16" t="s">
        <v>801</v>
      </c>
      <c r="J361" s="17">
        <v>108.0</v>
      </c>
    </row>
    <row r="362" ht="15.75" customHeight="1">
      <c r="A362" s="15" t="s">
        <v>1363</v>
      </c>
      <c r="B362" s="16" t="s">
        <v>801</v>
      </c>
      <c r="C362" s="17">
        <v>51.57</v>
      </c>
      <c r="D362" s="17">
        <v>53.57</v>
      </c>
      <c r="E362" s="15" t="s">
        <v>910</v>
      </c>
      <c r="F362" s="16" t="s">
        <v>801</v>
      </c>
      <c r="G362" s="15" t="s">
        <v>825</v>
      </c>
      <c r="H362" s="18">
        <v>0.0</v>
      </c>
      <c r="I362" s="16" t="s">
        <v>801</v>
      </c>
      <c r="J362" s="17">
        <v>60.0</v>
      </c>
    </row>
    <row r="363" ht="15.75" customHeight="1">
      <c r="A363" s="12" t="s">
        <v>804</v>
      </c>
      <c r="B363" s="13"/>
      <c r="C363" s="13"/>
      <c r="D363" s="13"/>
      <c r="E363" s="13"/>
      <c r="F363" s="13"/>
      <c r="G363" s="13"/>
      <c r="H363" s="13"/>
      <c r="I363" s="13"/>
      <c r="J363" s="13"/>
    </row>
    <row r="364" ht="15.75" customHeight="1">
      <c r="A364" s="14" t="s">
        <v>776</v>
      </c>
    </row>
    <row r="365" ht="15.75" customHeight="1">
      <c r="A365" s="14" t="s">
        <v>804</v>
      </c>
    </row>
    <row r="366" ht="15.75" customHeight="1">
      <c r="A366" s="15" t="s">
        <v>1364</v>
      </c>
      <c r="B366" s="16" t="s">
        <v>801</v>
      </c>
      <c r="C366" s="17">
        <v>15.5</v>
      </c>
      <c r="D366" s="17">
        <v>17.0</v>
      </c>
      <c r="E366" s="15" t="s">
        <v>1365</v>
      </c>
      <c r="F366" s="16" t="s">
        <v>801</v>
      </c>
      <c r="G366" s="15" t="s">
        <v>825</v>
      </c>
      <c r="H366" s="18">
        <v>0.0</v>
      </c>
      <c r="I366" s="16" t="s">
        <v>801</v>
      </c>
      <c r="J366" s="17">
        <v>19.04</v>
      </c>
    </row>
    <row r="367" ht="15.75" customHeight="1">
      <c r="A367" s="15" t="s">
        <v>1366</v>
      </c>
      <c r="B367" s="16" t="s">
        <v>801</v>
      </c>
      <c r="C367" s="17">
        <v>2.15</v>
      </c>
      <c r="D367" s="17">
        <v>2.47</v>
      </c>
      <c r="E367" s="15" t="s">
        <v>1367</v>
      </c>
      <c r="F367" s="16" t="s">
        <v>801</v>
      </c>
      <c r="G367" s="15" t="s">
        <v>825</v>
      </c>
      <c r="H367" s="18">
        <v>0.0</v>
      </c>
      <c r="I367" s="16" t="s">
        <v>801</v>
      </c>
      <c r="J367" s="17">
        <v>2.77</v>
      </c>
    </row>
    <row r="368" ht="15.75" customHeight="1">
      <c r="A368" s="12" t="s">
        <v>804</v>
      </c>
      <c r="B368" s="13"/>
      <c r="C368" s="13"/>
      <c r="D368" s="13"/>
      <c r="E368" s="13"/>
      <c r="F368" s="13"/>
      <c r="G368" s="13"/>
      <c r="H368" s="13"/>
      <c r="I368" s="13"/>
      <c r="J368" s="13"/>
    </row>
    <row r="369" ht="15.75" customHeight="1">
      <c r="A369" s="14" t="s">
        <v>753</v>
      </c>
    </row>
    <row r="370" ht="15.75" customHeight="1">
      <c r="A370" s="14" t="s">
        <v>804</v>
      </c>
    </row>
    <row r="371" ht="15.75" customHeight="1">
      <c r="A371" s="15" t="s">
        <v>1368</v>
      </c>
      <c r="B371" s="16" t="s">
        <v>801</v>
      </c>
      <c r="C371" s="17">
        <v>205.09</v>
      </c>
      <c r="D371" s="17">
        <v>298.32</v>
      </c>
      <c r="E371" s="15" t="s">
        <v>1369</v>
      </c>
      <c r="F371" s="16" t="s">
        <v>801</v>
      </c>
      <c r="G371" s="15" t="s">
        <v>855</v>
      </c>
      <c r="H371" s="18">
        <v>0.0</v>
      </c>
      <c r="I371" s="16" t="s">
        <v>801</v>
      </c>
      <c r="J371" s="17">
        <v>352.02</v>
      </c>
    </row>
    <row r="372" ht="15.75" customHeight="1">
      <c r="A372" s="15" t="s">
        <v>1370</v>
      </c>
      <c r="B372" s="16" t="s">
        <v>801</v>
      </c>
      <c r="C372" s="17">
        <v>230.1</v>
      </c>
      <c r="D372" s="17">
        <v>334.7</v>
      </c>
      <c r="E372" s="15" t="s">
        <v>1371</v>
      </c>
      <c r="F372" s="16" t="s">
        <v>801</v>
      </c>
      <c r="G372" s="15" t="s">
        <v>855</v>
      </c>
      <c r="H372" s="18">
        <v>0.0</v>
      </c>
      <c r="I372" s="16" t="s">
        <v>801</v>
      </c>
      <c r="J372" s="17">
        <v>394.95</v>
      </c>
    </row>
    <row r="373" ht="15.75" customHeight="1">
      <c r="A373" s="15" t="s">
        <v>1372</v>
      </c>
      <c r="B373" s="16" t="s">
        <v>801</v>
      </c>
      <c r="C373" s="17">
        <v>68.75</v>
      </c>
      <c r="D373" s="17">
        <v>114.59</v>
      </c>
      <c r="E373" s="15" t="s">
        <v>1373</v>
      </c>
      <c r="F373" s="16" t="s">
        <v>801</v>
      </c>
      <c r="G373" s="15" t="s">
        <v>825</v>
      </c>
      <c r="H373" s="18">
        <v>0.0</v>
      </c>
      <c r="I373" s="16" t="s">
        <v>801</v>
      </c>
      <c r="J373" s="17">
        <v>128.34</v>
      </c>
    </row>
    <row r="374" ht="15.75" customHeight="1">
      <c r="A374" s="15" t="s">
        <v>1374</v>
      </c>
      <c r="B374" s="16" t="s">
        <v>801</v>
      </c>
      <c r="C374" s="17">
        <v>110.0</v>
      </c>
      <c r="D374" s="17">
        <v>110.0</v>
      </c>
      <c r="E374" s="15" t="s">
        <v>1373</v>
      </c>
      <c r="F374" s="16" t="s">
        <v>801</v>
      </c>
      <c r="G374" s="15" t="s">
        <v>825</v>
      </c>
      <c r="H374" s="18">
        <v>0.0</v>
      </c>
      <c r="I374" s="16" t="s">
        <v>801</v>
      </c>
      <c r="J374" s="17">
        <v>123.2</v>
      </c>
    </row>
    <row r="375" ht="15.75" customHeight="1">
      <c r="A375" s="15" t="s">
        <v>1375</v>
      </c>
      <c r="B375" s="16" t="s">
        <v>801</v>
      </c>
      <c r="C375" s="17">
        <v>116.07</v>
      </c>
      <c r="D375" s="17">
        <v>193.47</v>
      </c>
      <c r="E375" s="15" t="s">
        <v>1214</v>
      </c>
      <c r="F375" s="16" t="s">
        <v>801</v>
      </c>
      <c r="G375" s="15" t="s">
        <v>825</v>
      </c>
      <c r="H375" s="18">
        <v>0.0</v>
      </c>
      <c r="I375" s="16" t="s">
        <v>801</v>
      </c>
      <c r="J375" s="17">
        <v>216.69</v>
      </c>
    </row>
    <row r="376" ht="15.75" customHeight="1">
      <c r="A376" s="15" t="s">
        <v>1376</v>
      </c>
      <c r="B376" s="16" t="s">
        <v>801</v>
      </c>
      <c r="C376" s="17">
        <v>171.43</v>
      </c>
      <c r="D376" s="17">
        <v>171.43</v>
      </c>
      <c r="E376" s="15" t="s">
        <v>1377</v>
      </c>
      <c r="F376" s="16" t="s">
        <v>801</v>
      </c>
      <c r="G376" s="15" t="s">
        <v>825</v>
      </c>
      <c r="H376" s="18">
        <v>0.0</v>
      </c>
      <c r="I376" s="16" t="s">
        <v>801</v>
      </c>
      <c r="J376" s="17">
        <v>192.0</v>
      </c>
    </row>
    <row r="377" ht="15.75" customHeight="1">
      <c r="A377" s="15" t="s">
        <v>1378</v>
      </c>
      <c r="B377" s="16" t="s">
        <v>801</v>
      </c>
      <c r="C377" s="17">
        <v>185.71</v>
      </c>
      <c r="D377" s="17">
        <v>185.71</v>
      </c>
      <c r="E377" s="15" t="s">
        <v>1214</v>
      </c>
      <c r="F377" s="16" t="s">
        <v>801</v>
      </c>
      <c r="G377" s="15" t="s">
        <v>825</v>
      </c>
      <c r="H377" s="18">
        <v>0.0</v>
      </c>
      <c r="I377" s="16" t="s">
        <v>801</v>
      </c>
      <c r="J377" s="17">
        <v>208.0</v>
      </c>
    </row>
    <row r="378" ht="15.75" customHeight="1">
      <c r="A378" s="15" t="s">
        <v>1379</v>
      </c>
      <c r="B378" s="16" t="s">
        <v>801</v>
      </c>
      <c r="C378" s="17">
        <v>68.75</v>
      </c>
      <c r="D378" s="17">
        <v>114.59</v>
      </c>
      <c r="E378" s="15" t="s">
        <v>1373</v>
      </c>
      <c r="F378" s="16" t="s">
        <v>801</v>
      </c>
      <c r="G378" s="15" t="s">
        <v>825</v>
      </c>
      <c r="H378" s="18">
        <v>0.0</v>
      </c>
      <c r="I378" s="16" t="s">
        <v>801</v>
      </c>
      <c r="J378" s="17">
        <v>128.34</v>
      </c>
    </row>
    <row r="379" ht="15.75" customHeight="1">
      <c r="A379" s="15" t="s">
        <v>1380</v>
      </c>
      <c r="B379" s="16" t="s">
        <v>801</v>
      </c>
      <c r="C379" s="17">
        <v>82.14</v>
      </c>
      <c r="D379" s="17">
        <v>136.92</v>
      </c>
      <c r="E379" s="15" t="s">
        <v>1381</v>
      </c>
      <c r="F379" s="16" t="s">
        <v>801</v>
      </c>
      <c r="G379" s="15" t="s">
        <v>825</v>
      </c>
      <c r="H379" s="18">
        <v>0.0</v>
      </c>
      <c r="I379" s="16" t="s">
        <v>801</v>
      </c>
      <c r="J379" s="17">
        <v>153.35</v>
      </c>
    </row>
    <row r="380" ht="15.75" customHeight="1">
      <c r="A380" s="15" t="s">
        <v>1382</v>
      </c>
      <c r="B380" s="16" t="s">
        <v>801</v>
      </c>
      <c r="C380" s="17">
        <v>127.98</v>
      </c>
      <c r="D380" s="17">
        <v>142.2</v>
      </c>
      <c r="E380" s="15" t="s">
        <v>1383</v>
      </c>
      <c r="F380" s="16" t="s">
        <v>801</v>
      </c>
      <c r="G380" s="15" t="s">
        <v>825</v>
      </c>
      <c r="H380" s="18">
        <v>0.0</v>
      </c>
      <c r="I380" s="16" t="s">
        <v>801</v>
      </c>
      <c r="J380" s="17">
        <v>159.26</v>
      </c>
    </row>
    <row r="381" ht="15.75" customHeight="1">
      <c r="A381" s="15" t="s">
        <v>1384</v>
      </c>
      <c r="B381" s="16" t="s">
        <v>801</v>
      </c>
      <c r="C381" s="17">
        <v>88.0</v>
      </c>
      <c r="D381" s="17">
        <v>88.0</v>
      </c>
      <c r="E381" s="15" t="s">
        <v>1385</v>
      </c>
      <c r="F381" s="16" t="s">
        <v>801</v>
      </c>
      <c r="G381" s="15" t="s">
        <v>825</v>
      </c>
      <c r="H381" s="18">
        <v>0.0</v>
      </c>
      <c r="I381" s="16" t="s">
        <v>801</v>
      </c>
      <c r="J381" s="17">
        <v>98.56</v>
      </c>
    </row>
    <row r="382" ht="15.75" customHeight="1">
      <c r="A382" s="15" t="s">
        <v>1386</v>
      </c>
      <c r="B382" s="16" t="s">
        <v>801</v>
      </c>
      <c r="C382" s="17">
        <v>143.1</v>
      </c>
      <c r="D382" s="17">
        <v>159.0</v>
      </c>
      <c r="E382" s="15" t="s">
        <v>1387</v>
      </c>
      <c r="F382" s="16" t="s">
        <v>801</v>
      </c>
      <c r="G382" s="15" t="s">
        <v>825</v>
      </c>
      <c r="H382" s="18">
        <v>0.0</v>
      </c>
      <c r="I382" s="16" t="s">
        <v>801</v>
      </c>
      <c r="J382" s="17">
        <v>178.08</v>
      </c>
    </row>
    <row r="383" ht="15.75" customHeight="1">
      <c r="A383" s="15" t="s">
        <v>1388</v>
      </c>
      <c r="B383" s="16" t="s">
        <v>801</v>
      </c>
      <c r="C383" s="17">
        <v>89.29</v>
      </c>
      <c r="D383" s="17">
        <v>148.82</v>
      </c>
      <c r="E383" s="15" t="s">
        <v>1389</v>
      </c>
      <c r="F383" s="16" t="s">
        <v>801</v>
      </c>
      <c r="G383" s="15" t="s">
        <v>825</v>
      </c>
      <c r="H383" s="18">
        <v>0.0</v>
      </c>
      <c r="I383" s="16" t="s">
        <v>801</v>
      </c>
      <c r="J383" s="17">
        <v>166.68</v>
      </c>
    </row>
    <row r="384" ht="15.75" customHeight="1">
      <c r="A384" s="15" t="s">
        <v>1390</v>
      </c>
      <c r="B384" s="16" t="s">
        <v>801</v>
      </c>
      <c r="C384" s="17">
        <v>115.18</v>
      </c>
      <c r="D384" s="17">
        <v>191.98</v>
      </c>
      <c r="E384" s="15" t="s">
        <v>1391</v>
      </c>
      <c r="F384" s="16" t="s">
        <v>801</v>
      </c>
      <c r="G384" s="15" t="s">
        <v>825</v>
      </c>
      <c r="H384" s="18">
        <v>0.0</v>
      </c>
      <c r="I384" s="16" t="s">
        <v>801</v>
      </c>
      <c r="J384" s="17">
        <v>215.02</v>
      </c>
    </row>
    <row r="385" ht="15.75" customHeight="1">
      <c r="A385" s="15" t="s">
        <v>1392</v>
      </c>
      <c r="B385" s="16" t="s">
        <v>801</v>
      </c>
      <c r="C385" s="17">
        <v>82.63</v>
      </c>
      <c r="D385" s="17">
        <v>137.72</v>
      </c>
      <c r="E385" s="15" t="s">
        <v>1393</v>
      </c>
      <c r="F385" s="16" t="s">
        <v>801</v>
      </c>
      <c r="G385" s="15" t="s">
        <v>855</v>
      </c>
      <c r="H385" s="18">
        <v>0.0</v>
      </c>
      <c r="I385" s="16" t="s">
        <v>801</v>
      </c>
      <c r="J385" s="17">
        <v>162.51</v>
      </c>
    </row>
    <row r="386" ht="15.75" customHeight="1">
      <c r="A386" s="15" t="s">
        <v>1394</v>
      </c>
      <c r="B386" s="16" t="s">
        <v>801</v>
      </c>
      <c r="C386" s="17">
        <v>69.2</v>
      </c>
      <c r="D386" s="17">
        <v>115.34</v>
      </c>
      <c r="E386" s="15" t="s">
        <v>1395</v>
      </c>
      <c r="F386" s="16" t="s">
        <v>801</v>
      </c>
      <c r="G386" s="15" t="s">
        <v>825</v>
      </c>
      <c r="H386" s="18">
        <v>0.0</v>
      </c>
      <c r="I386" s="16" t="s">
        <v>801</v>
      </c>
      <c r="J386" s="17">
        <v>129.18</v>
      </c>
    </row>
    <row r="387" ht="15.75" customHeight="1">
      <c r="A387" s="15" t="s">
        <v>1396</v>
      </c>
      <c r="B387" s="16" t="s">
        <v>801</v>
      </c>
      <c r="C387" s="17">
        <v>435.27</v>
      </c>
      <c r="D387" s="17">
        <v>725.53</v>
      </c>
      <c r="E387" s="15" t="s">
        <v>1397</v>
      </c>
      <c r="F387" s="16" t="s">
        <v>801</v>
      </c>
      <c r="G387" s="15" t="s">
        <v>825</v>
      </c>
      <c r="H387" s="18">
        <v>0.0</v>
      </c>
      <c r="I387" s="16" t="s">
        <v>801</v>
      </c>
      <c r="J387" s="17">
        <v>812.59</v>
      </c>
    </row>
    <row r="388" ht="15.75" customHeight="1">
      <c r="A388" s="15" t="s">
        <v>1398</v>
      </c>
      <c r="B388" s="16" t="s">
        <v>801</v>
      </c>
      <c r="C388" s="17">
        <v>323.66</v>
      </c>
      <c r="D388" s="17">
        <v>539.5</v>
      </c>
      <c r="E388" s="15" t="s">
        <v>1399</v>
      </c>
      <c r="F388" s="16" t="s">
        <v>801</v>
      </c>
      <c r="G388" s="15" t="s">
        <v>825</v>
      </c>
      <c r="H388" s="18">
        <v>0.0</v>
      </c>
      <c r="I388" s="16" t="s">
        <v>801</v>
      </c>
      <c r="J388" s="17">
        <v>604.24</v>
      </c>
    </row>
    <row r="389" ht="15.75" customHeight="1">
      <c r="A389" s="15" t="s">
        <v>1400</v>
      </c>
      <c r="B389" s="16" t="s">
        <v>801</v>
      </c>
      <c r="C389" s="17">
        <v>41.79</v>
      </c>
      <c r="D389" s="17">
        <v>46.43</v>
      </c>
      <c r="E389" s="15" t="s">
        <v>1353</v>
      </c>
      <c r="F389" s="16" t="s">
        <v>801</v>
      </c>
      <c r="G389" s="15" t="s">
        <v>825</v>
      </c>
      <c r="H389" s="18">
        <v>0.0</v>
      </c>
      <c r="I389" s="16" t="s">
        <v>801</v>
      </c>
      <c r="J389" s="17">
        <v>52.0</v>
      </c>
    </row>
    <row r="390" ht="15.75" customHeight="1">
      <c r="A390" s="15" t="s">
        <v>1401</v>
      </c>
      <c r="B390" s="16" t="s">
        <v>801</v>
      </c>
      <c r="C390" s="17">
        <v>49.82</v>
      </c>
      <c r="D390" s="17">
        <v>55.35</v>
      </c>
      <c r="E390" s="15" t="s">
        <v>1402</v>
      </c>
      <c r="F390" s="16" t="s">
        <v>801</v>
      </c>
      <c r="G390" s="15" t="s">
        <v>825</v>
      </c>
      <c r="H390" s="18">
        <v>0.0</v>
      </c>
      <c r="I390" s="16" t="s">
        <v>801</v>
      </c>
      <c r="J390" s="17">
        <v>61.99</v>
      </c>
    </row>
    <row r="391" ht="15.75" customHeight="1">
      <c r="A391" s="15" t="s">
        <v>1403</v>
      </c>
      <c r="B391" s="16" t="s">
        <v>801</v>
      </c>
      <c r="C391" s="17">
        <v>83.57</v>
      </c>
      <c r="D391" s="17">
        <v>83.57</v>
      </c>
      <c r="E391" s="15" t="s">
        <v>1404</v>
      </c>
      <c r="F391" s="16" t="s">
        <v>801</v>
      </c>
      <c r="G391" s="15" t="s">
        <v>825</v>
      </c>
      <c r="H391" s="18">
        <v>0.0</v>
      </c>
      <c r="I391" s="16" t="s">
        <v>801</v>
      </c>
      <c r="J391" s="17">
        <v>93.6</v>
      </c>
    </row>
    <row r="392" ht="15.75" customHeight="1">
      <c r="A392" s="15" t="s">
        <v>1405</v>
      </c>
      <c r="B392" s="16" t="s">
        <v>801</v>
      </c>
      <c r="C392" s="17">
        <v>89.04</v>
      </c>
      <c r="D392" s="17">
        <v>98.93</v>
      </c>
      <c r="E392" s="15" t="s">
        <v>1406</v>
      </c>
      <c r="F392" s="16" t="s">
        <v>801</v>
      </c>
      <c r="G392" s="15" t="s">
        <v>825</v>
      </c>
      <c r="H392" s="18">
        <v>0.0</v>
      </c>
      <c r="I392" s="16" t="s">
        <v>801</v>
      </c>
      <c r="J392" s="17">
        <v>110.8</v>
      </c>
    </row>
    <row r="393" ht="15.75" customHeight="1">
      <c r="A393" s="15" t="s">
        <v>1407</v>
      </c>
      <c r="B393" s="16" t="s">
        <v>801</v>
      </c>
      <c r="C393" s="17">
        <v>264.02</v>
      </c>
      <c r="D393" s="17">
        <v>266.57</v>
      </c>
      <c r="E393" s="15" t="s">
        <v>1408</v>
      </c>
      <c r="F393" s="16" t="s">
        <v>801</v>
      </c>
      <c r="G393" s="15" t="s">
        <v>855</v>
      </c>
      <c r="H393" s="18">
        <v>0.0</v>
      </c>
      <c r="I393" s="16" t="s">
        <v>801</v>
      </c>
      <c r="J393" s="17">
        <v>314.55</v>
      </c>
    </row>
    <row r="394" ht="15.75" customHeight="1">
      <c r="A394" s="15" t="s">
        <v>1409</v>
      </c>
      <c r="B394" s="16" t="s">
        <v>801</v>
      </c>
      <c r="C394" s="17">
        <v>87.86</v>
      </c>
      <c r="D394" s="17">
        <v>91.52</v>
      </c>
      <c r="E394" s="15" t="s">
        <v>1410</v>
      </c>
      <c r="F394" s="16" t="s">
        <v>801</v>
      </c>
      <c r="G394" s="15" t="s">
        <v>825</v>
      </c>
      <c r="H394" s="18">
        <v>0.0</v>
      </c>
      <c r="I394" s="16" t="s">
        <v>801</v>
      </c>
      <c r="J394" s="17">
        <v>102.5</v>
      </c>
    </row>
    <row r="395" ht="15.75" customHeight="1">
      <c r="A395" s="15" t="s">
        <v>1411</v>
      </c>
      <c r="B395" s="16" t="s">
        <v>801</v>
      </c>
      <c r="C395" s="17">
        <v>39.31</v>
      </c>
      <c r="D395" s="17">
        <v>43.68</v>
      </c>
      <c r="E395" s="15" t="s">
        <v>1412</v>
      </c>
      <c r="F395" s="16" t="s">
        <v>801</v>
      </c>
      <c r="G395" s="15" t="s">
        <v>825</v>
      </c>
      <c r="H395" s="18">
        <v>0.0</v>
      </c>
      <c r="I395" s="16" t="s">
        <v>801</v>
      </c>
      <c r="J395" s="17">
        <v>48.92</v>
      </c>
    </row>
    <row r="396" ht="15.75" customHeight="1">
      <c r="A396" s="15" t="s">
        <v>1413</v>
      </c>
      <c r="B396" s="16" t="s">
        <v>801</v>
      </c>
      <c r="C396" s="17">
        <v>71.39</v>
      </c>
      <c r="D396" s="17">
        <v>79.32</v>
      </c>
      <c r="E396" s="15" t="s">
        <v>1414</v>
      </c>
      <c r="F396" s="16" t="s">
        <v>801</v>
      </c>
      <c r="G396" s="15" t="s">
        <v>825</v>
      </c>
      <c r="H396" s="18">
        <v>0.0</v>
      </c>
      <c r="I396" s="16" t="s">
        <v>801</v>
      </c>
      <c r="J396" s="17">
        <v>88.84</v>
      </c>
    </row>
    <row r="397" ht="15.75" customHeight="1">
      <c r="A397" s="15" t="s">
        <v>1415</v>
      </c>
      <c r="B397" s="16" t="s">
        <v>801</v>
      </c>
      <c r="C397" s="17">
        <v>194.45</v>
      </c>
      <c r="D397" s="17">
        <v>282.84</v>
      </c>
      <c r="E397" s="15" t="s">
        <v>1416</v>
      </c>
      <c r="F397" s="16" t="s">
        <v>801</v>
      </c>
      <c r="G397" s="15" t="s">
        <v>825</v>
      </c>
      <c r="H397" s="18">
        <v>0.0</v>
      </c>
      <c r="I397" s="16" t="s">
        <v>801</v>
      </c>
      <c r="J397" s="17">
        <v>316.78</v>
      </c>
    </row>
    <row r="398" ht="15.75" customHeight="1">
      <c r="A398" s="15" t="s">
        <v>1417</v>
      </c>
      <c r="B398" s="16" t="s">
        <v>801</v>
      </c>
      <c r="C398" s="17">
        <v>168.75</v>
      </c>
      <c r="D398" s="17">
        <v>245.46</v>
      </c>
      <c r="E398" s="15" t="s">
        <v>1418</v>
      </c>
      <c r="F398" s="16" t="s">
        <v>801</v>
      </c>
      <c r="G398" s="15" t="s">
        <v>825</v>
      </c>
      <c r="H398" s="18">
        <v>0.0</v>
      </c>
      <c r="I398" s="16" t="s">
        <v>801</v>
      </c>
      <c r="J398" s="17">
        <v>274.92</v>
      </c>
    </row>
    <row r="399" ht="15.75" customHeight="1">
      <c r="A399" s="15" t="s">
        <v>1419</v>
      </c>
      <c r="B399" s="16" t="s">
        <v>801</v>
      </c>
      <c r="C399" s="17">
        <v>164.57</v>
      </c>
      <c r="D399" s="17">
        <v>182.86</v>
      </c>
      <c r="E399" s="15" t="s">
        <v>1420</v>
      </c>
      <c r="F399" s="16" t="s">
        <v>801</v>
      </c>
      <c r="G399" s="15" t="s">
        <v>825</v>
      </c>
      <c r="H399" s="18">
        <v>0.0</v>
      </c>
      <c r="I399" s="16" t="s">
        <v>801</v>
      </c>
      <c r="J399" s="17">
        <v>204.8</v>
      </c>
    </row>
    <row r="400" ht="15.75" customHeight="1">
      <c r="A400" s="15" t="s">
        <v>1421</v>
      </c>
      <c r="B400" s="16" t="s">
        <v>801</v>
      </c>
      <c r="C400" s="17">
        <v>198.0</v>
      </c>
      <c r="D400" s="17">
        <v>220.01</v>
      </c>
      <c r="E400" s="15" t="s">
        <v>1422</v>
      </c>
      <c r="F400" s="16" t="s">
        <v>801</v>
      </c>
      <c r="G400" s="15" t="s">
        <v>825</v>
      </c>
      <c r="H400" s="18">
        <v>0.0</v>
      </c>
      <c r="I400" s="16" t="s">
        <v>801</v>
      </c>
      <c r="J400" s="17">
        <v>246.41</v>
      </c>
    </row>
    <row r="401" ht="15.75" customHeight="1">
      <c r="A401" s="15" t="s">
        <v>1423</v>
      </c>
      <c r="B401" s="16" t="s">
        <v>801</v>
      </c>
      <c r="C401" s="17">
        <v>205.71</v>
      </c>
      <c r="D401" s="17">
        <v>228.58</v>
      </c>
      <c r="E401" s="15" t="s">
        <v>1424</v>
      </c>
      <c r="F401" s="16" t="s">
        <v>801</v>
      </c>
      <c r="G401" s="15" t="s">
        <v>825</v>
      </c>
      <c r="H401" s="18">
        <v>0.0</v>
      </c>
      <c r="I401" s="16" t="s">
        <v>801</v>
      </c>
      <c r="J401" s="17">
        <v>256.01</v>
      </c>
    </row>
    <row r="402" ht="15.75" customHeight="1">
      <c r="A402" s="15" t="s">
        <v>1425</v>
      </c>
      <c r="B402" s="16" t="s">
        <v>801</v>
      </c>
      <c r="C402" s="17">
        <v>159.43</v>
      </c>
      <c r="D402" s="17">
        <v>177.15</v>
      </c>
      <c r="E402" s="15" t="s">
        <v>1426</v>
      </c>
      <c r="F402" s="16" t="s">
        <v>801</v>
      </c>
      <c r="G402" s="15" t="s">
        <v>825</v>
      </c>
      <c r="H402" s="18">
        <v>0.0</v>
      </c>
      <c r="I402" s="16" t="s">
        <v>801</v>
      </c>
      <c r="J402" s="17">
        <v>198.41</v>
      </c>
    </row>
    <row r="403" ht="15.75" customHeight="1">
      <c r="A403" s="15" t="s">
        <v>1427</v>
      </c>
      <c r="B403" s="16" t="s">
        <v>801</v>
      </c>
      <c r="C403" s="17">
        <v>94.2</v>
      </c>
      <c r="D403" s="17">
        <v>157.01</v>
      </c>
      <c r="E403" s="15" t="s">
        <v>1428</v>
      </c>
      <c r="F403" s="16" t="s">
        <v>801</v>
      </c>
      <c r="G403" s="15" t="s">
        <v>825</v>
      </c>
      <c r="H403" s="18">
        <v>0.0</v>
      </c>
      <c r="I403" s="16" t="s">
        <v>801</v>
      </c>
      <c r="J403" s="17">
        <v>175.85</v>
      </c>
    </row>
    <row r="404" ht="15.75" customHeight="1">
      <c r="A404" s="15" t="s">
        <v>1429</v>
      </c>
      <c r="B404" s="16" t="s">
        <v>801</v>
      </c>
      <c r="C404" s="17">
        <v>131.7</v>
      </c>
      <c r="D404" s="17">
        <v>219.52</v>
      </c>
      <c r="E404" s="15" t="s">
        <v>1430</v>
      </c>
      <c r="F404" s="16" t="s">
        <v>801</v>
      </c>
      <c r="G404" s="15" t="s">
        <v>825</v>
      </c>
      <c r="H404" s="18">
        <v>0.0</v>
      </c>
      <c r="I404" s="16" t="s">
        <v>801</v>
      </c>
      <c r="J404" s="17">
        <v>245.86</v>
      </c>
    </row>
    <row r="405" ht="15.75" customHeight="1">
      <c r="A405" s="15" t="s">
        <v>1431</v>
      </c>
      <c r="B405" s="16" t="s">
        <v>801</v>
      </c>
      <c r="C405" s="17">
        <v>440.42</v>
      </c>
      <c r="D405" s="17">
        <v>592.88</v>
      </c>
      <c r="E405" s="15" t="s">
        <v>1432</v>
      </c>
      <c r="F405" s="16" t="s">
        <v>801</v>
      </c>
      <c r="G405" s="15" t="s">
        <v>825</v>
      </c>
      <c r="H405" s="18">
        <v>0.0</v>
      </c>
      <c r="I405" s="16" t="s">
        <v>801</v>
      </c>
      <c r="J405" s="17">
        <v>664.03</v>
      </c>
    </row>
    <row r="406" ht="15.75" customHeight="1">
      <c r="A406" s="15" t="s">
        <v>1433</v>
      </c>
      <c r="B406" s="16" t="s">
        <v>801</v>
      </c>
      <c r="C406" s="17">
        <v>147.97</v>
      </c>
      <c r="D406" s="17">
        <v>236.75</v>
      </c>
      <c r="E406" s="15" t="s">
        <v>1434</v>
      </c>
      <c r="F406" s="16" t="s">
        <v>801</v>
      </c>
      <c r="G406" s="15" t="s">
        <v>825</v>
      </c>
      <c r="H406" s="18">
        <v>0.0</v>
      </c>
      <c r="I406" s="16" t="s">
        <v>801</v>
      </c>
      <c r="J406" s="17">
        <v>265.16</v>
      </c>
    </row>
    <row r="407" ht="15.75" customHeight="1">
      <c r="A407" s="15" t="s">
        <v>1435</v>
      </c>
      <c r="B407" s="16" t="s">
        <v>801</v>
      </c>
      <c r="C407" s="17">
        <v>345.98</v>
      </c>
      <c r="D407" s="17">
        <v>553.59</v>
      </c>
      <c r="E407" s="15" t="s">
        <v>1436</v>
      </c>
      <c r="F407" s="16" t="s">
        <v>801</v>
      </c>
      <c r="G407" s="15" t="s">
        <v>825</v>
      </c>
      <c r="H407" s="18">
        <v>0.0</v>
      </c>
      <c r="I407" s="16" t="s">
        <v>801</v>
      </c>
      <c r="J407" s="17">
        <v>620.02</v>
      </c>
    </row>
    <row r="408" ht="15.75" customHeight="1">
      <c r="A408" s="15" t="s">
        <v>1437</v>
      </c>
      <c r="B408" s="16" t="s">
        <v>801</v>
      </c>
      <c r="C408" s="17">
        <v>100.85</v>
      </c>
      <c r="D408" s="17">
        <v>118.65</v>
      </c>
      <c r="E408" s="15" t="s">
        <v>1349</v>
      </c>
      <c r="F408" s="16" t="s">
        <v>801</v>
      </c>
      <c r="G408" s="15" t="s">
        <v>855</v>
      </c>
      <c r="H408" s="18">
        <v>0.0</v>
      </c>
      <c r="I408" s="16" t="s">
        <v>801</v>
      </c>
      <c r="J408" s="17">
        <v>140.01</v>
      </c>
    </row>
    <row r="409" ht="15.75" customHeight="1">
      <c r="A409" s="15" t="s">
        <v>1438</v>
      </c>
      <c r="B409" s="16" t="s">
        <v>801</v>
      </c>
      <c r="C409" s="17">
        <v>172.49</v>
      </c>
      <c r="D409" s="17">
        <v>278.99</v>
      </c>
      <c r="E409" s="15" t="s">
        <v>1205</v>
      </c>
      <c r="F409" s="16" t="s">
        <v>801</v>
      </c>
      <c r="G409" s="15" t="s">
        <v>855</v>
      </c>
      <c r="H409" s="18">
        <v>0.0</v>
      </c>
      <c r="I409" s="16" t="s">
        <v>801</v>
      </c>
      <c r="J409" s="17">
        <v>329.21</v>
      </c>
    </row>
    <row r="410" ht="15.75" customHeight="1">
      <c r="A410" s="15" t="s">
        <v>1439</v>
      </c>
      <c r="B410" s="16" t="s">
        <v>801</v>
      </c>
      <c r="C410" s="17">
        <v>38.88</v>
      </c>
      <c r="D410" s="17">
        <v>43.2</v>
      </c>
      <c r="E410" s="15" t="s">
        <v>1335</v>
      </c>
      <c r="F410" s="16" t="s">
        <v>801</v>
      </c>
      <c r="G410" s="15" t="s">
        <v>825</v>
      </c>
      <c r="H410" s="18">
        <v>0.0</v>
      </c>
      <c r="I410" s="16" t="s">
        <v>801</v>
      </c>
      <c r="J410" s="17">
        <v>48.38</v>
      </c>
    </row>
    <row r="411" ht="15.75" customHeight="1">
      <c r="A411" s="15" t="s">
        <v>1440</v>
      </c>
      <c r="B411" s="16" t="s">
        <v>801</v>
      </c>
      <c r="C411" s="17">
        <v>61.78</v>
      </c>
      <c r="D411" s="17">
        <v>68.64</v>
      </c>
      <c r="E411" s="15" t="s">
        <v>1441</v>
      </c>
      <c r="F411" s="16" t="s">
        <v>801</v>
      </c>
      <c r="G411" s="15" t="s">
        <v>825</v>
      </c>
      <c r="H411" s="18">
        <v>0.0</v>
      </c>
      <c r="I411" s="16" t="s">
        <v>801</v>
      </c>
      <c r="J411" s="17">
        <v>76.88</v>
      </c>
    </row>
    <row r="412" ht="15.75" customHeight="1">
      <c r="A412" s="15" t="s">
        <v>1442</v>
      </c>
      <c r="B412" s="16" t="s">
        <v>801</v>
      </c>
      <c r="C412" s="17">
        <v>138.86</v>
      </c>
      <c r="D412" s="17">
        <v>154.29</v>
      </c>
      <c r="E412" s="15" t="s">
        <v>1443</v>
      </c>
      <c r="F412" s="16" t="s">
        <v>801</v>
      </c>
      <c r="G412" s="15" t="s">
        <v>825</v>
      </c>
      <c r="H412" s="18">
        <v>0.0</v>
      </c>
      <c r="I412" s="16" t="s">
        <v>801</v>
      </c>
      <c r="J412" s="17">
        <v>172.8</v>
      </c>
    </row>
    <row r="413" ht="15.75" customHeight="1">
      <c r="A413" s="15" t="s">
        <v>1444</v>
      </c>
      <c r="B413" s="16" t="s">
        <v>801</v>
      </c>
      <c r="C413" s="17">
        <v>42.11</v>
      </c>
      <c r="D413" s="17">
        <v>46.78</v>
      </c>
      <c r="E413" s="15" t="s">
        <v>1445</v>
      </c>
      <c r="F413" s="16" t="s">
        <v>801</v>
      </c>
      <c r="G413" s="15" t="s">
        <v>825</v>
      </c>
      <c r="H413" s="18">
        <v>0.0</v>
      </c>
      <c r="I413" s="16" t="s">
        <v>801</v>
      </c>
      <c r="J413" s="17">
        <v>52.39</v>
      </c>
    </row>
    <row r="414" ht="15.75" customHeight="1">
      <c r="A414" s="15" t="s">
        <v>1446</v>
      </c>
      <c r="B414" s="16" t="s">
        <v>801</v>
      </c>
      <c r="C414" s="17">
        <v>120.86</v>
      </c>
      <c r="D414" s="17">
        <v>134.29</v>
      </c>
      <c r="E414" s="15" t="s">
        <v>1447</v>
      </c>
      <c r="F414" s="16" t="s">
        <v>801</v>
      </c>
      <c r="G414" s="15" t="s">
        <v>825</v>
      </c>
      <c r="H414" s="18">
        <v>0.0</v>
      </c>
      <c r="I414" s="16" t="s">
        <v>801</v>
      </c>
      <c r="J414" s="17">
        <v>150.4</v>
      </c>
    </row>
    <row r="415" ht="15.75" customHeight="1">
      <c r="A415" s="15" t="s">
        <v>1448</v>
      </c>
      <c r="B415" s="16" t="s">
        <v>801</v>
      </c>
      <c r="C415" s="17">
        <v>169.71</v>
      </c>
      <c r="D415" s="17">
        <v>188.58</v>
      </c>
      <c r="E415" s="15" t="s">
        <v>1449</v>
      </c>
      <c r="F415" s="16" t="s">
        <v>801</v>
      </c>
      <c r="G415" s="15" t="s">
        <v>825</v>
      </c>
      <c r="H415" s="18">
        <v>0.0</v>
      </c>
      <c r="I415" s="16" t="s">
        <v>801</v>
      </c>
      <c r="J415" s="17">
        <v>211.21</v>
      </c>
    </row>
    <row r="416" ht="15.75" customHeight="1">
      <c r="A416" s="15" t="s">
        <v>1450</v>
      </c>
      <c r="B416" s="16" t="s">
        <v>801</v>
      </c>
      <c r="C416" s="17">
        <v>100.93</v>
      </c>
      <c r="D416" s="17">
        <v>112.14</v>
      </c>
      <c r="E416" s="15" t="s">
        <v>1451</v>
      </c>
      <c r="F416" s="16" t="s">
        <v>801</v>
      </c>
      <c r="G416" s="15" t="s">
        <v>825</v>
      </c>
      <c r="H416" s="18">
        <v>0.0</v>
      </c>
      <c r="I416" s="16" t="s">
        <v>801</v>
      </c>
      <c r="J416" s="17">
        <v>125.6</v>
      </c>
    </row>
    <row r="417" ht="15.75" customHeight="1">
      <c r="A417" s="15" t="s">
        <v>1452</v>
      </c>
      <c r="B417" s="16" t="s">
        <v>801</v>
      </c>
      <c r="C417" s="17">
        <v>140.0</v>
      </c>
      <c r="D417" s="17">
        <v>145.85</v>
      </c>
      <c r="E417" s="15" t="s">
        <v>1453</v>
      </c>
      <c r="F417" s="16" t="s">
        <v>801</v>
      </c>
      <c r="G417" s="15" t="s">
        <v>825</v>
      </c>
      <c r="H417" s="18">
        <v>0.0</v>
      </c>
      <c r="I417" s="16" t="s">
        <v>801</v>
      </c>
      <c r="J417" s="17">
        <v>163.35</v>
      </c>
    </row>
    <row r="418" ht="15.75" customHeight="1">
      <c r="A418" s="15" t="s">
        <v>1454</v>
      </c>
      <c r="B418" s="16" t="s">
        <v>801</v>
      </c>
      <c r="C418" s="17">
        <v>125.36</v>
      </c>
      <c r="D418" s="17">
        <v>139.29</v>
      </c>
      <c r="E418" s="15" t="s">
        <v>1393</v>
      </c>
      <c r="F418" s="16" t="s">
        <v>801</v>
      </c>
      <c r="G418" s="15" t="s">
        <v>825</v>
      </c>
      <c r="H418" s="18">
        <v>0.0</v>
      </c>
      <c r="I418" s="16" t="s">
        <v>801</v>
      </c>
      <c r="J418" s="17">
        <v>156.0</v>
      </c>
    </row>
    <row r="419" ht="15.75" customHeight="1">
      <c r="A419" s="12" t="s">
        <v>804</v>
      </c>
      <c r="B419" s="13"/>
      <c r="C419" s="13"/>
      <c r="D419" s="13"/>
      <c r="E419" s="13"/>
      <c r="F419" s="13"/>
      <c r="G419" s="13"/>
      <c r="H419" s="13"/>
      <c r="I419" s="13"/>
      <c r="J419" s="13"/>
    </row>
    <row r="420" ht="15.75" customHeight="1">
      <c r="A420" s="14" t="s">
        <v>767</v>
      </c>
    </row>
    <row r="421" ht="15.75" customHeight="1">
      <c r="A421" s="14" t="s">
        <v>804</v>
      </c>
    </row>
    <row r="422" ht="15.75" customHeight="1">
      <c r="A422" s="15" t="s">
        <v>1455</v>
      </c>
      <c r="B422" s="16" t="s">
        <v>801</v>
      </c>
      <c r="C422" s="17">
        <v>5.75</v>
      </c>
      <c r="D422" s="17">
        <v>6.61</v>
      </c>
      <c r="E422" s="15" t="s">
        <v>1456</v>
      </c>
      <c r="F422" s="16" t="s">
        <v>801</v>
      </c>
      <c r="G422" s="15" t="s">
        <v>825</v>
      </c>
      <c r="H422" s="18">
        <v>0.0</v>
      </c>
      <c r="I422" s="16" t="s">
        <v>801</v>
      </c>
      <c r="J422" s="17">
        <v>7.4</v>
      </c>
    </row>
    <row r="423" ht="15.75" customHeight="1">
      <c r="A423" s="15" t="s">
        <v>1457</v>
      </c>
      <c r="B423" s="16" t="s">
        <v>801</v>
      </c>
      <c r="C423" s="17">
        <v>11.0</v>
      </c>
      <c r="D423" s="17">
        <v>12.1</v>
      </c>
      <c r="E423" s="15" t="s">
        <v>1458</v>
      </c>
      <c r="F423" s="16" t="s">
        <v>801</v>
      </c>
      <c r="G423" s="15" t="s">
        <v>825</v>
      </c>
      <c r="H423" s="18">
        <v>0.0</v>
      </c>
      <c r="I423" s="16" t="s">
        <v>801</v>
      </c>
      <c r="J423" s="17">
        <v>13.55</v>
      </c>
    </row>
    <row r="424" ht="15.75" customHeight="1">
      <c r="A424" s="15" t="s">
        <v>1459</v>
      </c>
      <c r="B424" s="16" t="s">
        <v>801</v>
      </c>
      <c r="C424" s="17">
        <v>8.5</v>
      </c>
      <c r="D424" s="17">
        <v>9.77</v>
      </c>
      <c r="E424" s="15" t="s">
        <v>1460</v>
      </c>
      <c r="F424" s="16" t="s">
        <v>801</v>
      </c>
      <c r="G424" s="15" t="s">
        <v>825</v>
      </c>
      <c r="H424" s="18">
        <v>0.0</v>
      </c>
      <c r="I424" s="16" t="s">
        <v>801</v>
      </c>
      <c r="J424" s="17">
        <v>10.94</v>
      </c>
    </row>
    <row r="425" ht="15.75" customHeight="1">
      <c r="A425" s="15" t="s">
        <v>1461</v>
      </c>
      <c r="B425" s="16" t="s">
        <v>801</v>
      </c>
      <c r="C425" s="17">
        <v>6.0</v>
      </c>
      <c r="D425" s="17">
        <v>7.0</v>
      </c>
      <c r="E425" s="15" t="s">
        <v>1462</v>
      </c>
      <c r="F425" s="16" t="s">
        <v>801</v>
      </c>
      <c r="G425" s="15" t="s">
        <v>825</v>
      </c>
      <c r="H425" s="18">
        <v>0.0</v>
      </c>
      <c r="I425" s="16" t="s">
        <v>801</v>
      </c>
      <c r="J425" s="17">
        <v>7.84</v>
      </c>
    </row>
    <row r="426" ht="15.75" customHeight="1">
      <c r="A426" s="15" t="s">
        <v>1463</v>
      </c>
      <c r="B426" s="16" t="s">
        <v>801</v>
      </c>
      <c r="C426" s="17">
        <v>9.5</v>
      </c>
      <c r="D426" s="17">
        <v>10.45</v>
      </c>
      <c r="E426" s="15" t="s">
        <v>884</v>
      </c>
      <c r="F426" s="16" t="s">
        <v>801</v>
      </c>
      <c r="G426" s="15" t="s">
        <v>825</v>
      </c>
      <c r="H426" s="18">
        <v>0.0</v>
      </c>
      <c r="I426" s="16" t="s">
        <v>801</v>
      </c>
      <c r="J426" s="17">
        <v>11.7</v>
      </c>
    </row>
    <row r="427" ht="15.75" customHeight="1">
      <c r="A427" s="12" t="s">
        <v>804</v>
      </c>
      <c r="B427" s="13"/>
      <c r="C427" s="13"/>
      <c r="D427" s="13"/>
      <c r="E427" s="13"/>
      <c r="F427" s="13"/>
      <c r="G427" s="13"/>
      <c r="H427" s="13"/>
      <c r="I427" s="13"/>
      <c r="J427" s="13"/>
    </row>
    <row r="428" ht="15.75" customHeight="1">
      <c r="A428" s="14" t="s">
        <v>762</v>
      </c>
    </row>
    <row r="429" ht="15.75" customHeight="1">
      <c r="A429" s="14" t="s">
        <v>804</v>
      </c>
    </row>
    <row r="430" ht="15.75" customHeight="1">
      <c r="A430" s="15" t="s">
        <v>1464</v>
      </c>
      <c r="B430" s="16" t="s">
        <v>801</v>
      </c>
      <c r="C430" s="17">
        <v>90.67</v>
      </c>
      <c r="D430" s="17">
        <v>100.75</v>
      </c>
      <c r="E430" s="15" t="s">
        <v>1465</v>
      </c>
      <c r="F430" s="16" t="s">
        <v>801</v>
      </c>
      <c r="G430" s="15" t="s">
        <v>825</v>
      </c>
      <c r="H430" s="18">
        <v>0.0</v>
      </c>
      <c r="I430" s="16" t="s">
        <v>801</v>
      </c>
      <c r="J430" s="17">
        <v>112.84</v>
      </c>
    </row>
    <row r="431" ht="15.75" customHeight="1">
      <c r="A431" s="15" t="s">
        <v>1466</v>
      </c>
      <c r="B431" s="16" t="s">
        <v>801</v>
      </c>
      <c r="C431" s="17">
        <v>208.28</v>
      </c>
      <c r="D431" s="17">
        <v>231.43</v>
      </c>
      <c r="E431" s="15" t="s">
        <v>1467</v>
      </c>
      <c r="F431" s="16" t="s">
        <v>801</v>
      </c>
      <c r="G431" s="15" t="s">
        <v>825</v>
      </c>
      <c r="H431" s="18">
        <v>0.0</v>
      </c>
      <c r="I431" s="16" t="s">
        <v>801</v>
      </c>
      <c r="J431" s="17">
        <v>259.2</v>
      </c>
    </row>
    <row r="432" ht="15.75" customHeight="1">
      <c r="A432" s="15" t="s">
        <v>1468</v>
      </c>
      <c r="B432" s="16" t="s">
        <v>801</v>
      </c>
      <c r="C432" s="17">
        <v>131.18</v>
      </c>
      <c r="D432" s="17">
        <v>145.77</v>
      </c>
      <c r="E432" s="15" t="s">
        <v>1469</v>
      </c>
      <c r="F432" s="16" t="s">
        <v>801</v>
      </c>
      <c r="G432" s="15" t="s">
        <v>855</v>
      </c>
      <c r="H432" s="18">
        <v>0.0</v>
      </c>
      <c r="I432" s="16" t="s">
        <v>801</v>
      </c>
      <c r="J432" s="17">
        <v>172.01</v>
      </c>
    </row>
    <row r="433" ht="15.75" customHeight="1">
      <c r="A433" s="15" t="s">
        <v>1470</v>
      </c>
      <c r="B433" s="16" t="s">
        <v>801</v>
      </c>
      <c r="C433" s="17">
        <v>8.56</v>
      </c>
      <c r="D433" s="17">
        <v>9.51</v>
      </c>
      <c r="E433" s="15" t="s">
        <v>1471</v>
      </c>
      <c r="F433" s="16" t="s">
        <v>801</v>
      </c>
      <c r="G433" s="15" t="s">
        <v>959</v>
      </c>
      <c r="H433" s="18">
        <v>0.0</v>
      </c>
      <c r="I433" s="16" t="s">
        <v>801</v>
      </c>
      <c r="J433" s="17">
        <v>9.99</v>
      </c>
    </row>
    <row r="434" ht="15.75" customHeight="1">
      <c r="A434" s="15" t="s">
        <v>1472</v>
      </c>
      <c r="B434" s="16" t="s">
        <v>801</v>
      </c>
      <c r="C434" s="17">
        <v>154.8</v>
      </c>
      <c r="D434" s="17">
        <v>172.0</v>
      </c>
      <c r="E434" s="15" t="s">
        <v>1473</v>
      </c>
      <c r="F434" s="16" t="s">
        <v>801</v>
      </c>
      <c r="G434" s="15" t="s">
        <v>825</v>
      </c>
      <c r="H434" s="18">
        <v>0.0</v>
      </c>
      <c r="I434" s="16" t="s">
        <v>801</v>
      </c>
      <c r="J434" s="17">
        <v>192.64</v>
      </c>
    </row>
    <row r="435" ht="15.75" customHeight="1">
      <c r="A435" s="15" t="s">
        <v>1474</v>
      </c>
      <c r="B435" s="16" t="s">
        <v>801</v>
      </c>
      <c r="C435" s="17">
        <v>37.57</v>
      </c>
      <c r="D435" s="17">
        <v>41.75</v>
      </c>
      <c r="E435" s="15" t="s">
        <v>1475</v>
      </c>
      <c r="F435" s="16" t="s">
        <v>801</v>
      </c>
      <c r="G435" s="15" t="s">
        <v>825</v>
      </c>
      <c r="H435" s="18">
        <v>0.0</v>
      </c>
      <c r="I435" s="16" t="s">
        <v>801</v>
      </c>
      <c r="J435" s="17">
        <v>46.76</v>
      </c>
    </row>
    <row r="436" ht="15.75" customHeight="1">
      <c r="A436" s="15" t="s">
        <v>1476</v>
      </c>
      <c r="B436" s="16" t="s">
        <v>801</v>
      </c>
      <c r="C436" s="17">
        <v>80.35</v>
      </c>
      <c r="D436" s="17">
        <v>89.29</v>
      </c>
      <c r="E436" s="15" t="s">
        <v>1477</v>
      </c>
      <c r="F436" s="16" t="s">
        <v>801</v>
      </c>
      <c r="G436" s="15" t="s">
        <v>825</v>
      </c>
      <c r="H436" s="18">
        <v>0.0</v>
      </c>
      <c r="I436" s="16" t="s">
        <v>801</v>
      </c>
      <c r="J436" s="17">
        <v>100.0</v>
      </c>
    </row>
    <row r="437" ht="15.75" customHeight="1">
      <c r="A437" s="15" t="s">
        <v>1478</v>
      </c>
      <c r="B437" s="16" t="s">
        <v>801</v>
      </c>
      <c r="C437" s="17">
        <v>76.95</v>
      </c>
      <c r="D437" s="17">
        <v>85.5</v>
      </c>
      <c r="E437" s="15" t="s">
        <v>1479</v>
      </c>
      <c r="F437" s="16" t="s">
        <v>801</v>
      </c>
      <c r="G437" s="15" t="s">
        <v>825</v>
      </c>
      <c r="H437" s="18">
        <v>0.0</v>
      </c>
      <c r="I437" s="16" t="s">
        <v>801</v>
      </c>
      <c r="J437" s="17">
        <v>95.76</v>
      </c>
    </row>
    <row r="438" ht="15.75" customHeight="1">
      <c r="A438" s="12" t="s">
        <v>804</v>
      </c>
      <c r="B438" s="13"/>
      <c r="C438" s="13"/>
      <c r="D438" s="13"/>
      <c r="E438" s="13"/>
      <c r="F438" s="13"/>
      <c r="G438" s="13"/>
      <c r="H438" s="13"/>
      <c r="I438" s="13"/>
      <c r="J438" s="13"/>
    </row>
    <row r="439" ht="15.75" customHeight="1">
      <c r="A439" s="14" t="s">
        <v>755</v>
      </c>
    </row>
    <row r="440" ht="15.75" customHeight="1">
      <c r="A440" s="14" t="s">
        <v>804</v>
      </c>
    </row>
    <row r="441" ht="15.75" customHeight="1">
      <c r="A441" s="15" t="s">
        <v>1480</v>
      </c>
      <c r="B441" s="16" t="s">
        <v>801</v>
      </c>
      <c r="C441" s="17">
        <v>111.15</v>
      </c>
      <c r="D441" s="17">
        <v>123.5</v>
      </c>
      <c r="E441" s="15" t="s">
        <v>1481</v>
      </c>
      <c r="F441" s="16" t="s">
        <v>801</v>
      </c>
      <c r="G441" s="15" t="s">
        <v>825</v>
      </c>
      <c r="H441" s="18">
        <v>0.0</v>
      </c>
      <c r="I441" s="16" t="s">
        <v>801</v>
      </c>
      <c r="J441" s="17">
        <v>138.32</v>
      </c>
    </row>
    <row r="442" ht="15.75" customHeight="1">
      <c r="A442" s="15" t="s">
        <v>1482</v>
      </c>
      <c r="B442" s="16" t="s">
        <v>801</v>
      </c>
      <c r="C442" s="17">
        <v>11.88</v>
      </c>
      <c r="D442" s="17">
        <v>13.2</v>
      </c>
      <c r="E442" s="15" t="s">
        <v>1483</v>
      </c>
      <c r="F442" s="16" t="s">
        <v>801</v>
      </c>
      <c r="G442" s="15" t="s">
        <v>825</v>
      </c>
      <c r="H442" s="18">
        <v>0.0</v>
      </c>
      <c r="I442" s="16" t="s">
        <v>801</v>
      </c>
      <c r="J442" s="17">
        <v>14.78</v>
      </c>
    </row>
    <row r="443" ht="15.75" customHeight="1">
      <c r="A443" s="15" t="s">
        <v>1484</v>
      </c>
      <c r="B443" s="16" t="s">
        <v>801</v>
      </c>
      <c r="C443" s="17">
        <v>18.72</v>
      </c>
      <c r="D443" s="17">
        <v>20.8</v>
      </c>
      <c r="E443" s="15" t="s">
        <v>1485</v>
      </c>
      <c r="F443" s="16" t="s">
        <v>801</v>
      </c>
      <c r="G443" s="15" t="s">
        <v>825</v>
      </c>
      <c r="H443" s="18">
        <v>0.0</v>
      </c>
      <c r="I443" s="16" t="s">
        <v>801</v>
      </c>
      <c r="J443" s="17">
        <v>23.3</v>
      </c>
    </row>
    <row r="444" ht="15.75" customHeight="1">
      <c r="A444" s="15" t="s">
        <v>1486</v>
      </c>
      <c r="B444" s="16" t="s">
        <v>801</v>
      </c>
      <c r="C444" s="17">
        <v>66.44</v>
      </c>
      <c r="D444" s="17">
        <v>73.82</v>
      </c>
      <c r="E444" s="15" t="s">
        <v>1487</v>
      </c>
      <c r="F444" s="16" t="s">
        <v>801</v>
      </c>
      <c r="G444" s="15" t="s">
        <v>825</v>
      </c>
      <c r="H444" s="18">
        <v>0.0</v>
      </c>
      <c r="I444" s="16" t="s">
        <v>801</v>
      </c>
      <c r="J444" s="17">
        <v>82.68</v>
      </c>
    </row>
    <row r="445" ht="15.75" customHeight="1">
      <c r="A445" s="15" t="s">
        <v>1488</v>
      </c>
      <c r="B445" s="16" t="s">
        <v>801</v>
      </c>
      <c r="C445" s="17">
        <v>136.8</v>
      </c>
      <c r="D445" s="17">
        <v>152.0</v>
      </c>
      <c r="E445" s="15" t="s">
        <v>1489</v>
      </c>
      <c r="F445" s="16" t="s">
        <v>801</v>
      </c>
      <c r="G445" s="15" t="s">
        <v>825</v>
      </c>
      <c r="H445" s="18">
        <v>0.0</v>
      </c>
      <c r="I445" s="16" t="s">
        <v>801</v>
      </c>
      <c r="J445" s="17">
        <v>170.24</v>
      </c>
    </row>
    <row r="446" ht="15.75" customHeight="1">
      <c r="A446" s="15" t="s">
        <v>1490</v>
      </c>
      <c r="B446" s="16" t="s">
        <v>801</v>
      </c>
      <c r="C446" s="17">
        <v>111.15</v>
      </c>
      <c r="D446" s="17">
        <v>123.5</v>
      </c>
      <c r="E446" s="15" t="s">
        <v>1481</v>
      </c>
      <c r="F446" s="16" t="s">
        <v>801</v>
      </c>
      <c r="G446" s="15" t="s">
        <v>825</v>
      </c>
      <c r="H446" s="18">
        <v>0.0</v>
      </c>
      <c r="I446" s="16" t="s">
        <v>801</v>
      </c>
      <c r="J446" s="17">
        <v>138.32</v>
      </c>
    </row>
    <row r="447" ht="15.75" customHeight="1">
      <c r="A447" s="15" t="s">
        <v>1491</v>
      </c>
      <c r="B447" s="16" t="s">
        <v>801</v>
      </c>
      <c r="C447" s="17">
        <v>116.65</v>
      </c>
      <c r="D447" s="17">
        <v>129.61</v>
      </c>
      <c r="E447" s="15" t="s">
        <v>1492</v>
      </c>
      <c r="F447" s="16" t="s">
        <v>801</v>
      </c>
      <c r="G447" s="15" t="s">
        <v>825</v>
      </c>
      <c r="H447" s="18">
        <v>0.0</v>
      </c>
      <c r="I447" s="16" t="s">
        <v>801</v>
      </c>
      <c r="J447" s="17">
        <v>145.16</v>
      </c>
    </row>
    <row r="448" ht="15.75" customHeight="1">
      <c r="A448" s="15" t="s">
        <v>1493</v>
      </c>
      <c r="B448" s="16" t="s">
        <v>801</v>
      </c>
      <c r="C448" s="17">
        <v>93.08</v>
      </c>
      <c r="D448" s="17">
        <v>103.43</v>
      </c>
      <c r="E448" s="15" t="s">
        <v>1494</v>
      </c>
      <c r="F448" s="16" t="s">
        <v>801</v>
      </c>
      <c r="G448" s="15" t="s">
        <v>825</v>
      </c>
      <c r="H448" s="18">
        <v>0.0</v>
      </c>
      <c r="I448" s="16" t="s">
        <v>801</v>
      </c>
      <c r="J448" s="17">
        <v>115.84</v>
      </c>
    </row>
    <row r="449" ht="15.75" customHeight="1">
      <c r="A449" s="15" t="s">
        <v>1495</v>
      </c>
      <c r="B449" s="16" t="s">
        <v>801</v>
      </c>
      <c r="C449" s="17">
        <v>160.11</v>
      </c>
      <c r="D449" s="17">
        <v>177.9</v>
      </c>
      <c r="E449" s="15" t="s">
        <v>1496</v>
      </c>
      <c r="F449" s="16" t="s">
        <v>801</v>
      </c>
      <c r="G449" s="15" t="s">
        <v>825</v>
      </c>
      <c r="H449" s="18">
        <v>0.0</v>
      </c>
      <c r="I449" s="16" t="s">
        <v>801</v>
      </c>
      <c r="J449" s="17">
        <v>199.25</v>
      </c>
    </row>
    <row r="450" ht="15.75" customHeight="1">
      <c r="A450" s="15" t="s">
        <v>1497</v>
      </c>
      <c r="B450" s="16" t="s">
        <v>801</v>
      </c>
      <c r="C450" s="17">
        <v>84.62</v>
      </c>
      <c r="D450" s="17">
        <v>97.35</v>
      </c>
      <c r="E450" s="15" t="s">
        <v>1498</v>
      </c>
      <c r="F450" s="16" t="s">
        <v>801</v>
      </c>
      <c r="G450" s="15" t="s">
        <v>959</v>
      </c>
      <c r="H450" s="18">
        <v>0.0</v>
      </c>
      <c r="I450" s="16" t="s">
        <v>801</v>
      </c>
      <c r="J450" s="17">
        <v>102.22</v>
      </c>
    </row>
    <row r="451" ht="15.75" customHeight="1">
      <c r="A451" s="15" t="s">
        <v>1499</v>
      </c>
      <c r="B451" s="16" t="s">
        <v>801</v>
      </c>
      <c r="C451" s="17">
        <v>265.85</v>
      </c>
      <c r="D451" s="17">
        <v>295.39</v>
      </c>
      <c r="E451" s="15" t="s">
        <v>1500</v>
      </c>
      <c r="F451" s="16" t="s">
        <v>801</v>
      </c>
      <c r="G451" s="15" t="s">
        <v>959</v>
      </c>
      <c r="H451" s="18">
        <v>0.0</v>
      </c>
      <c r="I451" s="16" t="s">
        <v>801</v>
      </c>
      <c r="J451" s="17">
        <v>310.16</v>
      </c>
    </row>
    <row r="452" ht="15.75" customHeight="1">
      <c r="A452" s="15" t="s">
        <v>1501</v>
      </c>
      <c r="B452" s="16" t="s">
        <v>801</v>
      </c>
      <c r="C452" s="17">
        <v>34.35</v>
      </c>
      <c r="D452" s="17">
        <v>38.16</v>
      </c>
      <c r="E452" s="15" t="s">
        <v>1502</v>
      </c>
      <c r="F452" s="16" t="s">
        <v>801</v>
      </c>
      <c r="G452" s="15" t="s">
        <v>959</v>
      </c>
      <c r="H452" s="18">
        <v>0.0</v>
      </c>
      <c r="I452" s="16" t="s">
        <v>801</v>
      </c>
      <c r="J452" s="17">
        <v>40.07</v>
      </c>
    </row>
    <row r="453" ht="15.75" customHeight="1">
      <c r="A453" s="15" t="s">
        <v>1503</v>
      </c>
      <c r="B453" s="16" t="s">
        <v>801</v>
      </c>
      <c r="C453" s="17">
        <v>118.39</v>
      </c>
      <c r="D453" s="17">
        <v>131.15</v>
      </c>
      <c r="E453" s="15" t="s">
        <v>1504</v>
      </c>
      <c r="F453" s="16" t="s">
        <v>801</v>
      </c>
      <c r="G453" s="15" t="s">
        <v>959</v>
      </c>
      <c r="H453" s="18">
        <v>0.0</v>
      </c>
      <c r="I453" s="16" t="s">
        <v>801</v>
      </c>
      <c r="J453" s="17">
        <v>137.71</v>
      </c>
    </row>
    <row r="454" ht="15.75" customHeight="1">
      <c r="A454" s="15" t="s">
        <v>1505</v>
      </c>
      <c r="B454" s="16" t="s">
        <v>801</v>
      </c>
      <c r="C454" s="17">
        <v>158.33</v>
      </c>
      <c r="D454" s="17">
        <v>175.92</v>
      </c>
      <c r="E454" s="15" t="s">
        <v>1506</v>
      </c>
      <c r="F454" s="16" t="s">
        <v>801</v>
      </c>
      <c r="G454" s="15" t="s">
        <v>959</v>
      </c>
      <c r="H454" s="18">
        <v>0.0</v>
      </c>
      <c r="I454" s="16" t="s">
        <v>801</v>
      </c>
      <c r="J454" s="17">
        <v>184.72</v>
      </c>
    </row>
    <row r="455" ht="15.75" customHeight="1">
      <c r="A455" s="15" t="s">
        <v>1507</v>
      </c>
      <c r="B455" s="16" t="s">
        <v>801</v>
      </c>
      <c r="C455" s="17">
        <v>60.12</v>
      </c>
      <c r="D455" s="17">
        <v>66.8</v>
      </c>
      <c r="E455" s="15" t="s">
        <v>1508</v>
      </c>
      <c r="F455" s="16" t="s">
        <v>801</v>
      </c>
      <c r="G455" s="15" t="s">
        <v>959</v>
      </c>
      <c r="H455" s="18">
        <v>0.0</v>
      </c>
      <c r="I455" s="16" t="s">
        <v>801</v>
      </c>
      <c r="J455" s="17">
        <v>70.14</v>
      </c>
    </row>
    <row r="456" ht="15.75" customHeight="1">
      <c r="A456" s="15" t="s">
        <v>1509</v>
      </c>
      <c r="B456" s="16" t="s">
        <v>801</v>
      </c>
      <c r="C456" s="17">
        <v>65.69</v>
      </c>
      <c r="D456" s="17">
        <v>73.0</v>
      </c>
      <c r="E456" s="15" t="s">
        <v>1510</v>
      </c>
      <c r="F456" s="16" t="s">
        <v>801</v>
      </c>
      <c r="G456" s="15" t="s">
        <v>825</v>
      </c>
      <c r="H456" s="18">
        <v>0.0</v>
      </c>
      <c r="I456" s="16" t="s">
        <v>801</v>
      </c>
      <c r="J456" s="17">
        <v>81.76</v>
      </c>
    </row>
    <row r="457" ht="15.75" customHeight="1">
      <c r="A457" s="15" t="s">
        <v>1511</v>
      </c>
      <c r="B457" s="16" t="s">
        <v>801</v>
      </c>
      <c r="C457" s="17">
        <v>112.37</v>
      </c>
      <c r="D457" s="17">
        <v>124.86</v>
      </c>
      <c r="E457" s="15" t="s">
        <v>1512</v>
      </c>
      <c r="F457" s="16" t="s">
        <v>801</v>
      </c>
      <c r="G457" s="15" t="s">
        <v>825</v>
      </c>
      <c r="H457" s="18">
        <v>0.0</v>
      </c>
      <c r="I457" s="16" t="s">
        <v>801</v>
      </c>
      <c r="J457" s="17">
        <v>139.84</v>
      </c>
    </row>
    <row r="458" ht="15.75" customHeight="1">
      <c r="A458" s="15" t="s">
        <v>1513</v>
      </c>
      <c r="B458" s="16" t="s">
        <v>801</v>
      </c>
      <c r="C458" s="17">
        <v>61.01</v>
      </c>
      <c r="D458" s="17">
        <v>67.78</v>
      </c>
      <c r="E458" s="15" t="s">
        <v>1514</v>
      </c>
      <c r="F458" s="16" t="s">
        <v>801</v>
      </c>
      <c r="G458" s="15" t="s">
        <v>825</v>
      </c>
      <c r="H458" s="18">
        <v>0.0</v>
      </c>
      <c r="I458" s="16" t="s">
        <v>801</v>
      </c>
      <c r="J458" s="17">
        <v>75.91</v>
      </c>
    </row>
    <row r="459" ht="15.75" customHeight="1">
      <c r="A459" s="15" t="s">
        <v>1515</v>
      </c>
      <c r="B459" s="16" t="s">
        <v>801</v>
      </c>
      <c r="C459" s="17">
        <v>64.13</v>
      </c>
      <c r="D459" s="17">
        <v>71.27</v>
      </c>
      <c r="E459" s="15" t="s">
        <v>1516</v>
      </c>
      <c r="F459" s="16" t="s">
        <v>801</v>
      </c>
      <c r="G459" s="15" t="s">
        <v>825</v>
      </c>
      <c r="H459" s="18">
        <v>0.0</v>
      </c>
      <c r="I459" s="16" t="s">
        <v>801</v>
      </c>
      <c r="J459" s="17">
        <v>79.82</v>
      </c>
    </row>
    <row r="460" ht="15.75" customHeight="1">
      <c r="A460" s="15" t="s">
        <v>1517</v>
      </c>
      <c r="B460" s="16" t="s">
        <v>801</v>
      </c>
      <c r="C460" s="17">
        <v>71.86</v>
      </c>
      <c r="D460" s="17">
        <v>79.84</v>
      </c>
      <c r="E460" s="15" t="s">
        <v>1518</v>
      </c>
      <c r="F460" s="16" t="s">
        <v>801</v>
      </c>
      <c r="G460" s="15" t="s">
        <v>825</v>
      </c>
      <c r="H460" s="18">
        <v>0.0</v>
      </c>
      <c r="I460" s="16" t="s">
        <v>801</v>
      </c>
      <c r="J460" s="17">
        <v>89.42</v>
      </c>
    </row>
    <row r="461" ht="15.75" customHeight="1">
      <c r="A461" s="15" t="s">
        <v>1519</v>
      </c>
      <c r="B461" s="16" t="s">
        <v>801</v>
      </c>
      <c r="C461" s="17">
        <v>100.3</v>
      </c>
      <c r="D461" s="17">
        <v>109.31</v>
      </c>
      <c r="E461" s="15" t="s">
        <v>1520</v>
      </c>
      <c r="F461" s="16" t="s">
        <v>801</v>
      </c>
      <c r="G461" s="15" t="s">
        <v>825</v>
      </c>
      <c r="H461" s="18">
        <v>0.0</v>
      </c>
      <c r="I461" s="16" t="s">
        <v>801</v>
      </c>
      <c r="J461" s="17">
        <v>122.43</v>
      </c>
    </row>
    <row r="462" ht="15.75" customHeight="1">
      <c r="A462" s="15" t="s">
        <v>1521</v>
      </c>
      <c r="B462" s="16" t="s">
        <v>801</v>
      </c>
      <c r="C462" s="17">
        <v>158.14</v>
      </c>
      <c r="D462" s="17">
        <v>175.72</v>
      </c>
      <c r="E462" s="15" t="s">
        <v>1522</v>
      </c>
      <c r="F462" s="16" t="s">
        <v>801</v>
      </c>
      <c r="G462" s="15" t="s">
        <v>825</v>
      </c>
      <c r="H462" s="18">
        <v>0.0</v>
      </c>
      <c r="I462" s="16" t="s">
        <v>801</v>
      </c>
      <c r="J462" s="17">
        <v>196.81</v>
      </c>
    </row>
    <row r="463" ht="15.75" customHeight="1">
      <c r="A463" s="15" t="s">
        <v>1523</v>
      </c>
      <c r="B463" s="16" t="s">
        <v>801</v>
      </c>
      <c r="C463" s="17">
        <v>218.45</v>
      </c>
      <c r="D463" s="17">
        <v>242.72</v>
      </c>
      <c r="E463" s="15" t="s">
        <v>1524</v>
      </c>
      <c r="F463" s="16" t="s">
        <v>801</v>
      </c>
      <c r="G463" s="15" t="s">
        <v>825</v>
      </c>
      <c r="H463" s="18">
        <v>0.0</v>
      </c>
      <c r="I463" s="16" t="s">
        <v>801</v>
      </c>
      <c r="J463" s="17">
        <v>271.85</v>
      </c>
    </row>
    <row r="464" ht="15.75" customHeight="1">
      <c r="A464" s="15" t="s">
        <v>1525</v>
      </c>
      <c r="B464" s="16" t="s">
        <v>801</v>
      </c>
      <c r="C464" s="17">
        <v>43.41</v>
      </c>
      <c r="D464" s="17">
        <v>48.23</v>
      </c>
      <c r="E464" s="15" t="s">
        <v>1134</v>
      </c>
      <c r="F464" s="16" t="s">
        <v>801</v>
      </c>
      <c r="G464" s="15" t="s">
        <v>825</v>
      </c>
      <c r="H464" s="18">
        <v>0.0</v>
      </c>
      <c r="I464" s="16" t="s">
        <v>801</v>
      </c>
      <c r="J464" s="17">
        <v>54.02</v>
      </c>
    </row>
    <row r="465" ht="15.75" customHeight="1">
      <c r="A465" s="15" t="s">
        <v>1526</v>
      </c>
      <c r="B465" s="16" t="s">
        <v>801</v>
      </c>
      <c r="C465" s="17">
        <v>62.22</v>
      </c>
      <c r="D465" s="17">
        <v>69.12</v>
      </c>
      <c r="E465" s="15" t="s">
        <v>1527</v>
      </c>
      <c r="F465" s="16" t="s">
        <v>801</v>
      </c>
      <c r="G465" s="15" t="s">
        <v>825</v>
      </c>
      <c r="H465" s="18">
        <v>0.0</v>
      </c>
      <c r="I465" s="16" t="s">
        <v>801</v>
      </c>
      <c r="J465" s="17">
        <v>77.41</v>
      </c>
    </row>
    <row r="466" ht="15.75" customHeight="1">
      <c r="A466" s="15" t="s">
        <v>1528</v>
      </c>
      <c r="B466" s="16" t="s">
        <v>801</v>
      </c>
      <c r="C466" s="17">
        <v>124.72</v>
      </c>
      <c r="D466" s="17">
        <v>138.57</v>
      </c>
      <c r="E466" s="15" t="s">
        <v>1529</v>
      </c>
      <c r="F466" s="16" t="s">
        <v>801</v>
      </c>
      <c r="G466" s="15" t="s">
        <v>825</v>
      </c>
      <c r="H466" s="18">
        <v>0.0</v>
      </c>
      <c r="I466" s="16" t="s">
        <v>801</v>
      </c>
      <c r="J466" s="17">
        <v>155.2</v>
      </c>
    </row>
    <row r="467" ht="15.75" customHeight="1">
      <c r="A467" s="15" t="s">
        <v>1530</v>
      </c>
      <c r="B467" s="16" t="s">
        <v>801</v>
      </c>
      <c r="C467" s="17">
        <v>84.82</v>
      </c>
      <c r="D467" s="17">
        <v>94.25</v>
      </c>
      <c r="E467" s="15" t="s">
        <v>1531</v>
      </c>
      <c r="F467" s="16" t="s">
        <v>801</v>
      </c>
      <c r="G467" s="15" t="s">
        <v>825</v>
      </c>
      <c r="H467" s="18">
        <v>0.0</v>
      </c>
      <c r="I467" s="16" t="s">
        <v>801</v>
      </c>
      <c r="J467" s="17">
        <v>105.56</v>
      </c>
    </row>
    <row r="468" ht="15.75" customHeight="1">
      <c r="A468" s="15" t="s">
        <v>1532</v>
      </c>
      <c r="B468" s="16" t="s">
        <v>801</v>
      </c>
      <c r="C468" s="17">
        <v>123.71</v>
      </c>
      <c r="D468" s="17">
        <v>137.47</v>
      </c>
      <c r="E468" s="15" t="s">
        <v>1533</v>
      </c>
      <c r="F468" s="16" t="s">
        <v>801</v>
      </c>
      <c r="G468" s="15" t="s">
        <v>825</v>
      </c>
      <c r="H468" s="18">
        <v>0.0</v>
      </c>
      <c r="I468" s="16" t="s">
        <v>801</v>
      </c>
      <c r="J468" s="17">
        <v>153.97</v>
      </c>
    </row>
    <row r="469" ht="15.75" customHeight="1">
      <c r="A469" s="15" t="s">
        <v>1534</v>
      </c>
      <c r="B469" s="16" t="s">
        <v>801</v>
      </c>
      <c r="C469" s="17">
        <v>75.86</v>
      </c>
      <c r="D469" s="17">
        <v>84.28</v>
      </c>
      <c r="E469" s="15" t="s">
        <v>1535</v>
      </c>
      <c r="F469" s="16" t="s">
        <v>801</v>
      </c>
      <c r="G469" s="15" t="s">
        <v>825</v>
      </c>
      <c r="H469" s="18">
        <v>0.0</v>
      </c>
      <c r="I469" s="16" t="s">
        <v>801</v>
      </c>
      <c r="J469" s="17">
        <v>94.39</v>
      </c>
    </row>
    <row r="470" ht="15.75" customHeight="1">
      <c r="A470" s="15" t="s">
        <v>1536</v>
      </c>
      <c r="B470" s="16" t="s">
        <v>801</v>
      </c>
      <c r="C470" s="17">
        <v>39.86</v>
      </c>
      <c r="D470" s="17">
        <v>44.28</v>
      </c>
      <c r="E470" s="15" t="s">
        <v>1537</v>
      </c>
      <c r="F470" s="16" t="s">
        <v>801</v>
      </c>
      <c r="G470" s="15" t="s">
        <v>825</v>
      </c>
      <c r="H470" s="18">
        <v>0.0</v>
      </c>
      <c r="I470" s="16" t="s">
        <v>801</v>
      </c>
      <c r="J470" s="17">
        <v>49.59</v>
      </c>
    </row>
    <row r="471" ht="15.75" customHeight="1">
      <c r="A471" s="15" t="s">
        <v>1538</v>
      </c>
      <c r="B471" s="16" t="s">
        <v>801</v>
      </c>
      <c r="C471" s="17">
        <v>84.82</v>
      </c>
      <c r="D471" s="17">
        <v>94.24</v>
      </c>
      <c r="E471" s="15" t="s">
        <v>1531</v>
      </c>
      <c r="F471" s="16" t="s">
        <v>801</v>
      </c>
      <c r="G471" s="15" t="s">
        <v>825</v>
      </c>
      <c r="H471" s="18">
        <v>0.0</v>
      </c>
      <c r="I471" s="16" t="s">
        <v>801</v>
      </c>
      <c r="J471" s="17">
        <v>105.55</v>
      </c>
    </row>
    <row r="472" ht="15.75" customHeight="1">
      <c r="A472" s="15" t="s">
        <v>1539</v>
      </c>
      <c r="B472" s="16" t="s">
        <v>801</v>
      </c>
      <c r="C472" s="17">
        <v>39.38</v>
      </c>
      <c r="D472" s="17">
        <v>43.75</v>
      </c>
      <c r="E472" s="15" t="s">
        <v>1540</v>
      </c>
      <c r="F472" s="16" t="s">
        <v>801</v>
      </c>
      <c r="G472" s="15" t="s">
        <v>825</v>
      </c>
      <c r="H472" s="18">
        <v>0.0</v>
      </c>
      <c r="I472" s="16" t="s">
        <v>801</v>
      </c>
      <c r="J472" s="17">
        <v>49.0</v>
      </c>
    </row>
    <row r="473" ht="15.75" customHeight="1">
      <c r="A473" s="15" t="s">
        <v>1541</v>
      </c>
      <c r="B473" s="16" t="s">
        <v>801</v>
      </c>
      <c r="C473" s="17">
        <v>42.94</v>
      </c>
      <c r="D473" s="17">
        <v>47.71</v>
      </c>
      <c r="E473" s="15" t="s">
        <v>1542</v>
      </c>
      <c r="F473" s="16" t="s">
        <v>801</v>
      </c>
      <c r="G473" s="15" t="s">
        <v>825</v>
      </c>
      <c r="H473" s="18">
        <v>0.0</v>
      </c>
      <c r="I473" s="16" t="s">
        <v>801</v>
      </c>
      <c r="J473" s="17">
        <v>53.44</v>
      </c>
    </row>
    <row r="474" ht="15.75" customHeight="1">
      <c r="A474" s="15" t="s">
        <v>1543</v>
      </c>
      <c r="B474" s="16" t="s">
        <v>801</v>
      </c>
      <c r="C474" s="17">
        <v>122.14</v>
      </c>
      <c r="D474" s="17">
        <v>135.72</v>
      </c>
      <c r="E474" s="15" t="s">
        <v>886</v>
      </c>
      <c r="F474" s="16" t="s">
        <v>801</v>
      </c>
      <c r="G474" s="15" t="s">
        <v>825</v>
      </c>
      <c r="H474" s="18">
        <v>0.0</v>
      </c>
      <c r="I474" s="16" t="s">
        <v>801</v>
      </c>
      <c r="J474" s="17">
        <v>152.01</v>
      </c>
    </row>
    <row r="475" ht="15.75" customHeight="1">
      <c r="A475" s="15" t="s">
        <v>1544</v>
      </c>
      <c r="B475" s="16" t="s">
        <v>801</v>
      </c>
      <c r="C475" s="17">
        <v>35.33</v>
      </c>
      <c r="D475" s="17">
        <v>39.25</v>
      </c>
      <c r="E475" s="15" t="s">
        <v>1545</v>
      </c>
      <c r="F475" s="16" t="s">
        <v>801</v>
      </c>
      <c r="G475" s="15" t="s">
        <v>825</v>
      </c>
      <c r="H475" s="18">
        <v>0.0</v>
      </c>
      <c r="I475" s="16" t="s">
        <v>801</v>
      </c>
      <c r="J475" s="17">
        <v>43.96</v>
      </c>
    </row>
    <row r="476" ht="15.75" customHeight="1">
      <c r="A476" s="15" t="s">
        <v>1546</v>
      </c>
      <c r="B476" s="16" t="s">
        <v>801</v>
      </c>
      <c r="C476" s="17">
        <v>30.08</v>
      </c>
      <c r="D476" s="17">
        <v>34.26</v>
      </c>
      <c r="E476" s="15" t="s">
        <v>1547</v>
      </c>
      <c r="F476" s="16" t="s">
        <v>801</v>
      </c>
      <c r="G476" s="15" t="s">
        <v>825</v>
      </c>
      <c r="H476" s="18">
        <v>0.0</v>
      </c>
      <c r="I476" s="16" t="s">
        <v>801</v>
      </c>
      <c r="J476" s="17">
        <v>38.37</v>
      </c>
    </row>
    <row r="477" ht="15.75" customHeight="1">
      <c r="A477" s="12" t="s">
        <v>804</v>
      </c>
      <c r="B477" s="13"/>
      <c r="C477" s="13"/>
      <c r="D477" s="13"/>
      <c r="E477" s="13"/>
      <c r="F477" s="13"/>
      <c r="G477" s="13"/>
      <c r="H477" s="13"/>
      <c r="I477" s="13"/>
      <c r="J477" s="13"/>
    </row>
    <row r="478" ht="15.75" customHeight="1">
      <c r="A478" s="14" t="s">
        <v>763</v>
      </c>
    </row>
    <row r="479" ht="15.75" customHeight="1">
      <c r="A479" s="14" t="s">
        <v>804</v>
      </c>
    </row>
    <row r="480" ht="15.75" customHeight="1">
      <c r="A480" s="15" t="s">
        <v>1548</v>
      </c>
      <c r="B480" s="16" t="s">
        <v>801</v>
      </c>
      <c r="C480" s="17">
        <v>142.14</v>
      </c>
      <c r="D480" s="17">
        <v>148.08</v>
      </c>
      <c r="E480" s="15" t="s">
        <v>864</v>
      </c>
      <c r="F480" s="16" t="s">
        <v>801</v>
      </c>
      <c r="G480" s="15" t="s">
        <v>825</v>
      </c>
      <c r="H480" s="18">
        <v>0.0</v>
      </c>
      <c r="I480" s="16" t="s">
        <v>801</v>
      </c>
      <c r="J480" s="17">
        <v>165.85</v>
      </c>
    </row>
    <row r="481" ht="15.75" customHeight="1">
      <c r="A481" s="15" t="s">
        <v>1549</v>
      </c>
      <c r="B481" s="16" t="s">
        <v>801</v>
      </c>
      <c r="C481" s="17">
        <v>80.36</v>
      </c>
      <c r="D481" s="17">
        <v>107.71</v>
      </c>
      <c r="E481" s="15" t="s">
        <v>827</v>
      </c>
      <c r="F481" s="16" t="s">
        <v>801</v>
      </c>
      <c r="G481" s="15" t="s">
        <v>825</v>
      </c>
      <c r="H481" s="18">
        <v>0.0</v>
      </c>
      <c r="I481" s="16" t="s">
        <v>801</v>
      </c>
      <c r="J481" s="17">
        <v>120.64</v>
      </c>
    </row>
    <row r="482" ht="15.75" customHeight="1">
      <c r="A482" s="15" t="s">
        <v>1550</v>
      </c>
      <c r="B482" s="16" t="s">
        <v>801</v>
      </c>
      <c r="C482" s="17">
        <v>159.32</v>
      </c>
      <c r="D482" s="17">
        <v>159.33</v>
      </c>
      <c r="E482" s="15" t="s">
        <v>1551</v>
      </c>
      <c r="F482" s="16" t="s">
        <v>801</v>
      </c>
      <c r="G482" s="15" t="s">
        <v>855</v>
      </c>
      <c r="H482" s="18">
        <v>0.0</v>
      </c>
      <c r="I482" s="16" t="s">
        <v>801</v>
      </c>
      <c r="J482" s="17">
        <v>188.01</v>
      </c>
    </row>
    <row r="483" ht="15.75" customHeight="1">
      <c r="A483" s="15" t="s">
        <v>1552</v>
      </c>
      <c r="B483" s="16" t="s">
        <v>801</v>
      </c>
      <c r="C483" s="17">
        <v>172.88</v>
      </c>
      <c r="D483" s="17">
        <v>182.15</v>
      </c>
      <c r="E483" s="15" t="s">
        <v>1553</v>
      </c>
      <c r="F483" s="16" t="s">
        <v>801</v>
      </c>
      <c r="G483" s="15" t="s">
        <v>855</v>
      </c>
      <c r="H483" s="18">
        <v>0.0</v>
      </c>
      <c r="I483" s="16" t="s">
        <v>801</v>
      </c>
      <c r="J483" s="17">
        <v>214.94</v>
      </c>
    </row>
    <row r="484" ht="15.75" customHeight="1">
      <c r="A484" s="15" t="s">
        <v>1554</v>
      </c>
      <c r="B484" s="16" t="s">
        <v>801</v>
      </c>
      <c r="C484" s="17">
        <v>142.82</v>
      </c>
      <c r="D484" s="17">
        <v>142.82</v>
      </c>
      <c r="E484" s="15" t="s">
        <v>1555</v>
      </c>
      <c r="F484" s="16" t="s">
        <v>801</v>
      </c>
      <c r="G484" s="15" t="s">
        <v>825</v>
      </c>
      <c r="H484" s="18">
        <v>0.0</v>
      </c>
      <c r="I484" s="16" t="s">
        <v>801</v>
      </c>
      <c r="J484" s="17">
        <v>159.96</v>
      </c>
    </row>
    <row r="485" ht="15.75" customHeight="1">
      <c r="A485" s="15" t="s">
        <v>1556</v>
      </c>
      <c r="B485" s="16" t="s">
        <v>801</v>
      </c>
      <c r="C485" s="17">
        <v>105.54</v>
      </c>
      <c r="D485" s="17">
        <v>140.72</v>
      </c>
      <c r="E485" s="15" t="s">
        <v>1557</v>
      </c>
      <c r="F485" s="16" t="s">
        <v>801</v>
      </c>
      <c r="G485" s="15" t="s">
        <v>825</v>
      </c>
      <c r="H485" s="18">
        <v>0.0</v>
      </c>
      <c r="I485" s="16" t="s">
        <v>801</v>
      </c>
      <c r="J485" s="17">
        <v>157.61</v>
      </c>
    </row>
    <row r="486" ht="15.75" customHeight="1">
      <c r="A486" s="15" t="s">
        <v>1558</v>
      </c>
      <c r="B486" s="16" t="s">
        <v>801</v>
      </c>
      <c r="C486" s="17">
        <v>92.86</v>
      </c>
      <c r="D486" s="17">
        <v>92.86</v>
      </c>
      <c r="E486" s="15" t="s">
        <v>1559</v>
      </c>
      <c r="F486" s="16" t="s">
        <v>801</v>
      </c>
      <c r="G486" s="15" t="s">
        <v>825</v>
      </c>
      <c r="H486" s="18">
        <v>0.0</v>
      </c>
      <c r="I486" s="16" t="s">
        <v>801</v>
      </c>
      <c r="J486" s="17">
        <v>104.0</v>
      </c>
    </row>
    <row r="487" ht="15.75" customHeight="1">
      <c r="A487" s="15" t="s">
        <v>1560</v>
      </c>
      <c r="B487" s="16" t="s">
        <v>801</v>
      </c>
      <c r="C487" s="17">
        <v>160.71</v>
      </c>
      <c r="D487" s="17">
        <v>160.72</v>
      </c>
      <c r="E487" s="15" t="s">
        <v>1561</v>
      </c>
      <c r="F487" s="16" t="s">
        <v>801</v>
      </c>
      <c r="G487" s="15" t="s">
        <v>825</v>
      </c>
      <c r="H487" s="18">
        <v>0.0</v>
      </c>
      <c r="I487" s="16" t="s">
        <v>801</v>
      </c>
      <c r="J487" s="17">
        <v>180.01</v>
      </c>
    </row>
    <row r="488" ht="15.75" customHeight="1">
      <c r="A488" s="12" t="s">
        <v>804</v>
      </c>
      <c r="B488" s="13"/>
      <c r="C488" s="13"/>
      <c r="D488" s="13"/>
      <c r="E488" s="13"/>
      <c r="F488" s="13"/>
      <c r="G488" s="13"/>
      <c r="H488" s="13"/>
      <c r="I488" s="13"/>
      <c r="J488" s="13"/>
    </row>
    <row r="489" ht="15.75" customHeight="1">
      <c r="A489" s="14" t="s">
        <v>789</v>
      </c>
    </row>
    <row r="490" ht="15.75" customHeight="1">
      <c r="A490" s="14" t="s">
        <v>804</v>
      </c>
    </row>
    <row r="491" ht="15.75" customHeight="1">
      <c r="A491" s="15" t="s">
        <v>1562</v>
      </c>
      <c r="B491" s="16" t="s">
        <v>801</v>
      </c>
      <c r="C491" s="17">
        <v>52.07</v>
      </c>
      <c r="D491" s="17">
        <v>60.27</v>
      </c>
      <c r="E491" s="15" t="s">
        <v>1563</v>
      </c>
      <c r="F491" s="16" t="s">
        <v>801</v>
      </c>
      <c r="G491" s="15" t="s">
        <v>825</v>
      </c>
      <c r="H491" s="18">
        <v>0.0</v>
      </c>
      <c r="I491" s="16" t="s">
        <v>801</v>
      </c>
      <c r="J491" s="17">
        <v>67.5</v>
      </c>
    </row>
    <row r="492" ht="15.75" customHeight="1">
      <c r="A492" s="12" t="s">
        <v>804</v>
      </c>
      <c r="B492" s="13"/>
      <c r="C492" s="13"/>
      <c r="D492" s="13"/>
      <c r="E492" s="13"/>
      <c r="F492" s="13"/>
      <c r="G492" s="13"/>
      <c r="H492" s="13"/>
      <c r="I492" s="13"/>
      <c r="J492" s="13"/>
    </row>
    <row r="493" ht="15.75" customHeight="1">
      <c r="A493" s="14" t="s">
        <v>768</v>
      </c>
    </row>
    <row r="494" ht="15.75" customHeight="1">
      <c r="A494" s="14" t="s">
        <v>804</v>
      </c>
    </row>
    <row r="495" ht="15.75" customHeight="1">
      <c r="A495" s="15" t="s">
        <v>1564</v>
      </c>
      <c r="B495" s="16" t="s">
        <v>801</v>
      </c>
      <c r="C495" s="17">
        <v>86.43</v>
      </c>
      <c r="D495" s="17">
        <v>86.43</v>
      </c>
      <c r="E495" s="15" t="s">
        <v>1565</v>
      </c>
      <c r="F495" s="16" t="s">
        <v>801</v>
      </c>
      <c r="G495" s="15" t="s">
        <v>825</v>
      </c>
      <c r="H495" s="18">
        <v>0.0</v>
      </c>
      <c r="I495" s="16" t="s">
        <v>801</v>
      </c>
      <c r="J495" s="17">
        <v>96.8</v>
      </c>
    </row>
    <row r="496" ht="15.75" customHeight="1">
      <c r="A496" s="15" t="s">
        <v>1566</v>
      </c>
      <c r="B496" s="16" t="s">
        <v>801</v>
      </c>
      <c r="C496" s="17">
        <v>160.71</v>
      </c>
      <c r="D496" s="17">
        <v>160.71</v>
      </c>
      <c r="E496" s="15" t="s">
        <v>1561</v>
      </c>
      <c r="F496" s="16" t="s">
        <v>801</v>
      </c>
      <c r="G496" s="15" t="s">
        <v>825</v>
      </c>
      <c r="H496" s="18">
        <v>0.0</v>
      </c>
      <c r="I496" s="16" t="s">
        <v>801</v>
      </c>
      <c r="J496" s="17">
        <v>180.0</v>
      </c>
    </row>
    <row r="497" ht="15.75" customHeight="1">
      <c r="A497" s="15" t="s">
        <v>1567</v>
      </c>
      <c r="B497" s="16" t="s">
        <v>801</v>
      </c>
      <c r="C497" s="17">
        <v>123.5</v>
      </c>
      <c r="D497" s="17">
        <v>123.57</v>
      </c>
      <c r="E497" s="15" t="s">
        <v>1568</v>
      </c>
      <c r="F497" s="16" t="s">
        <v>801</v>
      </c>
      <c r="G497" s="15" t="s">
        <v>825</v>
      </c>
      <c r="H497" s="18">
        <v>0.0</v>
      </c>
      <c r="I497" s="16" t="s">
        <v>801</v>
      </c>
      <c r="J497" s="17">
        <v>138.4</v>
      </c>
    </row>
    <row r="498" ht="15.75" customHeight="1">
      <c r="A498" s="15" t="s">
        <v>1569</v>
      </c>
      <c r="B498" s="16" t="s">
        <v>801</v>
      </c>
      <c r="C498" s="17">
        <v>81.43</v>
      </c>
      <c r="D498" s="17">
        <v>81.43</v>
      </c>
      <c r="E498" s="15" t="s">
        <v>1570</v>
      </c>
      <c r="F498" s="16" t="s">
        <v>801</v>
      </c>
      <c r="G498" s="15" t="s">
        <v>825</v>
      </c>
      <c r="H498" s="18">
        <v>0.0</v>
      </c>
      <c r="I498" s="16" t="s">
        <v>801</v>
      </c>
      <c r="J498" s="17">
        <v>91.2</v>
      </c>
    </row>
    <row r="499" ht="15.75" customHeight="1">
      <c r="A499" s="15" t="s">
        <v>1571</v>
      </c>
      <c r="B499" s="16" t="s">
        <v>801</v>
      </c>
      <c r="C499" s="17">
        <v>112.5</v>
      </c>
      <c r="D499" s="17">
        <v>112.5</v>
      </c>
      <c r="E499" s="15" t="s">
        <v>1572</v>
      </c>
      <c r="F499" s="16" t="s">
        <v>801</v>
      </c>
      <c r="G499" s="15" t="s">
        <v>825</v>
      </c>
      <c r="H499" s="18">
        <v>0.0</v>
      </c>
      <c r="I499" s="16" t="s">
        <v>801</v>
      </c>
      <c r="J499" s="17">
        <v>126.0</v>
      </c>
    </row>
    <row r="500" ht="15.75" customHeight="1">
      <c r="A500" s="12" t="s">
        <v>804</v>
      </c>
      <c r="B500" s="13"/>
      <c r="C500" s="13"/>
      <c r="D500" s="13"/>
      <c r="E500" s="13"/>
      <c r="F500" s="13"/>
      <c r="G500" s="13"/>
      <c r="H500" s="13"/>
      <c r="I500" s="13"/>
      <c r="J500" s="13"/>
    </row>
    <row r="501" ht="15.75" customHeight="1">
      <c r="A501" s="14" t="s">
        <v>777</v>
      </c>
    </row>
    <row r="502" ht="15.75" customHeight="1">
      <c r="A502" s="14" t="s">
        <v>804</v>
      </c>
    </row>
    <row r="503" ht="15.75" customHeight="1">
      <c r="A503" s="15" t="s">
        <v>1573</v>
      </c>
      <c r="B503" s="16" t="s">
        <v>801</v>
      </c>
      <c r="C503" s="17">
        <v>67.12</v>
      </c>
      <c r="D503" s="17">
        <v>74.58</v>
      </c>
      <c r="E503" s="15" t="s">
        <v>1212</v>
      </c>
      <c r="F503" s="16" t="s">
        <v>801</v>
      </c>
      <c r="G503" s="15" t="s">
        <v>855</v>
      </c>
      <c r="H503" s="18">
        <v>0.0</v>
      </c>
      <c r="I503" s="16" t="s">
        <v>801</v>
      </c>
      <c r="J503" s="17">
        <v>88.0</v>
      </c>
    </row>
    <row r="504" ht="15.75" customHeight="1">
      <c r="A504" s="15" t="s">
        <v>1574</v>
      </c>
      <c r="B504" s="16" t="s">
        <v>801</v>
      </c>
      <c r="C504" s="17">
        <v>26.36</v>
      </c>
      <c r="D504" s="17">
        <v>29.28</v>
      </c>
      <c r="E504" s="15" t="s">
        <v>896</v>
      </c>
      <c r="F504" s="16" t="s">
        <v>801</v>
      </c>
      <c r="G504" s="15" t="s">
        <v>825</v>
      </c>
      <c r="H504" s="18">
        <v>0.0</v>
      </c>
      <c r="I504" s="16" t="s">
        <v>801</v>
      </c>
      <c r="J504" s="17">
        <v>32.79</v>
      </c>
    </row>
    <row r="505" ht="15.75" customHeight="1">
      <c r="A505" s="12" t="s">
        <v>804</v>
      </c>
      <c r="B505" s="13"/>
      <c r="C505" s="13"/>
      <c r="D505" s="13"/>
      <c r="E505" s="13"/>
      <c r="F505" s="13"/>
      <c r="G505" s="13"/>
      <c r="H505" s="13"/>
      <c r="I505" s="13"/>
      <c r="J505" s="13"/>
    </row>
    <row r="506" ht="15.75" customHeight="1">
      <c r="A506" s="14" t="s">
        <v>749</v>
      </c>
    </row>
    <row r="507" ht="15.75" customHeight="1">
      <c r="A507" s="14" t="s">
        <v>804</v>
      </c>
    </row>
    <row r="508" ht="15.75" customHeight="1">
      <c r="A508" s="15" t="s">
        <v>1575</v>
      </c>
      <c r="B508" s="16" t="s">
        <v>801</v>
      </c>
      <c r="C508" s="17">
        <v>113.74</v>
      </c>
      <c r="D508" s="17">
        <v>113.74</v>
      </c>
      <c r="E508" s="15" t="s">
        <v>1576</v>
      </c>
      <c r="F508" s="16" t="s">
        <v>801</v>
      </c>
      <c r="G508" s="15" t="s">
        <v>825</v>
      </c>
      <c r="H508" s="18">
        <v>0.0</v>
      </c>
      <c r="I508" s="16" t="s">
        <v>801</v>
      </c>
      <c r="J508" s="17">
        <v>127.39</v>
      </c>
    </row>
    <row r="509" ht="15.75" customHeight="1">
      <c r="A509" s="15" t="s">
        <v>1577</v>
      </c>
      <c r="B509" s="16" t="s">
        <v>801</v>
      </c>
      <c r="C509" s="17">
        <v>91.53</v>
      </c>
      <c r="D509" s="17">
        <v>101.69</v>
      </c>
      <c r="E509" s="15" t="s">
        <v>827</v>
      </c>
      <c r="F509" s="16" t="s">
        <v>801</v>
      </c>
      <c r="G509" s="15" t="s">
        <v>855</v>
      </c>
      <c r="H509" s="18">
        <v>0.0</v>
      </c>
      <c r="I509" s="16" t="s">
        <v>801</v>
      </c>
      <c r="J509" s="17">
        <v>119.99</v>
      </c>
    </row>
    <row r="510" ht="15.75" customHeight="1">
      <c r="A510" s="15" t="s">
        <v>1578</v>
      </c>
      <c r="B510" s="16" t="s">
        <v>801</v>
      </c>
      <c r="C510" s="17">
        <v>48.81</v>
      </c>
      <c r="D510" s="17">
        <v>54.23</v>
      </c>
      <c r="E510" s="15" t="s">
        <v>842</v>
      </c>
      <c r="F510" s="16" t="s">
        <v>801</v>
      </c>
      <c r="G510" s="15" t="s">
        <v>855</v>
      </c>
      <c r="H510" s="18">
        <v>0.0</v>
      </c>
      <c r="I510" s="16" t="s">
        <v>801</v>
      </c>
      <c r="J510" s="17">
        <v>63.99</v>
      </c>
    </row>
    <row r="511" ht="15.75" customHeight="1">
      <c r="A511" s="15" t="s">
        <v>1579</v>
      </c>
      <c r="B511" s="16" t="s">
        <v>801</v>
      </c>
      <c r="C511" s="17">
        <v>19.44</v>
      </c>
      <c r="D511" s="17">
        <v>21.59</v>
      </c>
      <c r="E511" s="15" t="s">
        <v>1580</v>
      </c>
      <c r="F511" s="16" t="s">
        <v>801</v>
      </c>
      <c r="G511" s="15" t="s">
        <v>825</v>
      </c>
      <c r="H511" s="18">
        <v>0.0</v>
      </c>
      <c r="I511" s="16" t="s">
        <v>801</v>
      </c>
      <c r="J511" s="17">
        <v>24.18</v>
      </c>
    </row>
    <row r="512" ht="15.75" customHeight="1">
      <c r="A512" s="15" t="s">
        <v>1581</v>
      </c>
      <c r="B512" s="16" t="s">
        <v>801</v>
      </c>
      <c r="C512" s="17">
        <v>8.37</v>
      </c>
      <c r="D512" s="17">
        <v>9.29</v>
      </c>
      <c r="E512" s="15" t="s">
        <v>1582</v>
      </c>
      <c r="F512" s="16" t="s">
        <v>801</v>
      </c>
      <c r="G512" s="15" t="s">
        <v>825</v>
      </c>
      <c r="H512" s="18">
        <v>0.0</v>
      </c>
      <c r="I512" s="16" t="s">
        <v>801</v>
      </c>
      <c r="J512" s="17">
        <v>10.4</v>
      </c>
    </row>
    <row r="513" ht="15.75" customHeight="1">
      <c r="A513" s="15" t="s">
        <v>1583</v>
      </c>
      <c r="B513" s="16" t="s">
        <v>801</v>
      </c>
      <c r="C513" s="17">
        <v>26.13</v>
      </c>
      <c r="D513" s="17">
        <v>29.03</v>
      </c>
      <c r="E513" s="15" t="s">
        <v>1584</v>
      </c>
      <c r="F513" s="16" t="s">
        <v>801</v>
      </c>
      <c r="G513" s="15" t="s">
        <v>825</v>
      </c>
      <c r="H513" s="18">
        <v>0.0</v>
      </c>
      <c r="I513" s="16" t="s">
        <v>801</v>
      </c>
      <c r="J513" s="17">
        <v>32.51</v>
      </c>
    </row>
    <row r="514" ht="15.75" customHeight="1">
      <c r="A514" s="15" t="s">
        <v>1585</v>
      </c>
      <c r="B514" s="16" t="s">
        <v>801</v>
      </c>
      <c r="C514" s="17">
        <v>20.48</v>
      </c>
      <c r="D514" s="17">
        <v>22.75</v>
      </c>
      <c r="E514" s="15" t="s">
        <v>1586</v>
      </c>
      <c r="F514" s="16" t="s">
        <v>801</v>
      </c>
      <c r="G514" s="15" t="s">
        <v>825</v>
      </c>
      <c r="H514" s="18">
        <v>0.0</v>
      </c>
      <c r="I514" s="16" t="s">
        <v>801</v>
      </c>
      <c r="J514" s="17">
        <v>25.48</v>
      </c>
    </row>
    <row r="515" ht="15.75" customHeight="1">
      <c r="A515" s="15" t="s">
        <v>1587</v>
      </c>
      <c r="B515" s="16" t="s">
        <v>801</v>
      </c>
      <c r="C515" s="17">
        <v>37.18</v>
      </c>
      <c r="D515" s="17">
        <v>41.31</v>
      </c>
      <c r="E515" s="15" t="s">
        <v>1588</v>
      </c>
      <c r="F515" s="16" t="s">
        <v>801</v>
      </c>
      <c r="G515" s="15" t="s">
        <v>825</v>
      </c>
      <c r="H515" s="18">
        <v>0.0</v>
      </c>
      <c r="I515" s="16" t="s">
        <v>801</v>
      </c>
      <c r="J515" s="17">
        <v>46.27</v>
      </c>
    </row>
    <row r="516" ht="15.75" customHeight="1">
      <c r="A516" s="15" t="s">
        <v>1589</v>
      </c>
      <c r="B516" s="16" t="s">
        <v>801</v>
      </c>
      <c r="C516" s="17">
        <v>36.84</v>
      </c>
      <c r="D516" s="17">
        <v>40.93</v>
      </c>
      <c r="E516" s="15" t="s">
        <v>1590</v>
      </c>
      <c r="F516" s="16" t="s">
        <v>801</v>
      </c>
      <c r="G516" s="15" t="s">
        <v>825</v>
      </c>
      <c r="H516" s="18">
        <v>0.0</v>
      </c>
      <c r="I516" s="16" t="s">
        <v>801</v>
      </c>
      <c r="J516" s="17">
        <v>45.84</v>
      </c>
    </row>
    <row r="517" ht="15.75" customHeight="1">
      <c r="A517" s="15" t="s">
        <v>1591</v>
      </c>
      <c r="B517" s="16" t="s">
        <v>801</v>
      </c>
      <c r="C517" s="17">
        <v>29.04</v>
      </c>
      <c r="D517" s="17">
        <v>29.04</v>
      </c>
      <c r="E517" s="15" t="s">
        <v>1584</v>
      </c>
      <c r="F517" s="16" t="s">
        <v>801</v>
      </c>
      <c r="G517" s="15" t="s">
        <v>825</v>
      </c>
      <c r="H517" s="18">
        <v>0.0</v>
      </c>
      <c r="I517" s="16" t="s">
        <v>801</v>
      </c>
      <c r="J517" s="17">
        <v>32.52</v>
      </c>
    </row>
    <row r="518" ht="15.75" customHeight="1">
      <c r="A518" s="15" t="s">
        <v>1592</v>
      </c>
      <c r="B518" s="16" t="s">
        <v>801</v>
      </c>
      <c r="C518" s="17">
        <v>54.64</v>
      </c>
      <c r="D518" s="17">
        <v>60.71</v>
      </c>
      <c r="E518" s="15" t="s">
        <v>914</v>
      </c>
      <c r="F518" s="16" t="s">
        <v>801</v>
      </c>
      <c r="G518" s="15" t="s">
        <v>825</v>
      </c>
      <c r="H518" s="18">
        <v>0.0</v>
      </c>
      <c r="I518" s="16" t="s">
        <v>801</v>
      </c>
      <c r="J518" s="17">
        <v>68.0</v>
      </c>
    </row>
    <row r="519" ht="15.75" customHeight="1">
      <c r="A519" s="15" t="s">
        <v>1593</v>
      </c>
      <c r="B519" s="16" t="s">
        <v>801</v>
      </c>
      <c r="C519" s="17">
        <v>49.5</v>
      </c>
      <c r="D519" s="17">
        <v>54.99</v>
      </c>
      <c r="E519" s="15" t="s">
        <v>1594</v>
      </c>
      <c r="F519" s="16" t="s">
        <v>801</v>
      </c>
      <c r="G519" s="15" t="s">
        <v>825</v>
      </c>
      <c r="H519" s="18">
        <v>0.0</v>
      </c>
      <c r="I519" s="16" t="s">
        <v>801</v>
      </c>
      <c r="J519" s="17">
        <v>61.59</v>
      </c>
    </row>
    <row r="520" ht="15.75" customHeight="1">
      <c r="A520" s="15" t="s">
        <v>1595</v>
      </c>
      <c r="B520" s="16" t="s">
        <v>801</v>
      </c>
      <c r="C520" s="17">
        <v>34.07</v>
      </c>
      <c r="D520" s="17">
        <v>37.85</v>
      </c>
      <c r="E520" s="15" t="s">
        <v>1596</v>
      </c>
      <c r="F520" s="16" t="s">
        <v>801</v>
      </c>
      <c r="G520" s="15" t="s">
        <v>825</v>
      </c>
      <c r="H520" s="18">
        <v>0.0</v>
      </c>
      <c r="I520" s="16" t="s">
        <v>801</v>
      </c>
      <c r="J520" s="17">
        <v>42.39</v>
      </c>
    </row>
    <row r="521" ht="15.75" customHeight="1">
      <c r="A521" s="15" t="s">
        <v>1597</v>
      </c>
      <c r="B521" s="16" t="s">
        <v>801</v>
      </c>
      <c r="C521" s="17">
        <v>38.89</v>
      </c>
      <c r="D521" s="17">
        <v>43.21</v>
      </c>
      <c r="E521" s="15" t="s">
        <v>1598</v>
      </c>
      <c r="F521" s="16" t="s">
        <v>801</v>
      </c>
      <c r="G521" s="15" t="s">
        <v>825</v>
      </c>
      <c r="H521" s="18">
        <v>0.0</v>
      </c>
      <c r="I521" s="16" t="s">
        <v>801</v>
      </c>
      <c r="J521" s="17">
        <v>48.4</v>
      </c>
    </row>
    <row r="522" ht="15.75" customHeight="1">
      <c r="A522" s="15" t="s">
        <v>1599</v>
      </c>
      <c r="B522" s="16" t="s">
        <v>801</v>
      </c>
      <c r="C522" s="17">
        <v>20.48</v>
      </c>
      <c r="D522" s="17">
        <v>22.75</v>
      </c>
      <c r="E522" s="15" t="s">
        <v>1586</v>
      </c>
      <c r="F522" s="16" t="s">
        <v>801</v>
      </c>
      <c r="G522" s="15" t="s">
        <v>825</v>
      </c>
      <c r="H522" s="18">
        <v>0.0</v>
      </c>
      <c r="I522" s="16" t="s">
        <v>801</v>
      </c>
      <c r="J522" s="17">
        <v>25.48</v>
      </c>
    </row>
    <row r="523" ht="15.75" customHeight="1">
      <c r="A523" s="15" t="s">
        <v>1600</v>
      </c>
      <c r="B523" s="16" t="s">
        <v>801</v>
      </c>
      <c r="C523" s="17">
        <v>21.21</v>
      </c>
      <c r="D523" s="17">
        <v>23.56</v>
      </c>
      <c r="E523" s="15" t="s">
        <v>1601</v>
      </c>
      <c r="F523" s="16" t="s">
        <v>801</v>
      </c>
      <c r="G523" s="15" t="s">
        <v>825</v>
      </c>
      <c r="H523" s="18">
        <v>0.0</v>
      </c>
      <c r="I523" s="16" t="s">
        <v>801</v>
      </c>
      <c r="J523" s="17">
        <v>26.39</v>
      </c>
    </row>
    <row r="524" ht="15.75" customHeight="1">
      <c r="A524" s="15" t="s">
        <v>1602</v>
      </c>
      <c r="B524" s="16" t="s">
        <v>801</v>
      </c>
      <c r="C524" s="17">
        <v>11.49</v>
      </c>
      <c r="D524" s="17">
        <v>12.76</v>
      </c>
      <c r="E524" s="15" t="s">
        <v>1603</v>
      </c>
      <c r="F524" s="16" t="s">
        <v>801</v>
      </c>
      <c r="G524" s="15" t="s">
        <v>825</v>
      </c>
      <c r="H524" s="18">
        <v>0.0</v>
      </c>
      <c r="I524" s="16" t="s">
        <v>801</v>
      </c>
      <c r="J524" s="17">
        <v>14.29</v>
      </c>
    </row>
    <row r="525" ht="15.75" customHeight="1">
      <c r="A525" s="15" t="s">
        <v>1604</v>
      </c>
      <c r="B525" s="16" t="s">
        <v>801</v>
      </c>
      <c r="C525" s="17">
        <v>5.53</v>
      </c>
      <c r="D525" s="17">
        <v>6.14</v>
      </c>
      <c r="E525" s="15" t="s">
        <v>1605</v>
      </c>
      <c r="F525" s="16" t="s">
        <v>801</v>
      </c>
      <c r="G525" s="15" t="s">
        <v>825</v>
      </c>
      <c r="H525" s="18">
        <v>0.0</v>
      </c>
      <c r="I525" s="16" t="s">
        <v>801</v>
      </c>
      <c r="J525" s="17">
        <v>6.88</v>
      </c>
    </row>
    <row r="526" ht="15.75" customHeight="1">
      <c r="A526" s="15" t="s">
        <v>1606</v>
      </c>
      <c r="B526" s="16" t="s">
        <v>801</v>
      </c>
      <c r="C526" s="17">
        <v>115.65</v>
      </c>
      <c r="D526" s="17">
        <v>128.49</v>
      </c>
      <c r="E526" s="15" t="s">
        <v>1607</v>
      </c>
      <c r="F526" s="16" t="s">
        <v>801</v>
      </c>
      <c r="G526" s="15" t="s">
        <v>825</v>
      </c>
      <c r="H526" s="18">
        <v>0.0</v>
      </c>
      <c r="I526" s="16" t="s">
        <v>801</v>
      </c>
      <c r="J526" s="17">
        <v>143.91</v>
      </c>
    </row>
    <row r="527" ht="15.75" customHeight="1">
      <c r="A527" s="15" t="s">
        <v>1608</v>
      </c>
      <c r="B527" s="16" t="s">
        <v>801</v>
      </c>
      <c r="C527" s="17">
        <v>32.53</v>
      </c>
      <c r="D527" s="17">
        <v>36.14</v>
      </c>
      <c r="E527" s="15" t="s">
        <v>1609</v>
      </c>
      <c r="F527" s="16" t="s">
        <v>801</v>
      </c>
      <c r="G527" s="15" t="s">
        <v>825</v>
      </c>
      <c r="H527" s="18">
        <v>0.0</v>
      </c>
      <c r="I527" s="16" t="s">
        <v>801</v>
      </c>
      <c r="J527" s="17">
        <v>40.48</v>
      </c>
    </row>
    <row r="528" ht="15.75" customHeight="1">
      <c r="A528" s="15" t="s">
        <v>1610</v>
      </c>
      <c r="B528" s="16" t="s">
        <v>801</v>
      </c>
      <c r="C528" s="17">
        <v>51.2</v>
      </c>
      <c r="D528" s="17">
        <v>56.88</v>
      </c>
      <c r="E528" s="15" t="s">
        <v>1611</v>
      </c>
      <c r="F528" s="16" t="s">
        <v>801</v>
      </c>
      <c r="G528" s="15" t="s">
        <v>825</v>
      </c>
      <c r="H528" s="18">
        <v>0.0</v>
      </c>
      <c r="I528" s="16" t="s">
        <v>801</v>
      </c>
      <c r="J528" s="17">
        <v>63.71</v>
      </c>
    </row>
    <row r="529" ht="15.75" customHeight="1">
      <c r="A529" s="15" t="s">
        <v>1612</v>
      </c>
      <c r="B529" s="16" t="s">
        <v>801</v>
      </c>
      <c r="C529" s="17">
        <v>64.07</v>
      </c>
      <c r="D529" s="17">
        <v>71.18</v>
      </c>
      <c r="E529" s="15" t="s">
        <v>1613</v>
      </c>
      <c r="F529" s="16" t="s">
        <v>801</v>
      </c>
      <c r="G529" s="15" t="s">
        <v>855</v>
      </c>
      <c r="H529" s="18">
        <v>0.0</v>
      </c>
      <c r="I529" s="16" t="s">
        <v>801</v>
      </c>
      <c r="J529" s="17">
        <v>83.99</v>
      </c>
    </row>
    <row r="530" ht="15.75" customHeight="1">
      <c r="A530" s="15" t="s">
        <v>1614</v>
      </c>
      <c r="B530" s="16" t="s">
        <v>801</v>
      </c>
      <c r="C530" s="17">
        <v>89.94</v>
      </c>
      <c r="D530" s="17">
        <v>99.93</v>
      </c>
      <c r="E530" s="15" t="s">
        <v>1615</v>
      </c>
      <c r="F530" s="16" t="s">
        <v>801</v>
      </c>
      <c r="G530" s="15" t="s">
        <v>825</v>
      </c>
      <c r="H530" s="18">
        <v>0.0</v>
      </c>
      <c r="I530" s="16" t="s">
        <v>801</v>
      </c>
      <c r="J530" s="17">
        <v>111.92</v>
      </c>
    </row>
    <row r="531" ht="15.75" customHeight="1">
      <c r="A531" s="15" t="s">
        <v>1616</v>
      </c>
      <c r="B531" s="16" t="s">
        <v>801</v>
      </c>
      <c r="C531" s="17">
        <v>72.73</v>
      </c>
      <c r="D531" s="17">
        <v>80.81</v>
      </c>
      <c r="E531" s="15" t="s">
        <v>1617</v>
      </c>
      <c r="F531" s="16" t="s">
        <v>801</v>
      </c>
      <c r="G531" s="15" t="s">
        <v>825</v>
      </c>
      <c r="H531" s="18">
        <v>0.0</v>
      </c>
      <c r="I531" s="16" t="s">
        <v>801</v>
      </c>
      <c r="J531" s="17">
        <v>90.51</v>
      </c>
    </row>
    <row r="532" ht="15.75" customHeight="1">
      <c r="A532" s="15" t="s">
        <v>1618</v>
      </c>
      <c r="B532" s="16" t="s">
        <v>801</v>
      </c>
      <c r="C532" s="17">
        <v>122.36</v>
      </c>
      <c r="D532" s="17">
        <v>135.95</v>
      </c>
      <c r="E532" s="15" t="s">
        <v>1619</v>
      </c>
      <c r="F532" s="16" t="s">
        <v>801</v>
      </c>
      <c r="G532" s="15" t="s">
        <v>825</v>
      </c>
      <c r="H532" s="18">
        <v>0.0</v>
      </c>
      <c r="I532" s="16" t="s">
        <v>801</v>
      </c>
      <c r="J532" s="17">
        <v>152.26</v>
      </c>
    </row>
    <row r="533" ht="15.75" customHeight="1">
      <c r="A533" s="15" t="s">
        <v>1620</v>
      </c>
      <c r="B533" s="16" t="s">
        <v>801</v>
      </c>
      <c r="C533" s="17">
        <v>244.71</v>
      </c>
      <c r="D533" s="17">
        <v>271.89</v>
      </c>
      <c r="E533" s="15" t="s">
        <v>1621</v>
      </c>
      <c r="F533" s="16" t="s">
        <v>801</v>
      </c>
      <c r="G533" s="15" t="s">
        <v>825</v>
      </c>
      <c r="H533" s="18">
        <v>0.0</v>
      </c>
      <c r="I533" s="16" t="s">
        <v>801</v>
      </c>
      <c r="J533" s="17">
        <v>304.52</v>
      </c>
    </row>
    <row r="534" ht="15.75" customHeight="1">
      <c r="A534" s="15" t="s">
        <v>1622</v>
      </c>
      <c r="B534" s="16" t="s">
        <v>801</v>
      </c>
      <c r="C534" s="17">
        <v>186.69</v>
      </c>
      <c r="D534" s="17">
        <v>207.43</v>
      </c>
      <c r="E534" s="15" t="s">
        <v>1623</v>
      </c>
      <c r="F534" s="16" t="s">
        <v>801</v>
      </c>
      <c r="G534" s="15" t="s">
        <v>825</v>
      </c>
      <c r="H534" s="18">
        <v>0.0</v>
      </c>
      <c r="I534" s="16" t="s">
        <v>801</v>
      </c>
      <c r="J534" s="17">
        <v>232.32</v>
      </c>
    </row>
    <row r="535" ht="15.75" customHeight="1">
      <c r="A535" s="15" t="s">
        <v>1624</v>
      </c>
      <c r="B535" s="16" t="s">
        <v>801</v>
      </c>
      <c r="C535" s="17">
        <v>280.03</v>
      </c>
      <c r="D535" s="17">
        <v>311.44</v>
      </c>
      <c r="E535" s="15" t="s">
        <v>1625</v>
      </c>
      <c r="F535" s="16" t="s">
        <v>801</v>
      </c>
      <c r="G535" s="15" t="s">
        <v>825</v>
      </c>
      <c r="H535" s="18">
        <v>0.0</v>
      </c>
      <c r="I535" s="16" t="s">
        <v>801</v>
      </c>
      <c r="J535" s="17">
        <v>348.81</v>
      </c>
    </row>
    <row r="536" ht="15.75" customHeight="1">
      <c r="A536" s="15" t="s">
        <v>1626</v>
      </c>
      <c r="B536" s="16" t="s">
        <v>801</v>
      </c>
      <c r="C536" s="17">
        <v>91.86</v>
      </c>
      <c r="D536" s="17">
        <v>102.06</v>
      </c>
      <c r="E536" s="15" t="s">
        <v>1627</v>
      </c>
      <c r="F536" s="16" t="s">
        <v>801</v>
      </c>
      <c r="G536" s="15" t="s">
        <v>825</v>
      </c>
      <c r="H536" s="18">
        <v>0.0</v>
      </c>
      <c r="I536" s="16" t="s">
        <v>801</v>
      </c>
      <c r="J536" s="17">
        <v>114.31</v>
      </c>
    </row>
    <row r="537" ht="15.75" customHeight="1">
      <c r="A537" s="15" t="s">
        <v>1628</v>
      </c>
      <c r="B537" s="16" t="s">
        <v>801</v>
      </c>
      <c r="C537" s="17">
        <v>62.11</v>
      </c>
      <c r="D537" s="17">
        <v>69.01</v>
      </c>
      <c r="E537" s="15" t="s">
        <v>1629</v>
      </c>
      <c r="F537" s="16" t="s">
        <v>801</v>
      </c>
      <c r="G537" s="15" t="s">
        <v>825</v>
      </c>
      <c r="H537" s="18">
        <v>0.0</v>
      </c>
      <c r="I537" s="16" t="s">
        <v>801</v>
      </c>
      <c r="J537" s="17">
        <v>77.29</v>
      </c>
    </row>
    <row r="538" ht="15.75" customHeight="1">
      <c r="A538" s="15" t="s">
        <v>1630</v>
      </c>
      <c r="B538" s="16" t="s">
        <v>801</v>
      </c>
      <c r="C538" s="17">
        <v>321.43</v>
      </c>
      <c r="D538" s="17">
        <v>357.14</v>
      </c>
      <c r="E538" s="15" t="s">
        <v>1631</v>
      </c>
      <c r="F538" s="16" t="s">
        <v>801</v>
      </c>
      <c r="G538" s="15" t="s">
        <v>825</v>
      </c>
      <c r="H538" s="18">
        <v>0.0</v>
      </c>
      <c r="I538" s="16" t="s">
        <v>801</v>
      </c>
      <c r="J538" s="17">
        <v>400.0</v>
      </c>
    </row>
    <row r="539" ht="15.75" customHeight="1">
      <c r="A539" s="15" t="s">
        <v>1632</v>
      </c>
      <c r="B539" s="16" t="s">
        <v>801</v>
      </c>
      <c r="C539" s="17">
        <v>67.18</v>
      </c>
      <c r="D539" s="17">
        <v>74.64</v>
      </c>
      <c r="E539" s="15" t="s">
        <v>1633</v>
      </c>
      <c r="F539" s="16" t="s">
        <v>801</v>
      </c>
      <c r="G539" s="15" t="s">
        <v>825</v>
      </c>
      <c r="H539" s="18">
        <v>0.0</v>
      </c>
      <c r="I539" s="16" t="s">
        <v>801</v>
      </c>
      <c r="J539" s="17">
        <v>83.6</v>
      </c>
    </row>
    <row r="540" ht="15.75" customHeight="1">
      <c r="A540" s="15" t="s">
        <v>1634</v>
      </c>
      <c r="B540" s="16" t="s">
        <v>801</v>
      </c>
      <c r="C540" s="17">
        <v>45.96</v>
      </c>
      <c r="D540" s="17">
        <v>51.06</v>
      </c>
      <c r="E540" s="15" t="s">
        <v>1635</v>
      </c>
      <c r="F540" s="16" t="s">
        <v>801</v>
      </c>
      <c r="G540" s="15" t="s">
        <v>825</v>
      </c>
      <c r="H540" s="18">
        <v>0.0</v>
      </c>
      <c r="I540" s="16" t="s">
        <v>801</v>
      </c>
      <c r="J540" s="17">
        <v>57.19</v>
      </c>
    </row>
    <row r="541" ht="15.75" customHeight="1">
      <c r="A541" s="15" t="s">
        <v>1636</v>
      </c>
      <c r="B541" s="16" t="s">
        <v>801</v>
      </c>
      <c r="C541" s="17">
        <v>102.86</v>
      </c>
      <c r="D541" s="17">
        <v>114.28</v>
      </c>
      <c r="E541" s="15" t="s">
        <v>860</v>
      </c>
      <c r="F541" s="16" t="s">
        <v>801</v>
      </c>
      <c r="G541" s="15" t="s">
        <v>825</v>
      </c>
      <c r="H541" s="18">
        <v>0.0</v>
      </c>
      <c r="I541" s="16" t="s">
        <v>801</v>
      </c>
      <c r="J541" s="17">
        <v>127.99</v>
      </c>
    </row>
    <row r="542" ht="15.75" customHeight="1">
      <c r="A542" s="15" t="s">
        <v>1637</v>
      </c>
      <c r="B542" s="16" t="s">
        <v>801</v>
      </c>
      <c r="C542" s="17">
        <v>83.57</v>
      </c>
      <c r="D542" s="17">
        <v>92.85</v>
      </c>
      <c r="E542" s="15" t="s">
        <v>1559</v>
      </c>
      <c r="F542" s="16" t="s">
        <v>801</v>
      </c>
      <c r="G542" s="15" t="s">
        <v>825</v>
      </c>
      <c r="H542" s="18">
        <v>0.0</v>
      </c>
      <c r="I542" s="16" t="s">
        <v>801</v>
      </c>
      <c r="J542" s="17">
        <v>103.99</v>
      </c>
    </row>
    <row r="543" ht="15.75" customHeight="1">
      <c r="A543" s="15" t="s">
        <v>1638</v>
      </c>
      <c r="B543" s="16" t="s">
        <v>801</v>
      </c>
      <c r="C543" s="17">
        <v>35.0</v>
      </c>
      <c r="D543" s="17">
        <v>39.28</v>
      </c>
      <c r="E543" s="15" t="s">
        <v>1355</v>
      </c>
      <c r="F543" s="16" t="s">
        <v>801</v>
      </c>
      <c r="G543" s="15" t="s">
        <v>825</v>
      </c>
      <c r="H543" s="18">
        <v>0.0</v>
      </c>
      <c r="I543" s="16" t="s">
        <v>801</v>
      </c>
      <c r="J543" s="17">
        <v>43.99</v>
      </c>
    </row>
    <row r="544" ht="15.75" customHeight="1">
      <c r="A544" s="15" t="s">
        <v>1639</v>
      </c>
      <c r="B544" s="16" t="s">
        <v>801</v>
      </c>
      <c r="C544" s="17">
        <v>42.31</v>
      </c>
      <c r="D544" s="17">
        <v>47.01</v>
      </c>
      <c r="E544" s="15" t="s">
        <v>1640</v>
      </c>
      <c r="F544" s="16" t="s">
        <v>801</v>
      </c>
      <c r="G544" s="15" t="s">
        <v>825</v>
      </c>
      <c r="H544" s="18">
        <v>0.0</v>
      </c>
      <c r="I544" s="16" t="s">
        <v>801</v>
      </c>
      <c r="J544" s="17">
        <v>52.65</v>
      </c>
    </row>
    <row r="545" ht="15.75" customHeight="1">
      <c r="A545" s="15" t="s">
        <v>1641</v>
      </c>
      <c r="B545" s="16" t="s">
        <v>801</v>
      </c>
      <c r="C545" s="17">
        <v>58.34</v>
      </c>
      <c r="D545" s="17">
        <v>64.82</v>
      </c>
      <c r="E545" s="15" t="s">
        <v>1642</v>
      </c>
      <c r="F545" s="16" t="s">
        <v>801</v>
      </c>
      <c r="G545" s="15" t="s">
        <v>825</v>
      </c>
      <c r="H545" s="18">
        <v>0.0</v>
      </c>
      <c r="I545" s="16" t="s">
        <v>801</v>
      </c>
      <c r="J545" s="17">
        <v>72.6</v>
      </c>
    </row>
    <row r="546" ht="15.75" customHeight="1">
      <c r="A546" s="15" t="s">
        <v>1643</v>
      </c>
      <c r="B546" s="16" t="s">
        <v>801</v>
      </c>
      <c r="C546" s="17">
        <v>44.94</v>
      </c>
      <c r="D546" s="17">
        <v>49.93</v>
      </c>
      <c r="E546" s="15" t="s">
        <v>1644</v>
      </c>
      <c r="F546" s="16" t="s">
        <v>801</v>
      </c>
      <c r="G546" s="15" t="s">
        <v>825</v>
      </c>
      <c r="H546" s="18">
        <v>0.0</v>
      </c>
      <c r="I546" s="16" t="s">
        <v>801</v>
      </c>
      <c r="J546" s="17">
        <v>55.92</v>
      </c>
    </row>
    <row r="547" ht="15.75" customHeight="1">
      <c r="A547" s="15" t="s">
        <v>1645</v>
      </c>
      <c r="B547" s="16" t="s">
        <v>801</v>
      </c>
      <c r="C547" s="17">
        <v>43.39</v>
      </c>
      <c r="D547" s="17">
        <v>48.21</v>
      </c>
      <c r="E547" s="15" t="s">
        <v>1646</v>
      </c>
      <c r="F547" s="16" t="s">
        <v>801</v>
      </c>
      <c r="G547" s="15" t="s">
        <v>825</v>
      </c>
      <c r="H547" s="18">
        <v>0.0</v>
      </c>
      <c r="I547" s="16" t="s">
        <v>801</v>
      </c>
      <c r="J547" s="17">
        <v>54.0</v>
      </c>
    </row>
    <row r="548" ht="15.75" customHeight="1">
      <c r="A548" s="15" t="s">
        <v>1647</v>
      </c>
      <c r="B548" s="16" t="s">
        <v>801</v>
      </c>
      <c r="C548" s="17">
        <v>81.28</v>
      </c>
      <c r="D548" s="17">
        <v>90.31</v>
      </c>
      <c r="E548" s="15" t="s">
        <v>1648</v>
      </c>
      <c r="F548" s="16" t="s">
        <v>801</v>
      </c>
      <c r="G548" s="15" t="s">
        <v>825</v>
      </c>
      <c r="H548" s="18">
        <v>0.0</v>
      </c>
      <c r="I548" s="16" t="s">
        <v>801</v>
      </c>
      <c r="J548" s="17">
        <v>101.15</v>
      </c>
    </row>
    <row r="549" ht="15.75" customHeight="1">
      <c r="A549" s="15" t="s">
        <v>1649</v>
      </c>
      <c r="B549" s="16" t="s">
        <v>801</v>
      </c>
      <c r="C549" s="17">
        <v>93.34</v>
      </c>
      <c r="D549" s="17">
        <v>103.71</v>
      </c>
      <c r="E549" s="15" t="s">
        <v>1650</v>
      </c>
      <c r="F549" s="16" t="s">
        <v>801</v>
      </c>
      <c r="G549" s="15" t="s">
        <v>825</v>
      </c>
      <c r="H549" s="18">
        <v>0.0</v>
      </c>
      <c r="I549" s="16" t="s">
        <v>801</v>
      </c>
      <c r="J549" s="17">
        <v>116.16</v>
      </c>
    </row>
    <row r="550" ht="15.75" customHeight="1">
      <c r="A550" s="15" t="s">
        <v>1651</v>
      </c>
      <c r="B550" s="16" t="s">
        <v>801</v>
      </c>
      <c r="C550" s="17">
        <v>42.78</v>
      </c>
      <c r="D550" s="17">
        <v>47.53</v>
      </c>
      <c r="E550" s="15" t="s">
        <v>1652</v>
      </c>
      <c r="F550" s="16" t="s">
        <v>801</v>
      </c>
      <c r="G550" s="15" t="s">
        <v>825</v>
      </c>
      <c r="H550" s="18">
        <v>0.0</v>
      </c>
      <c r="I550" s="16" t="s">
        <v>801</v>
      </c>
      <c r="J550" s="17">
        <v>53.23</v>
      </c>
    </row>
    <row r="551" ht="15.75" customHeight="1">
      <c r="A551" s="15" t="s">
        <v>1653</v>
      </c>
      <c r="B551" s="16" t="s">
        <v>801</v>
      </c>
      <c r="C551" s="17">
        <v>90.0</v>
      </c>
      <c r="D551" s="17">
        <v>100.0</v>
      </c>
      <c r="E551" s="15" t="s">
        <v>1235</v>
      </c>
      <c r="F551" s="16" t="s">
        <v>801</v>
      </c>
      <c r="G551" s="15" t="s">
        <v>825</v>
      </c>
      <c r="H551" s="18">
        <v>0.0</v>
      </c>
      <c r="I551" s="16" t="s">
        <v>801</v>
      </c>
      <c r="J551" s="17">
        <v>112.0</v>
      </c>
    </row>
    <row r="552" ht="15.75" customHeight="1">
      <c r="A552" s="15" t="s">
        <v>1654</v>
      </c>
      <c r="B552" s="16" t="s">
        <v>801</v>
      </c>
      <c r="C552" s="17">
        <v>101.12</v>
      </c>
      <c r="D552" s="17">
        <v>112.35</v>
      </c>
      <c r="E552" s="15" t="s">
        <v>1090</v>
      </c>
      <c r="F552" s="16" t="s">
        <v>801</v>
      </c>
      <c r="G552" s="15" t="s">
        <v>825</v>
      </c>
      <c r="H552" s="18">
        <v>0.0</v>
      </c>
      <c r="I552" s="16" t="s">
        <v>801</v>
      </c>
      <c r="J552" s="17">
        <v>125.83</v>
      </c>
    </row>
    <row r="553" ht="15.75" customHeight="1">
      <c r="A553" s="15" t="s">
        <v>1655</v>
      </c>
      <c r="B553" s="16" t="s">
        <v>801</v>
      </c>
      <c r="C553" s="17">
        <v>169.71</v>
      </c>
      <c r="D553" s="17">
        <v>188.56</v>
      </c>
      <c r="E553" s="15" t="s">
        <v>1449</v>
      </c>
      <c r="F553" s="16" t="s">
        <v>801</v>
      </c>
      <c r="G553" s="15" t="s">
        <v>825</v>
      </c>
      <c r="H553" s="18">
        <v>0.0</v>
      </c>
      <c r="I553" s="16" t="s">
        <v>801</v>
      </c>
      <c r="J553" s="17">
        <v>211.19</v>
      </c>
    </row>
    <row r="554" ht="15.75" customHeight="1">
      <c r="A554" s="15" t="s">
        <v>1656</v>
      </c>
      <c r="B554" s="16" t="s">
        <v>801</v>
      </c>
      <c r="C554" s="17">
        <v>61.52</v>
      </c>
      <c r="D554" s="17">
        <v>68.35</v>
      </c>
      <c r="E554" s="15" t="s">
        <v>1657</v>
      </c>
      <c r="F554" s="16" t="s">
        <v>801</v>
      </c>
      <c r="G554" s="15" t="s">
        <v>825</v>
      </c>
      <c r="H554" s="18">
        <v>0.0</v>
      </c>
      <c r="I554" s="16" t="s">
        <v>801</v>
      </c>
      <c r="J554" s="17">
        <v>76.55</v>
      </c>
    </row>
    <row r="555" ht="15.75" customHeight="1">
      <c r="A555" s="15" t="s">
        <v>1658</v>
      </c>
      <c r="B555" s="16" t="s">
        <v>801</v>
      </c>
      <c r="C555" s="17">
        <v>45.96</v>
      </c>
      <c r="D555" s="17">
        <v>51.06</v>
      </c>
      <c r="E555" s="15" t="s">
        <v>1635</v>
      </c>
      <c r="F555" s="16" t="s">
        <v>801</v>
      </c>
      <c r="G555" s="15" t="s">
        <v>825</v>
      </c>
      <c r="H555" s="18">
        <v>0.0</v>
      </c>
      <c r="I555" s="16" t="s">
        <v>801</v>
      </c>
      <c r="J555" s="17">
        <v>57.19</v>
      </c>
    </row>
    <row r="556" ht="15.75" customHeight="1">
      <c r="A556" s="15" t="s">
        <v>1659</v>
      </c>
      <c r="B556" s="16" t="s">
        <v>801</v>
      </c>
      <c r="C556" s="17">
        <v>52.07</v>
      </c>
      <c r="D556" s="17">
        <v>57.85</v>
      </c>
      <c r="E556" s="15" t="s">
        <v>1563</v>
      </c>
      <c r="F556" s="16" t="s">
        <v>801</v>
      </c>
      <c r="G556" s="15" t="s">
        <v>825</v>
      </c>
      <c r="H556" s="18">
        <v>0.0</v>
      </c>
      <c r="I556" s="16" t="s">
        <v>801</v>
      </c>
      <c r="J556" s="17">
        <v>64.79</v>
      </c>
    </row>
    <row r="557" ht="15.75" customHeight="1">
      <c r="A557" s="15" t="s">
        <v>1660</v>
      </c>
      <c r="B557" s="16" t="s">
        <v>801</v>
      </c>
      <c r="C557" s="17">
        <v>125.36</v>
      </c>
      <c r="D557" s="17">
        <v>139.28</v>
      </c>
      <c r="E557" s="15" t="s">
        <v>1393</v>
      </c>
      <c r="F557" s="16" t="s">
        <v>801</v>
      </c>
      <c r="G557" s="15" t="s">
        <v>825</v>
      </c>
      <c r="H557" s="18">
        <v>0.0</v>
      </c>
      <c r="I557" s="16" t="s">
        <v>801</v>
      </c>
      <c r="J557" s="17">
        <v>155.99</v>
      </c>
    </row>
    <row r="558" ht="15.75" customHeight="1">
      <c r="A558" s="15" t="s">
        <v>1661</v>
      </c>
      <c r="B558" s="16" t="s">
        <v>801</v>
      </c>
      <c r="C558" s="17">
        <v>77.4</v>
      </c>
      <c r="D558" s="17">
        <v>85.99</v>
      </c>
      <c r="E558" s="15" t="s">
        <v>1662</v>
      </c>
      <c r="F558" s="16" t="s">
        <v>801</v>
      </c>
      <c r="G558" s="15" t="s">
        <v>825</v>
      </c>
      <c r="H558" s="18">
        <v>0.0</v>
      </c>
      <c r="I558" s="16" t="s">
        <v>801</v>
      </c>
      <c r="J558" s="17">
        <v>96.31</v>
      </c>
    </row>
    <row r="559" ht="15.75" customHeight="1">
      <c r="A559" s="15" t="s">
        <v>1663</v>
      </c>
      <c r="B559" s="16" t="s">
        <v>801</v>
      </c>
      <c r="C559" s="17">
        <v>128.07</v>
      </c>
      <c r="D559" s="17">
        <v>142.31</v>
      </c>
      <c r="E559" s="15" t="s">
        <v>1664</v>
      </c>
      <c r="F559" s="16" t="s">
        <v>801</v>
      </c>
      <c r="G559" s="15" t="s">
        <v>855</v>
      </c>
      <c r="H559" s="18">
        <v>0.0</v>
      </c>
      <c r="I559" s="16" t="s">
        <v>801</v>
      </c>
      <c r="J559" s="17">
        <v>167.93</v>
      </c>
    </row>
    <row r="560" ht="15.75" customHeight="1">
      <c r="A560" s="15" t="s">
        <v>1665</v>
      </c>
      <c r="B560" s="16" t="s">
        <v>801</v>
      </c>
      <c r="C560" s="17">
        <v>25.71</v>
      </c>
      <c r="D560" s="17">
        <v>28.56</v>
      </c>
      <c r="E560" s="15" t="s">
        <v>1666</v>
      </c>
      <c r="F560" s="16" t="s">
        <v>801</v>
      </c>
      <c r="G560" s="15" t="s">
        <v>825</v>
      </c>
      <c r="H560" s="18">
        <v>0.0</v>
      </c>
      <c r="I560" s="16" t="s">
        <v>801</v>
      </c>
      <c r="J560" s="17">
        <v>31.99</v>
      </c>
    </row>
    <row r="561" ht="15.75" customHeight="1">
      <c r="A561" s="15" t="s">
        <v>1667</v>
      </c>
      <c r="B561" s="16" t="s">
        <v>801</v>
      </c>
      <c r="C561" s="17">
        <v>15.87</v>
      </c>
      <c r="D561" s="17">
        <v>17.63</v>
      </c>
      <c r="E561" s="15" t="s">
        <v>1668</v>
      </c>
      <c r="F561" s="16" t="s">
        <v>801</v>
      </c>
      <c r="G561" s="15" t="s">
        <v>825</v>
      </c>
      <c r="H561" s="18">
        <v>0.0</v>
      </c>
      <c r="I561" s="16" t="s">
        <v>801</v>
      </c>
      <c r="J561" s="17">
        <v>19.75</v>
      </c>
    </row>
    <row r="562" ht="15.75" customHeight="1">
      <c r="A562" s="15" t="s">
        <v>1669</v>
      </c>
      <c r="B562" s="16" t="s">
        <v>801</v>
      </c>
      <c r="C562" s="17">
        <v>23.72</v>
      </c>
      <c r="D562" s="17">
        <v>26.35</v>
      </c>
      <c r="E562" s="15" t="s">
        <v>1670</v>
      </c>
      <c r="F562" s="16" t="s">
        <v>801</v>
      </c>
      <c r="G562" s="15" t="s">
        <v>825</v>
      </c>
      <c r="H562" s="18">
        <v>0.0</v>
      </c>
      <c r="I562" s="16" t="s">
        <v>801</v>
      </c>
      <c r="J562" s="17">
        <v>29.51</v>
      </c>
    </row>
    <row r="563" ht="15.75" customHeight="1">
      <c r="A563" s="15" t="s">
        <v>1671</v>
      </c>
      <c r="B563" s="16" t="s">
        <v>801</v>
      </c>
      <c r="C563" s="17">
        <v>67.26</v>
      </c>
      <c r="D563" s="17">
        <v>74.73</v>
      </c>
      <c r="E563" s="15" t="s">
        <v>1672</v>
      </c>
      <c r="F563" s="16" t="s">
        <v>801</v>
      </c>
      <c r="G563" s="15" t="s">
        <v>825</v>
      </c>
      <c r="H563" s="18">
        <v>0.0</v>
      </c>
      <c r="I563" s="16" t="s">
        <v>801</v>
      </c>
      <c r="J563" s="17">
        <v>83.7</v>
      </c>
    </row>
    <row r="564" ht="15.75" customHeight="1">
      <c r="A564" s="15" t="s">
        <v>1673</v>
      </c>
      <c r="B564" s="16" t="s">
        <v>801</v>
      </c>
      <c r="C564" s="17">
        <v>33.62</v>
      </c>
      <c r="D564" s="17">
        <v>37.35</v>
      </c>
      <c r="E564" s="15" t="s">
        <v>1674</v>
      </c>
      <c r="F564" s="16" t="s">
        <v>801</v>
      </c>
      <c r="G564" s="15" t="s">
        <v>825</v>
      </c>
      <c r="H564" s="18">
        <v>0.0</v>
      </c>
      <c r="I564" s="16" t="s">
        <v>801</v>
      </c>
      <c r="J564" s="17">
        <v>41.83</v>
      </c>
    </row>
    <row r="565" ht="15.75" customHeight="1">
      <c r="A565" s="15" t="s">
        <v>1675</v>
      </c>
      <c r="B565" s="16" t="s">
        <v>801</v>
      </c>
      <c r="C565" s="17">
        <v>15.56</v>
      </c>
      <c r="D565" s="17">
        <v>17.28</v>
      </c>
      <c r="E565" s="15" t="s">
        <v>1676</v>
      </c>
      <c r="F565" s="16" t="s">
        <v>801</v>
      </c>
      <c r="G565" s="15" t="s">
        <v>825</v>
      </c>
      <c r="H565" s="18">
        <v>0.0</v>
      </c>
      <c r="I565" s="16" t="s">
        <v>801</v>
      </c>
      <c r="J565" s="17">
        <v>19.35</v>
      </c>
    </row>
    <row r="566" ht="15.75" customHeight="1">
      <c r="A566" s="15" t="s">
        <v>1677</v>
      </c>
      <c r="B566" s="16" t="s">
        <v>801</v>
      </c>
      <c r="C566" s="17">
        <v>27.53</v>
      </c>
      <c r="D566" s="17">
        <v>30.58</v>
      </c>
      <c r="E566" s="15" t="s">
        <v>1678</v>
      </c>
      <c r="F566" s="16" t="s">
        <v>801</v>
      </c>
      <c r="G566" s="15" t="s">
        <v>825</v>
      </c>
      <c r="H566" s="18">
        <v>0.0</v>
      </c>
      <c r="I566" s="16" t="s">
        <v>801</v>
      </c>
      <c r="J566" s="17">
        <v>34.25</v>
      </c>
    </row>
    <row r="567" ht="15.75" customHeight="1">
      <c r="A567" s="15" t="s">
        <v>1679</v>
      </c>
      <c r="B567" s="16" t="s">
        <v>801</v>
      </c>
      <c r="C567" s="17">
        <v>44.94</v>
      </c>
      <c r="D567" s="17">
        <v>49.93</v>
      </c>
      <c r="E567" s="15" t="s">
        <v>1644</v>
      </c>
      <c r="F567" s="16" t="s">
        <v>801</v>
      </c>
      <c r="G567" s="15" t="s">
        <v>825</v>
      </c>
      <c r="H567" s="18">
        <v>0.0</v>
      </c>
      <c r="I567" s="16" t="s">
        <v>801</v>
      </c>
      <c r="J567" s="17">
        <v>55.92</v>
      </c>
    </row>
    <row r="568" ht="15.75" customHeight="1">
      <c r="A568" s="15" t="s">
        <v>1680</v>
      </c>
      <c r="B568" s="16" t="s">
        <v>801</v>
      </c>
      <c r="C568" s="17">
        <v>96.43</v>
      </c>
      <c r="D568" s="17">
        <v>107.14</v>
      </c>
      <c r="E568" s="15" t="s">
        <v>827</v>
      </c>
      <c r="F568" s="16" t="s">
        <v>801</v>
      </c>
      <c r="G568" s="15" t="s">
        <v>825</v>
      </c>
      <c r="H568" s="18">
        <v>0.0</v>
      </c>
      <c r="I568" s="16" t="s">
        <v>801</v>
      </c>
      <c r="J568" s="17">
        <v>120.0</v>
      </c>
    </row>
    <row r="569" ht="15.75" customHeight="1">
      <c r="A569" s="15" t="s">
        <v>1681</v>
      </c>
      <c r="B569" s="16" t="s">
        <v>801</v>
      </c>
      <c r="C569" s="17">
        <v>36.56</v>
      </c>
      <c r="D569" s="17">
        <v>40.62</v>
      </c>
      <c r="E569" s="15" t="s">
        <v>1682</v>
      </c>
      <c r="F569" s="16" t="s">
        <v>801</v>
      </c>
      <c r="G569" s="15" t="s">
        <v>825</v>
      </c>
      <c r="H569" s="18">
        <v>0.0</v>
      </c>
      <c r="I569" s="16" t="s">
        <v>801</v>
      </c>
      <c r="J569" s="17">
        <v>45.49</v>
      </c>
    </row>
    <row r="570" ht="15.75" customHeight="1">
      <c r="A570" s="15" t="s">
        <v>1683</v>
      </c>
      <c r="B570" s="16" t="s">
        <v>801</v>
      </c>
      <c r="C570" s="17">
        <v>50.54</v>
      </c>
      <c r="D570" s="17">
        <v>56.15</v>
      </c>
      <c r="E570" s="15" t="s">
        <v>1684</v>
      </c>
      <c r="F570" s="16" t="s">
        <v>801</v>
      </c>
      <c r="G570" s="15" t="s">
        <v>825</v>
      </c>
      <c r="H570" s="18">
        <v>0.0</v>
      </c>
      <c r="I570" s="16" t="s">
        <v>801</v>
      </c>
      <c r="J570" s="17">
        <v>62.89</v>
      </c>
    </row>
    <row r="571" ht="15.75" customHeight="1">
      <c r="A571" s="15" t="s">
        <v>1685</v>
      </c>
      <c r="B571" s="16" t="s">
        <v>801</v>
      </c>
      <c r="C571" s="17">
        <v>118.02</v>
      </c>
      <c r="D571" s="17">
        <v>131.13</v>
      </c>
      <c r="E571" s="15" t="s">
        <v>1686</v>
      </c>
      <c r="F571" s="16" t="s">
        <v>801</v>
      </c>
      <c r="G571" s="15" t="s">
        <v>825</v>
      </c>
      <c r="H571" s="18">
        <v>0.0</v>
      </c>
      <c r="I571" s="16" t="s">
        <v>801</v>
      </c>
      <c r="J571" s="17">
        <v>146.87</v>
      </c>
    </row>
    <row r="572" ht="15.75" customHeight="1">
      <c r="A572" s="15" t="s">
        <v>1687</v>
      </c>
      <c r="B572" s="16" t="s">
        <v>801</v>
      </c>
      <c r="C572" s="17">
        <v>157.51</v>
      </c>
      <c r="D572" s="17">
        <v>175.0</v>
      </c>
      <c r="E572" s="15" t="s">
        <v>1688</v>
      </c>
      <c r="F572" s="16" t="s">
        <v>801</v>
      </c>
      <c r="G572" s="15" t="s">
        <v>825</v>
      </c>
      <c r="H572" s="18">
        <v>0.0</v>
      </c>
      <c r="I572" s="16" t="s">
        <v>801</v>
      </c>
      <c r="J572" s="17">
        <v>196.0</v>
      </c>
    </row>
    <row r="573" ht="15.75" customHeight="1">
      <c r="A573" s="15" t="s">
        <v>1689</v>
      </c>
      <c r="B573" s="16" t="s">
        <v>801</v>
      </c>
      <c r="C573" s="17">
        <v>23.34</v>
      </c>
      <c r="D573" s="17">
        <v>25.93</v>
      </c>
      <c r="E573" s="15" t="s">
        <v>1007</v>
      </c>
      <c r="F573" s="16" t="s">
        <v>801</v>
      </c>
      <c r="G573" s="15" t="s">
        <v>825</v>
      </c>
      <c r="H573" s="18">
        <v>0.0</v>
      </c>
      <c r="I573" s="16" t="s">
        <v>801</v>
      </c>
      <c r="J573" s="17">
        <v>29.04</v>
      </c>
    </row>
    <row r="574" ht="15.75" customHeight="1">
      <c r="A574" s="15" t="s">
        <v>1690</v>
      </c>
      <c r="B574" s="16" t="s">
        <v>801</v>
      </c>
      <c r="C574" s="17">
        <v>25.5</v>
      </c>
      <c r="D574" s="17">
        <v>28.33</v>
      </c>
      <c r="E574" s="15" t="s">
        <v>1691</v>
      </c>
      <c r="F574" s="16" t="s">
        <v>801</v>
      </c>
      <c r="G574" s="15" t="s">
        <v>825</v>
      </c>
      <c r="H574" s="18">
        <v>0.0</v>
      </c>
      <c r="I574" s="16" t="s">
        <v>801</v>
      </c>
      <c r="J574" s="17">
        <v>31.73</v>
      </c>
    </row>
    <row r="575" ht="15.75" customHeight="1">
      <c r="A575" s="15" t="s">
        <v>1692</v>
      </c>
      <c r="B575" s="16" t="s">
        <v>801</v>
      </c>
      <c r="C575" s="17">
        <v>8.74</v>
      </c>
      <c r="D575" s="17">
        <v>9.71</v>
      </c>
      <c r="E575" s="15" t="s">
        <v>1693</v>
      </c>
      <c r="F575" s="16" t="s">
        <v>801</v>
      </c>
      <c r="G575" s="15" t="s">
        <v>825</v>
      </c>
      <c r="H575" s="18">
        <v>0.0</v>
      </c>
      <c r="I575" s="16" t="s">
        <v>801</v>
      </c>
      <c r="J575" s="17">
        <v>10.88</v>
      </c>
    </row>
    <row r="576" ht="15.75" customHeight="1">
      <c r="A576" s="15" t="s">
        <v>1694</v>
      </c>
      <c r="B576" s="16" t="s">
        <v>801</v>
      </c>
      <c r="C576" s="17">
        <v>41.79</v>
      </c>
      <c r="D576" s="17">
        <v>46.43</v>
      </c>
      <c r="E576" s="15" t="s">
        <v>1353</v>
      </c>
      <c r="F576" s="16" t="s">
        <v>801</v>
      </c>
      <c r="G576" s="15" t="s">
        <v>825</v>
      </c>
      <c r="H576" s="18">
        <v>0.0</v>
      </c>
      <c r="I576" s="16" t="s">
        <v>801</v>
      </c>
      <c r="J576" s="17">
        <v>52.0</v>
      </c>
    </row>
    <row r="577" ht="15.75" customHeight="1">
      <c r="A577" s="15" t="s">
        <v>1695</v>
      </c>
      <c r="B577" s="16" t="s">
        <v>801</v>
      </c>
      <c r="C577" s="17">
        <v>26.52</v>
      </c>
      <c r="D577" s="17">
        <v>29.46</v>
      </c>
      <c r="E577" s="15" t="s">
        <v>1696</v>
      </c>
      <c r="F577" s="16" t="s">
        <v>801</v>
      </c>
      <c r="G577" s="15" t="s">
        <v>825</v>
      </c>
      <c r="H577" s="18">
        <v>0.0</v>
      </c>
      <c r="I577" s="16" t="s">
        <v>801</v>
      </c>
      <c r="J577" s="17">
        <v>33.0</v>
      </c>
    </row>
    <row r="578" ht="15.75" customHeight="1">
      <c r="A578" s="15" t="s">
        <v>1697</v>
      </c>
      <c r="B578" s="16" t="s">
        <v>801</v>
      </c>
      <c r="C578" s="17">
        <v>30.8</v>
      </c>
      <c r="D578" s="17">
        <v>34.22</v>
      </c>
      <c r="E578" s="15" t="s">
        <v>1698</v>
      </c>
      <c r="F578" s="16" t="s">
        <v>801</v>
      </c>
      <c r="G578" s="15" t="s">
        <v>825</v>
      </c>
      <c r="H578" s="18">
        <v>0.0</v>
      </c>
      <c r="I578" s="16" t="s">
        <v>801</v>
      </c>
      <c r="J578" s="17">
        <v>38.33</v>
      </c>
    </row>
    <row r="579" ht="15.75" customHeight="1">
      <c r="A579" s="15" t="s">
        <v>1699</v>
      </c>
      <c r="B579" s="16" t="s">
        <v>801</v>
      </c>
      <c r="C579" s="17">
        <v>37.42</v>
      </c>
      <c r="D579" s="17">
        <v>41.57</v>
      </c>
      <c r="E579" s="15" t="s">
        <v>1700</v>
      </c>
      <c r="F579" s="16" t="s">
        <v>801</v>
      </c>
      <c r="G579" s="15" t="s">
        <v>825</v>
      </c>
      <c r="H579" s="18">
        <v>0.0</v>
      </c>
      <c r="I579" s="16" t="s">
        <v>801</v>
      </c>
      <c r="J579" s="17">
        <v>46.56</v>
      </c>
    </row>
    <row r="580" ht="15.75" customHeight="1">
      <c r="A580" s="15" t="s">
        <v>1701</v>
      </c>
      <c r="B580" s="16" t="s">
        <v>801</v>
      </c>
      <c r="C580" s="17">
        <v>28.16</v>
      </c>
      <c r="D580" s="17">
        <v>31.28</v>
      </c>
      <c r="E580" s="15" t="s">
        <v>1702</v>
      </c>
      <c r="F580" s="16" t="s">
        <v>801</v>
      </c>
      <c r="G580" s="15" t="s">
        <v>825</v>
      </c>
      <c r="H580" s="18">
        <v>0.0</v>
      </c>
      <c r="I580" s="16" t="s">
        <v>801</v>
      </c>
      <c r="J580" s="17">
        <v>35.03</v>
      </c>
    </row>
    <row r="581" ht="15.75" customHeight="1">
      <c r="A581" s="15" t="s">
        <v>1703</v>
      </c>
      <c r="B581" s="16" t="s">
        <v>801</v>
      </c>
      <c r="C581" s="17">
        <v>14.34</v>
      </c>
      <c r="D581" s="17">
        <v>15.93</v>
      </c>
      <c r="E581" s="15" t="s">
        <v>1704</v>
      </c>
      <c r="F581" s="16" t="s">
        <v>801</v>
      </c>
      <c r="G581" s="15" t="s">
        <v>825</v>
      </c>
      <c r="H581" s="18">
        <v>0.0</v>
      </c>
      <c r="I581" s="16" t="s">
        <v>801</v>
      </c>
      <c r="J581" s="17">
        <v>17.84</v>
      </c>
    </row>
    <row r="582" ht="15.75" customHeight="1">
      <c r="A582" s="15" t="s">
        <v>1705</v>
      </c>
      <c r="B582" s="16" t="s">
        <v>801</v>
      </c>
      <c r="C582" s="17">
        <v>22.85</v>
      </c>
      <c r="D582" s="17">
        <v>25.38</v>
      </c>
      <c r="E582" s="15" t="s">
        <v>1706</v>
      </c>
      <c r="F582" s="16" t="s">
        <v>801</v>
      </c>
      <c r="G582" s="15" t="s">
        <v>825</v>
      </c>
      <c r="H582" s="18">
        <v>0.0</v>
      </c>
      <c r="I582" s="16" t="s">
        <v>801</v>
      </c>
      <c r="J582" s="17">
        <v>28.43</v>
      </c>
    </row>
    <row r="583" ht="15.75" customHeight="1">
      <c r="A583" s="15" t="s">
        <v>1707</v>
      </c>
      <c r="B583" s="16" t="s">
        <v>801</v>
      </c>
      <c r="C583" s="17">
        <v>16.75</v>
      </c>
      <c r="D583" s="17">
        <v>18.61</v>
      </c>
      <c r="E583" s="15" t="s">
        <v>1708</v>
      </c>
      <c r="F583" s="16" t="s">
        <v>801</v>
      </c>
      <c r="G583" s="15" t="s">
        <v>825</v>
      </c>
      <c r="H583" s="18">
        <v>0.0</v>
      </c>
      <c r="I583" s="16" t="s">
        <v>801</v>
      </c>
      <c r="J583" s="17">
        <v>20.84</v>
      </c>
    </row>
    <row r="584" ht="15.75" customHeight="1">
      <c r="A584" s="15" t="s">
        <v>1709</v>
      </c>
      <c r="B584" s="16" t="s">
        <v>801</v>
      </c>
      <c r="C584" s="17">
        <v>13.5</v>
      </c>
      <c r="D584" s="17">
        <v>14.99</v>
      </c>
      <c r="E584" s="15" t="s">
        <v>1710</v>
      </c>
      <c r="F584" s="16" t="s">
        <v>801</v>
      </c>
      <c r="G584" s="15" t="s">
        <v>825</v>
      </c>
      <c r="H584" s="18">
        <v>0.0</v>
      </c>
      <c r="I584" s="16" t="s">
        <v>801</v>
      </c>
      <c r="J584" s="17">
        <v>16.79</v>
      </c>
    </row>
    <row r="585" ht="15.75" customHeight="1">
      <c r="A585" s="15" t="s">
        <v>1711</v>
      </c>
      <c r="B585" s="16" t="s">
        <v>801</v>
      </c>
      <c r="C585" s="17">
        <v>34.5</v>
      </c>
      <c r="D585" s="17">
        <v>37.95</v>
      </c>
      <c r="E585" s="15" t="s">
        <v>1712</v>
      </c>
      <c r="F585" s="16" t="s">
        <v>801</v>
      </c>
      <c r="G585" s="15" t="s">
        <v>825</v>
      </c>
      <c r="H585" s="18">
        <v>0.0</v>
      </c>
      <c r="I585" s="16" t="s">
        <v>801</v>
      </c>
      <c r="J585" s="17">
        <v>42.5</v>
      </c>
    </row>
    <row r="586" ht="15.75" customHeight="1">
      <c r="A586" s="15" t="s">
        <v>1713</v>
      </c>
      <c r="B586" s="16" t="s">
        <v>801</v>
      </c>
      <c r="C586" s="17">
        <v>36.61</v>
      </c>
      <c r="D586" s="17">
        <v>40.67</v>
      </c>
      <c r="E586" s="15" t="s">
        <v>1714</v>
      </c>
      <c r="F586" s="16" t="s">
        <v>801</v>
      </c>
      <c r="G586" s="15" t="s">
        <v>855</v>
      </c>
      <c r="H586" s="18">
        <v>0.0</v>
      </c>
      <c r="I586" s="16" t="s">
        <v>801</v>
      </c>
      <c r="J586" s="17">
        <v>47.99</v>
      </c>
    </row>
    <row r="587" ht="15.75" customHeight="1">
      <c r="A587" s="15" t="s">
        <v>1715</v>
      </c>
      <c r="B587" s="16" t="s">
        <v>801</v>
      </c>
      <c r="C587" s="17">
        <v>11.57</v>
      </c>
      <c r="D587" s="17">
        <v>13.38</v>
      </c>
      <c r="E587" s="15" t="s">
        <v>1716</v>
      </c>
      <c r="F587" s="16" t="s">
        <v>801</v>
      </c>
      <c r="G587" s="15" t="s">
        <v>825</v>
      </c>
      <c r="H587" s="18">
        <v>0.0</v>
      </c>
      <c r="I587" s="16" t="s">
        <v>801</v>
      </c>
      <c r="J587" s="17">
        <v>14.99</v>
      </c>
    </row>
    <row r="588" ht="15.75" customHeight="1">
      <c r="A588" s="15" t="s">
        <v>1717</v>
      </c>
      <c r="B588" s="16" t="s">
        <v>801</v>
      </c>
      <c r="C588" s="17">
        <v>74.25</v>
      </c>
      <c r="D588" s="17">
        <v>82.49</v>
      </c>
      <c r="E588" s="15" t="s">
        <v>1718</v>
      </c>
      <c r="F588" s="16" t="s">
        <v>801</v>
      </c>
      <c r="G588" s="15" t="s">
        <v>825</v>
      </c>
      <c r="H588" s="18">
        <v>0.0</v>
      </c>
      <c r="I588" s="16" t="s">
        <v>801</v>
      </c>
      <c r="J588" s="17">
        <v>92.39</v>
      </c>
    </row>
    <row r="589" ht="15.75" customHeight="1">
      <c r="A589" s="15" t="s">
        <v>1719</v>
      </c>
      <c r="B589" s="16" t="s">
        <v>801</v>
      </c>
      <c r="C589" s="17">
        <v>62.94</v>
      </c>
      <c r="D589" s="17">
        <v>69.93</v>
      </c>
      <c r="E589" s="15" t="s">
        <v>1720</v>
      </c>
      <c r="F589" s="16" t="s">
        <v>801</v>
      </c>
      <c r="G589" s="15" t="s">
        <v>825</v>
      </c>
      <c r="H589" s="18">
        <v>0.0</v>
      </c>
      <c r="I589" s="16" t="s">
        <v>801</v>
      </c>
      <c r="J589" s="17">
        <v>78.32</v>
      </c>
    </row>
    <row r="590" ht="15.75" customHeight="1">
      <c r="A590" s="15" t="s">
        <v>1721</v>
      </c>
      <c r="B590" s="16" t="s">
        <v>801</v>
      </c>
      <c r="C590" s="17">
        <v>16.07</v>
      </c>
      <c r="D590" s="17">
        <v>17.85</v>
      </c>
      <c r="E590" s="15" t="s">
        <v>1722</v>
      </c>
      <c r="F590" s="16" t="s">
        <v>801</v>
      </c>
      <c r="G590" s="15" t="s">
        <v>825</v>
      </c>
      <c r="H590" s="18">
        <v>0.0</v>
      </c>
      <c r="I590" s="16" t="s">
        <v>801</v>
      </c>
      <c r="J590" s="17">
        <v>19.99</v>
      </c>
    </row>
    <row r="591" ht="15.75" customHeight="1">
      <c r="A591" s="15" t="s">
        <v>1723</v>
      </c>
      <c r="B591" s="16" t="s">
        <v>801</v>
      </c>
      <c r="C591" s="17">
        <v>12.21</v>
      </c>
      <c r="D591" s="17">
        <v>13.56</v>
      </c>
      <c r="E591" s="15" t="s">
        <v>1724</v>
      </c>
      <c r="F591" s="16" t="s">
        <v>801</v>
      </c>
      <c r="G591" s="15" t="s">
        <v>825</v>
      </c>
      <c r="H591" s="18">
        <v>0.0</v>
      </c>
      <c r="I591" s="16" t="s">
        <v>801</v>
      </c>
      <c r="J591" s="17">
        <v>15.19</v>
      </c>
    </row>
    <row r="592" ht="15.75" customHeight="1">
      <c r="A592" s="15" t="s">
        <v>1725</v>
      </c>
      <c r="B592" s="16" t="s">
        <v>801</v>
      </c>
      <c r="C592" s="17">
        <v>93.34</v>
      </c>
      <c r="D592" s="17">
        <v>103.71</v>
      </c>
      <c r="E592" s="15" t="s">
        <v>1650</v>
      </c>
      <c r="F592" s="16" t="s">
        <v>801</v>
      </c>
      <c r="G592" s="15" t="s">
        <v>825</v>
      </c>
      <c r="H592" s="18">
        <v>0.0</v>
      </c>
      <c r="I592" s="16" t="s">
        <v>801</v>
      </c>
      <c r="J592" s="17">
        <v>116.16</v>
      </c>
    </row>
    <row r="593" ht="15.75" customHeight="1">
      <c r="A593" s="15" t="s">
        <v>1726</v>
      </c>
      <c r="B593" s="16" t="s">
        <v>801</v>
      </c>
      <c r="C593" s="17">
        <v>35.36</v>
      </c>
      <c r="D593" s="17">
        <v>39.28</v>
      </c>
      <c r="E593" s="15" t="s">
        <v>1355</v>
      </c>
      <c r="F593" s="16" t="s">
        <v>801</v>
      </c>
      <c r="G593" s="15" t="s">
        <v>825</v>
      </c>
      <c r="H593" s="18">
        <v>0.0</v>
      </c>
      <c r="I593" s="16" t="s">
        <v>801</v>
      </c>
      <c r="J593" s="17">
        <v>43.99</v>
      </c>
    </row>
    <row r="594" ht="15.75" customHeight="1">
      <c r="A594" s="15" t="s">
        <v>1727</v>
      </c>
      <c r="B594" s="16" t="s">
        <v>801</v>
      </c>
      <c r="C594" s="17">
        <v>125.26</v>
      </c>
      <c r="D594" s="17">
        <v>139.17</v>
      </c>
      <c r="E594" s="15" t="s">
        <v>1728</v>
      </c>
      <c r="F594" s="16" t="s">
        <v>801</v>
      </c>
      <c r="G594" s="15" t="s">
        <v>825</v>
      </c>
      <c r="H594" s="18">
        <v>0.0</v>
      </c>
      <c r="I594" s="16" t="s">
        <v>801</v>
      </c>
      <c r="J594" s="17">
        <v>155.87</v>
      </c>
    </row>
    <row r="595" ht="15.75" customHeight="1">
      <c r="A595" s="15" t="s">
        <v>1729</v>
      </c>
      <c r="B595" s="16" t="s">
        <v>801</v>
      </c>
      <c r="C595" s="17">
        <v>37.58</v>
      </c>
      <c r="D595" s="17">
        <v>41.75</v>
      </c>
      <c r="E595" s="15" t="s">
        <v>1475</v>
      </c>
      <c r="F595" s="16" t="s">
        <v>801</v>
      </c>
      <c r="G595" s="15" t="s">
        <v>825</v>
      </c>
      <c r="H595" s="18">
        <v>0.0</v>
      </c>
      <c r="I595" s="16" t="s">
        <v>801</v>
      </c>
      <c r="J595" s="17">
        <v>46.76</v>
      </c>
    </row>
    <row r="596" ht="15.75" customHeight="1">
      <c r="A596" s="15" t="s">
        <v>1730</v>
      </c>
      <c r="B596" s="16" t="s">
        <v>801</v>
      </c>
      <c r="C596" s="17">
        <v>68.89</v>
      </c>
      <c r="D596" s="17">
        <v>76.54</v>
      </c>
      <c r="E596" s="15" t="s">
        <v>1731</v>
      </c>
      <c r="F596" s="16" t="s">
        <v>801</v>
      </c>
      <c r="G596" s="15" t="s">
        <v>825</v>
      </c>
      <c r="H596" s="18">
        <v>0.0</v>
      </c>
      <c r="I596" s="16" t="s">
        <v>801</v>
      </c>
      <c r="J596" s="17">
        <v>85.72</v>
      </c>
    </row>
    <row r="597" ht="15.75" customHeight="1">
      <c r="A597" s="15" t="s">
        <v>1732</v>
      </c>
      <c r="B597" s="16" t="s">
        <v>801</v>
      </c>
      <c r="C597" s="17">
        <v>37.29</v>
      </c>
      <c r="D597" s="17">
        <v>41.43</v>
      </c>
      <c r="E597" s="15" t="s">
        <v>1733</v>
      </c>
      <c r="F597" s="16" t="s">
        <v>801</v>
      </c>
      <c r="G597" s="15" t="s">
        <v>825</v>
      </c>
      <c r="H597" s="18">
        <v>0.0</v>
      </c>
      <c r="I597" s="16" t="s">
        <v>801</v>
      </c>
      <c r="J597" s="17">
        <v>46.4</v>
      </c>
    </row>
    <row r="598" ht="15.75" customHeight="1">
      <c r="A598" s="15" t="s">
        <v>1734</v>
      </c>
      <c r="B598" s="16" t="s">
        <v>801</v>
      </c>
      <c r="C598" s="17">
        <v>44.72</v>
      </c>
      <c r="D598" s="17">
        <v>49.68</v>
      </c>
      <c r="E598" s="15" t="s">
        <v>1735</v>
      </c>
      <c r="F598" s="16" t="s">
        <v>801</v>
      </c>
      <c r="G598" s="15" t="s">
        <v>825</v>
      </c>
      <c r="H598" s="18">
        <v>0.0</v>
      </c>
      <c r="I598" s="16" t="s">
        <v>801</v>
      </c>
      <c r="J598" s="17">
        <v>55.64</v>
      </c>
    </row>
    <row r="599" ht="15.75" customHeight="1">
      <c r="A599" s="15" t="s">
        <v>1736</v>
      </c>
      <c r="B599" s="16" t="s">
        <v>801</v>
      </c>
      <c r="C599" s="17">
        <v>35.0</v>
      </c>
      <c r="D599" s="17">
        <v>38.88</v>
      </c>
      <c r="E599" s="15" t="s">
        <v>1737</v>
      </c>
      <c r="F599" s="16" t="s">
        <v>801</v>
      </c>
      <c r="G599" s="15" t="s">
        <v>825</v>
      </c>
      <c r="H599" s="18">
        <v>0.0</v>
      </c>
      <c r="I599" s="16" t="s">
        <v>801</v>
      </c>
      <c r="J599" s="17">
        <v>43.55</v>
      </c>
    </row>
    <row r="600" ht="15.75" customHeight="1">
      <c r="A600" s="15" t="s">
        <v>1738</v>
      </c>
      <c r="B600" s="16" t="s">
        <v>801</v>
      </c>
      <c r="C600" s="17">
        <v>54.64</v>
      </c>
      <c r="D600" s="17">
        <v>60.71</v>
      </c>
      <c r="E600" s="15" t="s">
        <v>914</v>
      </c>
      <c r="F600" s="16" t="s">
        <v>801</v>
      </c>
      <c r="G600" s="15" t="s">
        <v>825</v>
      </c>
      <c r="H600" s="18">
        <v>0.0</v>
      </c>
      <c r="I600" s="16" t="s">
        <v>801</v>
      </c>
      <c r="J600" s="17">
        <v>68.0</v>
      </c>
    </row>
    <row r="601" ht="15.75" customHeight="1">
      <c r="A601" s="15" t="s">
        <v>1739</v>
      </c>
      <c r="B601" s="16" t="s">
        <v>801</v>
      </c>
      <c r="C601" s="17">
        <v>63.64</v>
      </c>
      <c r="D601" s="17">
        <v>70.71</v>
      </c>
      <c r="E601" s="15" t="s">
        <v>1242</v>
      </c>
      <c r="F601" s="16" t="s">
        <v>801</v>
      </c>
      <c r="G601" s="15" t="s">
        <v>825</v>
      </c>
      <c r="H601" s="18">
        <v>0.0</v>
      </c>
      <c r="I601" s="16" t="s">
        <v>801</v>
      </c>
      <c r="J601" s="17">
        <v>79.2</v>
      </c>
    </row>
    <row r="602" ht="15.75" customHeight="1">
      <c r="A602" s="15" t="s">
        <v>1740</v>
      </c>
      <c r="B602" s="16" t="s">
        <v>801</v>
      </c>
      <c r="C602" s="17">
        <v>84.26</v>
      </c>
      <c r="D602" s="17">
        <v>93.62</v>
      </c>
      <c r="E602" s="15" t="s">
        <v>1741</v>
      </c>
      <c r="F602" s="16" t="s">
        <v>801</v>
      </c>
      <c r="G602" s="15" t="s">
        <v>825</v>
      </c>
      <c r="H602" s="18">
        <v>0.0</v>
      </c>
      <c r="I602" s="16" t="s">
        <v>801</v>
      </c>
      <c r="J602" s="17">
        <v>104.85</v>
      </c>
    </row>
    <row r="603" ht="15.75" customHeight="1">
      <c r="A603" s="15" t="s">
        <v>1742</v>
      </c>
      <c r="B603" s="16" t="s">
        <v>801</v>
      </c>
      <c r="C603" s="17">
        <v>31.06</v>
      </c>
      <c r="D603" s="17">
        <v>34.51</v>
      </c>
      <c r="E603" s="15" t="s">
        <v>1743</v>
      </c>
      <c r="F603" s="16" t="s">
        <v>801</v>
      </c>
      <c r="G603" s="15" t="s">
        <v>825</v>
      </c>
      <c r="H603" s="18">
        <v>0.0</v>
      </c>
      <c r="I603" s="16" t="s">
        <v>801</v>
      </c>
      <c r="J603" s="17">
        <v>38.65</v>
      </c>
    </row>
    <row r="604" ht="15.75" customHeight="1">
      <c r="A604" s="15" t="s">
        <v>1744</v>
      </c>
      <c r="B604" s="16" t="s">
        <v>801</v>
      </c>
      <c r="C604" s="17">
        <v>43.21</v>
      </c>
      <c r="D604" s="17">
        <v>48.01</v>
      </c>
      <c r="E604" s="15" t="s">
        <v>1745</v>
      </c>
      <c r="F604" s="16" t="s">
        <v>801</v>
      </c>
      <c r="G604" s="15" t="s">
        <v>825</v>
      </c>
      <c r="H604" s="18">
        <v>0.0</v>
      </c>
      <c r="I604" s="16" t="s">
        <v>801</v>
      </c>
      <c r="J604" s="17">
        <v>53.77</v>
      </c>
    </row>
    <row r="605" ht="15.75" customHeight="1">
      <c r="A605" s="15" t="s">
        <v>1746</v>
      </c>
      <c r="B605" s="16" t="s">
        <v>801</v>
      </c>
      <c r="C605" s="17">
        <v>96.43</v>
      </c>
      <c r="D605" s="17">
        <v>107.14</v>
      </c>
      <c r="E605" s="15" t="s">
        <v>827</v>
      </c>
      <c r="F605" s="16" t="s">
        <v>801</v>
      </c>
      <c r="G605" s="15" t="s">
        <v>825</v>
      </c>
      <c r="H605" s="18">
        <v>0.0</v>
      </c>
      <c r="I605" s="16" t="s">
        <v>801</v>
      </c>
      <c r="J605" s="17">
        <v>120.0</v>
      </c>
    </row>
    <row r="606" ht="15.75" customHeight="1">
      <c r="A606" s="15" t="s">
        <v>1747</v>
      </c>
      <c r="B606" s="16" t="s">
        <v>801</v>
      </c>
      <c r="C606" s="17">
        <v>17.38</v>
      </c>
      <c r="D606" s="17">
        <v>19.3</v>
      </c>
      <c r="E606" s="15" t="s">
        <v>1748</v>
      </c>
      <c r="F606" s="16" t="s">
        <v>801</v>
      </c>
      <c r="G606" s="15" t="s">
        <v>825</v>
      </c>
      <c r="H606" s="18">
        <v>0.0</v>
      </c>
      <c r="I606" s="16" t="s">
        <v>801</v>
      </c>
      <c r="J606" s="17">
        <v>21.62</v>
      </c>
    </row>
    <row r="607" ht="15.75" customHeight="1">
      <c r="A607" s="15" t="s">
        <v>1749</v>
      </c>
      <c r="B607" s="16" t="s">
        <v>801</v>
      </c>
      <c r="C607" s="17">
        <v>14.44</v>
      </c>
      <c r="D607" s="17">
        <v>16.04</v>
      </c>
      <c r="E607" s="15" t="s">
        <v>1750</v>
      </c>
      <c r="F607" s="16" t="s">
        <v>801</v>
      </c>
      <c r="G607" s="15" t="s">
        <v>825</v>
      </c>
      <c r="H607" s="18">
        <v>0.0</v>
      </c>
      <c r="I607" s="16" t="s">
        <v>801</v>
      </c>
      <c r="J607" s="17">
        <v>17.96</v>
      </c>
    </row>
    <row r="608" ht="15.75" customHeight="1">
      <c r="A608" s="15" t="s">
        <v>1751</v>
      </c>
      <c r="B608" s="16" t="s">
        <v>801</v>
      </c>
      <c r="C608" s="17">
        <v>51.76</v>
      </c>
      <c r="D608" s="17">
        <v>57.51</v>
      </c>
      <c r="E608" s="15" t="s">
        <v>1752</v>
      </c>
      <c r="F608" s="16" t="s">
        <v>801</v>
      </c>
      <c r="G608" s="15" t="s">
        <v>825</v>
      </c>
      <c r="H608" s="18">
        <v>0.0</v>
      </c>
      <c r="I608" s="16" t="s">
        <v>801</v>
      </c>
      <c r="J608" s="17">
        <v>64.41</v>
      </c>
    </row>
    <row r="609" ht="15.75" customHeight="1">
      <c r="A609" s="15" t="s">
        <v>1753</v>
      </c>
      <c r="B609" s="16" t="s">
        <v>801</v>
      </c>
      <c r="C609" s="17">
        <v>62.58</v>
      </c>
      <c r="D609" s="17">
        <v>69.53</v>
      </c>
      <c r="E609" s="15" t="s">
        <v>1754</v>
      </c>
      <c r="F609" s="16" t="s">
        <v>801</v>
      </c>
      <c r="G609" s="15" t="s">
        <v>825</v>
      </c>
      <c r="H609" s="18">
        <v>0.0</v>
      </c>
      <c r="I609" s="16" t="s">
        <v>801</v>
      </c>
      <c r="J609" s="17">
        <v>77.87</v>
      </c>
    </row>
    <row r="610" ht="15.75" customHeight="1">
      <c r="A610" s="15" t="s">
        <v>1755</v>
      </c>
      <c r="B610" s="16" t="s">
        <v>801</v>
      </c>
      <c r="C610" s="17">
        <v>75.15</v>
      </c>
      <c r="D610" s="17">
        <v>83.49</v>
      </c>
      <c r="E610" s="15" t="s">
        <v>1756</v>
      </c>
      <c r="F610" s="16" t="s">
        <v>801</v>
      </c>
      <c r="G610" s="15" t="s">
        <v>825</v>
      </c>
      <c r="H610" s="18">
        <v>0.0</v>
      </c>
      <c r="I610" s="16" t="s">
        <v>801</v>
      </c>
      <c r="J610" s="17">
        <v>93.51</v>
      </c>
    </row>
    <row r="611" ht="15.75" customHeight="1">
      <c r="A611" s="15" t="s">
        <v>1757</v>
      </c>
      <c r="B611" s="16" t="s">
        <v>801</v>
      </c>
      <c r="C611" s="17">
        <v>51.36</v>
      </c>
      <c r="D611" s="17">
        <v>57.06</v>
      </c>
      <c r="E611" s="15" t="s">
        <v>1758</v>
      </c>
      <c r="F611" s="16" t="s">
        <v>801</v>
      </c>
      <c r="G611" s="15" t="s">
        <v>825</v>
      </c>
      <c r="H611" s="18">
        <v>0.0</v>
      </c>
      <c r="I611" s="16" t="s">
        <v>801</v>
      </c>
      <c r="J611" s="17">
        <v>63.91</v>
      </c>
    </row>
    <row r="612" ht="15.75" customHeight="1">
      <c r="A612" s="15" t="s">
        <v>1759</v>
      </c>
      <c r="B612" s="16" t="s">
        <v>801</v>
      </c>
      <c r="C612" s="17">
        <v>58.34</v>
      </c>
      <c r="D612" s="17">
        <v>64.82</v>
      </c>
      <c r="E612" s="15" t="s">
        <v>1642</v>
      </c>
      <c r="F612" s="16" t="s">
        <v>801</v>
      </c>
      <c r="G612" s="15" t="s">
        <v>825</v>
      </c>
      <c r="H612" s="18">
        <v>0.0</v>
      </c>
      <c r="I612" s="16" t="s">
        <v>801</v>
      </c>
      <c r="J612" s="17">
        <v>72.6</v>
      </c>
    </row>
    <row r="613" ht="15.75" customHeight="1">
      <c r="A613" s="15" t="s">
        <v>1760</v>
      </c>
      <c r="B613" s="16" t="s">
        <v>801</v>
      </c>
      <c r="C613" s="17">
        <v>13.76</v>
      </c>
      <c r="D613" s="17">
        <v>15.28</v>
      </c>
      <c r="E613" s="15" t="s">
        <v>1761</v>
      </c>
      <c r="F613" s="16" t="s">
        <v>801</v>
      </c>
      <c r="G613" s="15" t="s">
        <v>825</v>
      </c>
      <c r="H613" s="18">
        <v>0.0</v>
      </c>
      <c r="I613" s="16" t="s">
        <v>801</v>
      </c>
      <c r="J613" s="17">
        <v>17.11</v>
      </c>
    </row>
    <row r="614" ht="15.75" customHeight="1">
      <c r="A614" s="15" t="s">
        <v>1762</v>
      </c>
      <c r="B614" s="16" t="s">
        <v>801</v>
      </c>
      <c r="C614" s="17">
        <v>22.29</v>
      </c>
      <c r="D614" s="17">
        <v>24.76</v>
      </c>
      <c r="E614" s="15" t="s">
        <v>1763</v>
      </c>
      <c r="F614" s="16" t="s">
        <v>801</v>
      </c>
      <c r="G614" s="15" t="s">
        <v>825</v>
      </c>
      <c r="H614" s="18">
        <v>0.0</v>
      </c>
      <c r="I614" s="16" t="s">
        <v>801</v>
      </c>
      <c r="J614" s="17">
        <v>27.73</v>
      </c>
    </row>
    <row r="615" ht="15.75" customHeight="1">
      <c r="A615" s="15" t="s">
        <v>1764</v>
      </c>
      <c r="B615" s="16" t="s">
        <v>801</v>
      </c>
      <c r="C615" s="17">
        <v>44.29</v>
      </c>
      <c r="D615" s="17">
        <v>49.21</v>
      </c>
      <c r="E615" s="15" t="s">
        <v>1765</v>
      </c>
      <c r="F615" s="16" t="s">
        <v>801</v>
      </c>
      <c r="G615" s="15" t="s">
        <v>825</v>
      </c>
      <c r="H615" s="18">
        <v>0.0</v>
      </c>
      <c r="I615" s="16" t="s">
        <v>801</v>
      </c>
      <c r="J615" s="17">
        <v>55.12</v>
      </c>
    </row>
    <row r="616" ht="15.75" customHeight="1">
      <c r="A616" s="15" t="s">
        <v>1766</v>
      </c>
      <c r="B616" s="16" t="s">
        <v>801</v>
      </c>
      <c r="C616" s="17">
        <v>36.84</v>
      </c>
      <c r="D616" s="17">
        <v>40.93</v>
      </c>
      <c r="E616" s="15" t="s">
        <v>1590</v>
      </c>
      <c r="F616" s="16" t="s">
        <v>801</v>
      </c>
      <c r="G616" s="15" t="s">
        <v>825</v>
      </c>
      <c r="H616" s="18">
        <v>0.0</v>
      </c>
      <c r="I616" s="16" t="s">
        <v>801</v>
      </c>
      <c r="J616" s="17">
        <v>45.84</v>
      </c>
    </row>
    <row r="617" ht="15.75" customHeight="1">
      <c r="A617" s="15" t="s">
        <v>1767</v>
      </c>
      <c r="B617" s="16" t="s">
        <v>801</v>
      </c>
      <c r="C617" s="17">
        <v>36.84</v>
      </c>
      <c r="D617" s="17">
        <v>40.93</v>
      </c>
      <c r="E617" s="15" t="s">
        <v>1590</v>
      </c>
      <c r="F617" s="16" t="s">
        <v>801</v>
      </c>
      <c r="G617" s="15" t="s">
        <v>825</v>
      </c>
      <c r="H617" s="18">
        <v>0.0</v>
      </c>
      <c r="I617" s="16" t="s">
        <v>801</v>
      </c>
      <c r="J617" s="17">
        <v>45.84</v>
      </c>
    </row>
    <row r="618" ht="15.75" customHeight="1">
      <c r="A618" s="15" t="s">
        <v>1768</v>
      </c>
      <c r="B618" s="16" t="s">
        <v>801</v>
      </c>
      <c r="C618" s="17">
        <v>44.94</v>
      </c>
      <c r="D618" s="17">
        <v>49.93</v>
      </c>
      <c r="E618" s="15" t="s">
        <v>1644</v>
      </c>
      <c r="F618" s="16" t="s">
        <v>801</v>
      </c>
      <c r="G618" s="15" t="s">
        <v>825</v>
      </c>
      <c r="H618" s="18">
        <v>0.0</v>
      </c>
      <c r="I618" s="16" t="s">
        <v>801</v>
      </c>
      <c r="J618" s="17">
        <v>55.92</v>
      </c>
    </row>
    <row r="619" ht="15.75" customHeight="1">
      <c r="A619" s="15" t="s">
        <v>1769</v>
      </c>
      <c r="B619" s="16" t="s">
        <v>801</v>
      </c>
      <c r="C619" s="17">
        <v>66.12</v>
      </c>
      <c r="D619" s="17">
        <v>73.46</v>
      </c>
      <c r="E619" s="15" t="s">
        <v>1770</v>
      </c>
      <c r="F619" s="16" t="s">
        <v>801</v>
      </c>
      <c r="G619" s="15" t="s">
        <v>825</v>
      </c>
      <c r="H619" s="18">
        <v>0.0</v>
      </c>
      <c r="I619" s="16" t="s">
        <v>801</v>
      </c>
      <c r="J619" s="17">
        <v>82.28</v>
      </c>
    </row>
    <row r="620" ht="15.75" customHeight="1">
      <c r="A620" s="15" t="s">
        <v>1771</v>
      </c>
      <c r="B620" s="16" t="s">
        <v>801</v>
      </c>
      <c r="C620" s="17">
        <v>98.01</v>
      </c>
      <c r="D620" s="17">
        <v>108.89</v>
      </c>
      <c r="E620" s="15" t="s">
        <v>1772</v>
      </c>
      <c r="F620" s="16" t="s">
        <v>801</v>
      </c>
      <c r="G620" s="15" t="s">
        <v>825</v>
      </c>
      <c r="H620" s="18">
        <v>0.0</v>
      </c>
      <c r="I620" s="16" t="s">
        <v>801</v>
      </c>
      <c r="J620" s="17">
        <v>121.96</v>
      </c>
    </row>
    <row r="621" ht="15.75" customHeight="1">
      <c r="A621" s="15" t="s">
        <v>1773</v>
      </c>
      <c r="B621" s="16" t="s">
        <v>801</v>
      </c>
      <c r="C621" s="17">
        <v>42.78</v>
      </c>
      <c r="D621" s="17">
        <v>47.53</v>
      </c>
      <c r="E621" s="15" t="s">
        <v>1652</v>
      </c>
      <c r="F621" s="16" t="s">
        <v>801</v>
      </c>
      <c r="G621" s="15" t="s">
        <v>825</v>
      </c>
      <c r="H621" s="18">
        <v>0.0</v>
      </c>
      <c r="I621" s="16" t="s">
        <v>801</v>
      </c>
      <c r="J621" s="17">
        <v>53.23</v>
      </c>
    </row>
    <row r="622" ht="15.75" customHeight="1">
      <c r="A622" s="15" t="s">
        <v>1774</v>
      </c>
      <c r="B622" s="16" t="s">
        <v>801</v>
      </c>
      <c r="C622" s="17">
        <v>35.0</v>
      </c>
      <c r="D622" s="17">
        <v>38.88</v>
      </c>
      <c r="E622" s="15" t="s">
        <v>1737</v>
      </c>
      <c r="F622" s="16" t="s">
        <v>801</v>
      </c>
      <c r="G622" s="15" t="s">
        <v>825</v>
      </c>
      <c r="H622" s="18">
        <v>0.0</v>
      </c>
      <c r="I622" s="16" t="s">
        <v>801</v>
      </c>
      <c r="J622" s="17">
        <v>43.55</v>
      </c>
    </row>
    <row r="623" ht="15.75" customHeight="1">
      <c r="A623" s="15" t="s">
        <v>1775</v>
      </c>
      <c r="B623" s="16" t="s">
        <v>801</v>
      </c>
      <c r="C623" s="17">
        <v>58.53</v>
      </c>
      <c r="D623" s="17">
        <v>65.03</v>
      </c>
      <c r="E623" s="15" t="s">
        <v>1776</v>
      </c>
      <c r="F623" s="16" t="s">
        <v>801</v>
      </c>
      <c r="G623" s="15" t="s">
        <v>825</v>
      </c>
      <c r="H623" s="18">
        <v>0.0</v>
      </c>
      <c r="I623" s="16" t="s">
        <v>801</v>
      </c>
      <c r="J623" s="17">
        <v>72.83</v>
      </c>
    </row>
    <row r="624" ht="15.75" customHeight="1">
      <c r="A624" s="15" t="s">
        <v>1777</v>
      </c>
      <c r="B624" s="16" t="s">
        <v>801</v>
      </c>
      <c r="C624" s="17">
        <v>79.71</v>
      </c>
      <c r="D624" s="17">
        <v>88.56</v>
      </c>
      <c r="E624" s="15" t="s">
        <v>1778</v>
      </c>
      <c r="F624" s="16" t="s">
        <v>801</v>
      </c>
      <c r="G624" s="15" t="s">
        <v>825</v>
      </c>
      <c r="H624" s="18">
        <v>0.0</v>
      </c>
      <c r="I624" s="16" t="s">
        <v>801</v>
      </c>
      <c r="J624" s="17">
        <v>99.19</v>
      </c>
    </row>
    <row r="625" ht="15.75" customHeight="1">
      <c r="A625" s="15" t="s">
        <v>1779</v>
      </c>
      <c r="B625" s="16" t="s">
        <v>801</v>
      </c>
      <c r="C625" s="17">
        <v>51.34</v>
      </c>
      <c r="D625" s="17">
        <v>57.04</v>
      </c>
      <c r="E625" s="15" t="s">
        <v>1780</v>
      </c>
      <c r="F625" s="16" t="s">
        <v>801</v>
      </c>
      <c r="G625" s="15" t="s">
        <v>825</v>
      </c>
      <c r="H625" s="18">
        <v>0.0</v>
      </c>
      <c r="I625" s="16" t="s">
        <v>801</v>
      </c>
      <c r="J625" s="17">
        <v>63.88</v>
      </c>
    </row>
    <row r="626" ht="15.75" customHeight="1">
      <c r="A626" s="15" t="s">
        <v>1781</v>
      </c>
      <c r="B626" s="16" t="s">
        <v>801</v>
      </c>
      <c r="C626" s="17">
        <v>239.46</v>
      </c>
      <c r="D626" s="17">
        <v>266.06</v>
      </c>
      <c r="E626" s="15" t="s">
        <v>1782</v>
      </c>
      <c r="F626" s="16" t="s">
        <v>801</v>
      </c>
      <c r="G626" s="15" t="s">
        <v>825</v>
      </c>
      <c r="H626" s="18">
        <v>0.0</v>
      </c>
      <c r="I626" s="16" t="s">
        <v>801</v>
      </c>
      <c r="J626" s="17">
        <v>297.99</v>
      </c>
    </row>
    <row r="627" ht="15.75" customHeight="1">
      <c r="A627" s="15" t="s">
        <v>1783</v>
      </c>
      <c r="B627" s="16" t="s">
        <v>801</v>
      </c>
      <c r="C627" s="17">
        <v>58.17</v>
      </c>
      <c r="D627" s="17">
        <v>64.63</v>
      </c>
      <c r="E627" s="15" t="s">
        <v>1784</v>
      </c>
      <c r="F627" s="16" t="s">
        <v>801</v>
      </c>
      <c r="G627" s="15" t="s">
        <v>825</v>
      </c>
      <c r="H627" s="18">
        <v>0.0</v>
      </c>
      <c r="I627" s="16" t="s">
        <v>801</v>
      </c>
      <c r="J627" s="17">
        <v>72.39</v>
      </c>
    </row>
    <row r="628" ht="15.75" customHeight="1">
      <c r="A628" s="15" t="s">
        <v>1785</v>
      </c>
      <c r="B628" s="16" t="s">
        <v>801</v>
      </c>
      <c r="C628" s="17">
        <v>51.96</v>
      </c>
      <c r="D628" s="17">
        <v>57.73</v>
      </c>
      <c r="E628" s="15" t="s">
        <v>1786</v>
      </c>
      <c r="F628" s="16" t="s">
        <v>801</v>
      </c>
      <c r="G628" s="15" t="s">
        <v>825</v>
      </c>
      <c r="H628" s="18">
        <v>0.0</v>
      </c>
      <c r="I628" s="16" t="s">
        <v>801</v>
      </c>
      <c r="J628" s="17">
        <v>64.66</v>
      </c>
    </row>
    <row r="629" ht="15.75" customHeight="1">
      <c r="A629" s="15" t="s">
        <v>1787</v>
      </c>
      <c r="B629" s="16" t="s">
        <v>801</v>
      </c>
      <c r="C629" s="17">
        <v>28.87</v>
      </c>
      <c r="D629" s="17">
        <v>32.07</v>
      </c>
      <c r="E629" s="15" t="s">
        <v>1788</v>
      </c>
      <c r="F629" s="16" t="s">
        <v>801</v>
      </c>
      <c r="G629" s="15" t="s">
        <v>825</v>
      </c>
      <c r="H629" s="18">
        <v>0.0</v>
      </c>
      <c r="I629" s="16" t="s">
        <v>801</v>
      </c>
      <c r="J629" s="17">
        <v>35.92</v>
      </c>
    </row>
    <row r="630" ht="15.75" customHeight="1">
      <c r="A630" s="15" t="s">
        <v>1789</v>
      </c>
      <c r="B630" s="16" t="s">
        <v>801</v>
      </c>
      <c r="C630" s="17">
        <v>8.93</v>
      </c>
      <c r="D630" s="17">
        <v>9.92</v>
      </c>
      <c r="E630" s="15" t="s">
        <v>1790</v>
      </c>
      <c r="F630" s="16" t="s">
        <v>801</v>
      </c>
      <c r="G630" s="15" t="s">
        <v>825</v>
      </c>
      <c r="H630" s="18">
        <v>0.0</v>
      </c>
      <c r="I630" s="16" t="s">
        <v>801</v>
      </c>
      <c r="J630" s="17">
        <v>11.11</v>
      </c>
    </row>
    <row r="631" ht="15.75" customHeight="1">
      <c r="A631" s="15" t="s">
        <v>1791</v>
      </c>
      <c r="B631" s="16" t="s">
        <v>801</v>
      </c>
      <c r="C631" s="17">
        <v>8.38</v>
      </c>
      <c r="D631" s="17">
        <v>9.31</v>
      </c>
      <c r="E631" s="15" t="s">
        <v>1582</v>
      </c>
      <c r="F631" s="16" t="s">
        <v>801</v>
      </c>
      <c r="G631" s="15" t="s">
        <v>825</v>
      </c>
      <c r="H631" s="18">
        <v>0.0</v>
      </c>
      <c r="I631" s="16" t="s">
        <v>801</v>
      </c>
      <c r="J631" s="17">
        <v>10.43</v>
      </c>
    </row>
    <row r="632" ht="15.75" customHeight="1">
      <c r="A632" s="15" t="s">
        <v>1792</v>
      </c>
      <c r="B632" s="16" t="s">
        <v>801</v>
      </c>
      <c r="C632" s="17">
        <v>26.0</v>
      </c>
      <c r="D632" s="17">
        <v>28.88</v>
      </c>
      <c r="E632" s="15" t="s">
        <v>1793</v>
      </c>
      <c r="F632" s="16" t="s">
        <v>801</v>
      </c>
      <c r="G632" s="15" t="s">
        <v>825</v>
      </c>
      <c r="H632" s="18">
        <v>0.0</v>
      </c>
      <c r="I632" s="16" t="s">
        <v>801</v>
      </c>
      <c r="J632" s="17">
        <v>32.35</v>
      </c>
    </row>
    <row r="633" ht="15.75" customHeight="1">
      <c r="A633" s="15" t="s">
        <v>1794</v>
      </c>
      <c r="B633" s="16" t="s">
        <v>801</v>
      </c>
      <c r="C633" s="17">
        <v>58.17</v>
      </c>
      <c r="D633" s="17">
        <v>64.63</v>
      </c>
      <c r="E633" s="15" t="s">
        <v>1784</v>
      </c>
      <c r="F633" s="16" t="s">
        <v>801</v>
      </c>
      <c r="G633" s="15" t="s">
        <v>825</v>
      </c>
      <c r="H633" s="18">
        <v>0.0</v>
      </c>
      <c r="I633" s="16" t="s">
        <v>801</v>
      </c>
      <c r="J633" s="17">
        <v>72.39</v>
      </c>
    </row>
    <row r="634" ht="15.75" customHeight="1">
      <c r="A634" s="15" t="s">
        <v>1795</v>
      </c>
      <c r="B634" s="16" t="s">
        <v>801</v>
      </c>
      <c r="C634" s="17">
        <v>70.75</v>
      </c>
      <c r="D634" s="17">
        <v>78.61</v>
      </c>
      <c r="E634" s="15" t="s">
        <v>1796</v>
      </c>
      <c r="F634" s="16" t="s">
        <v>801</v>
      </c>
      <c r="G634" s="15" t="s">
        <v>825</v>
      </c>
      <c r="H634" s="18">
        <v>0.0</v>
      </c>
      <c r="I634" s="16" t="s">
        <v>801</v>
      </c>
      <c r="J634" s="17">
        <v>88.04</v>
      </c>
    </row>
    <row r="635" ht="15.75" customHeight="1">
      <c r="A635" s="15" t="s">
        <v>1797</v>
      </c>
      <c r="B635" s="16" t="s">
        <v>801</v>
      </c>
      <c r="C635" s="17">
        <v>71.74</v>
      </c>
      <c r="D635" s="17">
        <v>79.71</v>
      </c>
      <c r="E635" s="15" t="s">
        <v>1798</v>
      </c>
      <c r="F635" s="16" t="s">
        <v>801</v>
      </c>
      <c r="G635" s="15" t="s">
        <v>825</v>
      </c>
      <c r="H635" s="18">
        <v>0.0</v>
      </c>
      <c r="I635" s="16" t="s">
        <v>801</v>
      </c>
      <c r="J635" s="17">
        <v>89.28</v>
      </c>
    </row>
    <row r="636" ht="15.75" customHeight="1">
      <c r="A636" s="15" t="s">
        <v>1799</v>
      </c>
      <c r="B636" s="16" t="s">
        <v>801</v>
      </c>
      <c r="C636" s="17">
        <v>37.86</v>
      </c>
      <c r="D636" s="17">
        <v>42.06</v>
      </c>
      <c r="E636" s="15" t="s">
        <v>1800</v>
      </c>
      <c r="F636" s="16" t="s">
        <v>801</v>
      </c>
      <c r="G636" s="15" t="s">
        <v>825</v>
      </c>
      <c r="H636" s="18">
        <v>0.0</v>
      </c>
      <c r="I636" s="16" t="s">
        <v>801</v>
      </c>
      <c r="J636" s="17">
        <v>47.11</v>
      </c>
    </row>
    <row r="637" ht="15.75" customHeight="1">
      <c r="A637" s="15" t="s">
        <v>1801</v>
      </c>
      <c r="B637" s="16" t="s">
        <v>801</v>
      </c>
      <c r="C637" s="17">
        <v>28.23</v>
      </c>
      <c r="D637" s="17">
        <v>31.36</v>
      </c>
      <c r="E637" s="15" t="s">
        <v>1802</v>
      </c>
      <c r="F637" s="16" t="s">
        <v>801</v>
      </c>
      <c r="G637" s="15" t="s">
        <v>825</v>
      </c>
      <c r="H637" s="18">
        <v>0.0</v>
      </c>
      <c r="I637" s="16" t="s">
        <v>801</v>
      </c>
      <c r="J637" s="17">
        <v>35.12</v>
      </c>
    </row>
    <row r="638" ht="15.75" customHeight="1">
      <c r="A638" s="15" t="s">
        <v>1803</v>
      </c>
      <c r="B638" s="16" t="s">
        <v>801</v>
      </c>
      <c r="C638" s="17">
        <v>69.23</v>
      </c>
      <c r="D638" s="17">
        <v>76.92</v>
      </c>
      <c r="E638" s="15" t="s">
        <v>1804</v>
      </c>
      <c r="F638" s="16" t="s">
        <v>801</v>
      </c>
      <c r="G638" s="15" t="s">
        <v>825</v>
      </c>
      <c r="H638" s="18">
        <v>0.0</v>
      </c>
      <c r="I638" s="16" t="s">
        <v>801</v>
      </c>
      <c r="J638" s="17">
        <v>86.15</v>
      </c>
    </row>
    <row r="639" ht="15.75" customHeight="1">
      <c r="A639" s="15" t="s">
        <v>1805</v>
      </c>
      <c r="B639" s="16" t="s">
        <v>801</v>
      </c>
      <c r="C639" s="17">
        <v>119.79</v>
      </c>
      <c r="D639" s="17">
        <v>133.09</v>
      </c>
      <c r="E639" s="15" t="s">
        <v>1806</v>
      </c>
      <c r="F639" s="16" t="s">
        <v>801</v>
      </c>
      <c r="G639" s="15" t="s">
        <v>825</v>
      </c>
      <c r="H639" s="18">
        <v>0.0</v>
      </c>
      <c r="I639" s="16" t="s">
        <v>801</v>
      </c>
      <c r="J639" s="17">
        <v>149.06</v>
      </c>
    </row>
    <row r="640" ht="15.75" customHeight="1">
      <c r="A640" s="15" t="s">
        <v>1807</v>
      </c>
      <c r="B640" s="16" t="s">
        <v>801</v>
      </c>
      <c r="C640" s="17">
        <v>44.87</v>
      </c>
      <c r="D640" s="17">
        <v>49.85</v>
      </c>
      <c r="E640" s="15" t="s">
        <v>1808</v>
      </c>
      <c r="F640" s="16" t="s">
        <v>801</v>
      </c>
      <c r="G640" s="15" t="s">
        <v>825</v>
      </c>
      <c r="H640" s="18">
        <v>0.0</v>
      </c>
      <c r="I640" s="16" t="s">
        <v>801</v>
      </c>
      <c r="J640" s="17">
        <v>55.83</v>
      </c>
    </row>
    <row r="641" ht="15.75" customHeight="1">
      <c r="A641" s="12" t="s">
        <v>804</v>
      </c>
      <c r="B641" s="13"/>
      <c r="C641" s="13"/>
      <c r="D641" s="13"/>
      <c r="E641" s="13"/>
      <c r="F641" s="13"/>
      <c r="G641" s="13"/>
      <c r="H641" s="13"/>
      <c r="I641" s="13"/>
      <c r="J641" s="13"/>
    </row>
    <row r="642" ht="15.75" customHeight="1">
      <c r="A642" s="14" t="s">
        <v>790</v>
      </c>
    </row>
    <row r="643" ht="15.75" customHeight="1">
      <c r="A643" s="14" t="s">
        <v>804</v>
      </c>
    </row>
    <row r="644" ht="15.75" customHeight="1">
      <c r="A644" s="15" t="s">
        <v>1809</v>
      </c>
      <c r="B644" s="16" t="s">
        <v>801</v>
      </c>
      <c r="C644" s="17">
        <v>269.69</v>
      </c>
      <c r="D644" s="17">
        <v>280.95</v>
      </c>
      <c r="E644" s="15" t="s">
        <v>1810</v>
      </c>
      <c r="F644" s="16" t="s">
        <v>801</v>
      </c>
      <c r="G644" s="15" t="s">
        <v>825</v>
      </c>
      <c r="H644" s="18">
        <v>0.0</v>
      </c>
      <c r="I644" s="16" t="s">
        <v>801</v>
      </c>
      <c r="J644" s="17">
        <v>314.66</v>
      </c>
    </row>
    <row r="645" ht="15.75" customHeight="1">
      <c r="A645" s="12" t="s">
        <v>804</v>
      </c>
      <c r="B645" s="13"/>
      <c r="C645" s="13"/>
      <c r="D645" s="13"/>
      <c r="E645" s="13"/>
      <c r="F645" s="13"/>
      <c r="G645" s="13"/>
      <c r="H645" s="13"/>
      <c r="I645" s="13"/>
      <c r="J645" s="13"/>
    </row>
    <row r="646" ht="15.75" customHeight="1">
      <c r="A646" s="14" t="s">
        <v>791</v>
      </c>
    </row>
    <row r="647" ht="15.75" customHeight="1">
      <c r="A647" s="14" t="s">
        <v>804</v>
      </c>
    </row>
    <row r="648" ht="15.75" customHeight="1">
      <c r="A648" s="15" t="s">
        <v>1811</v>
      </c>
      <c r="B648" s="16" t="s">
        <v>801</v>
      </c>
      <c r="C648" s="17">
        <v>58.2</v>
      </c>
      <c r="D648" s="17">
        <v>66.93</v>
      </c>
      <c r="E648" s="15" t="s">
        <v>1393</v>
      </c>
      <c r="F648" s="16" t="s">
        <v>801</v>
      </c>
      <c r="G648" s="15" t="s">
        <v>825</v>
      </c>
      <c r="H648" s="18">
        <v>0.0</v>
      </c>
      <c r="I648" s="16" t="s">
        <v>801</v>
      </c>
      <c r="J648" s="17">
        <v>74.96</v>
      </c>
    </row>
    <row r="649" ht="15.75" customHeight="1">
      <c r="A649" s="12" t="s">
        <v>804</v>
      </c>
      <c r="B649" s="13"/>
      <c r="C649" s="13"/>
      <c r="D649" s="13"/>
      <c r="E649" s="13"/>
      <c r="F649" s="13"/>
      <c r="G649" s="13"/>
      <c r="H649" s="13"/>
      <c r="I649" s="13"/>
      <c r="J649" s="13"/>
    </row>
    <row r="650" ht="15.75" customHeight="1">
      <c r="A650" s="14" t="s">
        <v>628</v>
      </c>
    </row>
    <row r="651" ht="15.75" customHeight="1">
      <c r="A651" s="14" t="s">
        <v>804</v>
      </c>
    </row>
    <row r="652" ht="15.75" customHeight="1">
      <c r="A652" s="15" t="s">
        <v>1812</v>
      </c>
      <c r="B652" s="16" t="s">
        <v>801</v>
      </c>
      <c r="C652" s="17">
        <v>10.0</v>
      </c>
      <c r="D652" s="17">
        <v>11.5</v>
      </c>
      <c r="E652" s="15" t="s">
        <v>1813</v>
      </c>
      <c r="F652" s="16" t="s">
        <v>801</v>
      </c>
      <c r="G652" s="15" t="s">
        <v>825</v>
      </c>
      <c r="H652" s="18">
        <v>0.0</v>
      </c>
      <c r="I652" s="16" t="s">
        <v>801</v>
      </c>
      <c r="J652" s="17">
        <v>12.88</v>
      </c>
    </row>
    <row r="653" ht="15.75" customHeight="1">
      <c r="A653" s="12" t="s">
        <v>804</v>
      </c>
      <c r="B653" s="13"/>
      <c r="C653" s="13"/>
      <c r="D653" s="13"/>
      <c r="E653" s="13"/>
      <c r="F653" s="13"/>
      <c r="G653" s="13"/>
      <c r="H653" s="13"/>
      <c r="I653" s="13"/>
      <c r="J653" s="13"/>
    </row>
    <row r="654" ht="15.75" customHeight="1">
      <c r="A654" s="14" t="s">
        <v>778</v>
      </c>
    </row>
    <row r="655" ht="15.75" customHeight="1">
      <c r="A655" s="14" t="s">
        <v>804</v>
      </c>
    </row>
    <row r="656" ht="15.75" customHeight="1">
      <c r="A656" s="15" t="s">
        <v>1814</v>
      </c>
      <c r="B656" s="16" t="s">
        <v>801</v>
      </c>
      <c r="C656" s="17">
        <v>63.0</v>
      </c>
      <c r="D656" s="17">
        <v>72.45</v>
      </c>
      <c r="E656" s="15" t="s">
        <v>1377</v>
      </c>
      <c r="F656" s="16" t="s">
        <v>801</v>
      </c>
      <c r="G656" s="15" t="s">
        <v>825</v>
      </c>
      <c r="H656" s="18">
        <v>0.0</v>
      </c>
      <c r="I656" s="16" t="s">
        <v>801</v>
      </c>
      <c r="J656" s="17">
        <v>81.14</v>
      </c>
    </row>
    <row r="657" ht="15.75" customHeight="1">
      <c r="A657" s="15" t="s">
        <v>1815</v>
      </c>
      <c r="B657" s="16" t="s">
        <v>801</v>
      </c>
      <c r="C657" s="17">
        <v>25.0</v>
      </c>
      <c r="D657" s="17">
        <v>28.75</v>
      </c>
      <c r="E657" s="15" t="s">
        <v>900</v>
      </c>
      <c r="F657" s="16" t="s">
        <v>801</v>
      </c>
      <c r="G657" s="15" t="s">
        <v>855</v>
      </c>
      <c r="H657" s="18">
        <v>0.0</v>
      </c>
      <c r="I657" s="16" t="s">
        <v>801</v>
      </c>
      <c r="J657" s="17">
        <v>33.93</v>
      </c>
    </row>
    <row r="658" ht="15.75" customHeight="1">
      <c r="A658" s="12" t="s">
        <v>804</v>
      </c>
      <c r="B658" s="13"/>
      <c r="C658" s="13"/>
      <c r="D658" s="13"/>
      <c r="E658" s="13"/>
      <c r="F658" s="13"/>
      <c r="G658" s="13"/>
      <c r="H658" s="13"/>
      <c r="I658" s="13"/>
      <c r="J658" s="13"/>
    </row>
    <row r="659" ht="15.75" customHeight="1">
      <c r="A659" s="14" t="s">
        <v>772</v>
      </c>
    </row>
    <row r="660" ht="15.75" customHeight="1">
      <c r="A660" s="14" t="s">
        <v>804</v>
      </c>
    </row>
    <row r="661" ht="15.75" customHeight="1">
      <c r="A661" s="15" t="s">
        <v>1816</v>
      </c>
      <c r="B661" s="16" t="s">
        <v>801</v>
      </c>
      <c r="C661" s="17">
        <v>28.83</v>
      </c>
      <c r="D661" s="17">
        <v>29.85</v>
      </c>
      <c r="E661" s="15" t="s">
        <v>1817</v>
      </c>
      <c r="F661" s="16" t="s">
        <v>801</v>
      </c>
      <c r="G661" s="15" t="s">
        <v>825</v>
      </c>
      <c r="H661" s="18">
        <v>0.0</v>
      </c>
      <c r="I661" s="16" t="s">
        <v>801</v>
      </c>
      <c r="J661" s="17">
        <v>33.43</v>
      </c>
    </row>
    <row r="662" ht="15.75" customHeight="1">
      <c r="A662" s="15" t="s">
        <v>1818</v>
      </c>
      <c r="B662" s="16" t="s">
        <v>801</v>
      </c>
      <c r="C662" s="17">
        <v>97.61</v>
      </c>
      <c r="D662" s="17">
        <v>105.43</v>
      </c>
      <c r="E662" s="15" t="s">
        <v>1819</v>
      </c>
      <c r="F662" s="16" t="s">
        <v>801</v>
      </c>
      <c r="G662" s="15" t="s">
        <v>825</v>
      </c>
      <c r="H662" s="18">
        <v>0.0</v>
      </c>
      <c r="I662" s="16" t="s">
        <v>801</v>
      </c>
      <c r="J662" s="17">
        <v>118.08</v>
      </c>
    </row>
    <row r="663" ht="15.75" customHeight="1">
      <c r="A663" s="15" t="s">
        <v>1820</v>
      </c>
      <c r="B663" s="16" t="s">
        <v>801</v>
      </c>
      <c r="C663" s="17">
        <v>332.73</v>
      </c>
      <c r="D663" s="17">
        <v>369.73</v>
      </c>
      <c r="E663" s="15" t="s">
        <v>1821</v>
      </c>
      <c r="F663" s="16" t="s">
        <v>801</v>
      </c>
      <c r="G663" s="15" t="s">
        <v>825</v>
      </c>
      <c r="H663" s="18">
        <v>0.0</v>
      </c>
      <c r="I663" s="16" t="s">
        <v>801</v>
      </c>
      <c r="J663" s="17">
        <v>414.1</v>
      </c>
    </row>
    <row r="664" ht="15.75" customHeight="1">
      <c r="A664" s="12" t="s">
        <v>804</v>
      </c>
      <c r="B664" s="13"/>
      <c r="C664" s="13"/>
      <c r="D664" s="13"/>
      <c r="E664" s="13"/>
      <c r="F664" s="13"/>
      <c r="G664" s="13"/>
      <c r="H664" s="13"/>
      <c r="I664" s="13"/>
      <c r="J664" s="13"/>
    </row>
    <row r="665" ht="15.75" customHeight="1">
      <c r="A665" s="14" t="s">
        <v>757</v>
      </c>
    </row>
    <row r="666" ht="15.75" customHeight="1">
      <c r="A666" s="14" t="s">
        <v>804</v>
      </c>
    </row>
    <row r="667" ht="15.75" customHeight="1">
      <c r="A667" s="15" t="s">
        <v>1822</v>
      </c>
      <c r="B667" s="16" t="s">
        <v>801</v>
      </c>
      <c r="C667" s="17">
        <v>45.71</v>
      </c>
      <c r="D667" s="17">
        <v>45.71</v>
      </c>
      <c r="E667" s="15" t="s">
        <v>1823</v>
      </c>
      <c r="F667" s="16" t="s">
        <v>801</v>
      </c>
      <c r="G667" s="15" t="s">
        <v>825</v>
      </c>
      <c r="H667" s="18">
        <v>0.0</v>
      </c>
      <c r="I667" s="16" t="s">
        <v>801</v>
      </c>
      <c r="J667" s="17">
        <v>51.2</v>
      </c>
    </row>
    <row r="668" ht="15.75" customHeight="1">
      <c r="A668" s="15" t="s">
        <v>1824</v>
      </c>
      <c r="B668" s="16" t="s">
        <v>801</v>
      </c>
      <c r="C668" s="17">
        <v>271.07</v>
      </c>
      <c r="D668" s="17">
        <v>282.08</v>
      </c>
      <c r="E668" s="15" t="s">
        <v>1825</v>
      </c>
      <c r="F668" s="16" t="s">
        <v>801</v>
      </c>
      <c r="G668" s="15" t="s">
        <v>825</v>
      </c>
      <c r="H668" s="18">
        <v>0.0</v>
      </c>
      <c r="I668" s="16" t="s">
        <v>801</v>
      </c>
      <c r="J668" s="17">
        <v>315.93</v>
      </c>
    </row>
    <row r="669" ht="15.75" customHeight="1">
      <c r="A669" s="15" t="s">
        <v>1826</v>
      </c>
      <c r="B669" s="16" t="s">
        <v>801</v>
      </c>
      <c r="C669" s="17">
        <v>84.54</v>
      </c>
      <c r="D669" s="17">
        <v>93.93</v>
      </c>
      <c r="E669" s="15" t="s">
        <v>1827</v>
      </c>
      <c r="F669" s="16" t="s">
        <v>801</v>
      </c>
      <c r="G669" s="15" t="s">
        <v>825</v>
      </c>
      <c r="H669" s="18">
        <v>0.0</v>
      </c>
      <c r="I669" s="16" t="s">
        <v>801</v>
      </c>
      <c r="J669" s="17">
        <v>105.2</v>
      </c>
    </row>
    <row r="670" ht="15.75" customHeight="1">
      <c r="A670" s="15" t="s">
        <v>1828</v>
      </c>
      <c r="B670" s="16" t="s">
        <v>801</v>
      </c>
      <c r="C670" s="17">
        <v>74.58</v>
      </c>
      <c r="D670" s="17">
        <v>78.57</v>
      </c>
      <c r="E670" s="15" t="s">
        <v>1212</v>
      </c>
      <c r="F670" s="16" t="s">
        <v>801</v>
      </c>
      <c r="G670" s="15" t="s">
        <v>825</v>
      </c>
      <c r="H670" s="18">
        <v>0.0</v>
      </c>
      <c r="I670" s="16" t="s">
        <v>801</v>
      </c>
      <c r="J670" s="17">
        <v>88.0</v>
      </c>
    </row>
    <row r="671" ht="15.75" customHeight="1">
      <c r="A671" s="15" t="s">
        <v>1829</v>
      </c>
      <c r="B671" s="16" t="s">
        <v>801</v>
      </c>
      <c r="C671" s="17">
        <v>190.0</v>
      </c>
      <c r="D671" s="17">
        <v>190.0</v>
      </c>
      <c r="E671" s="15" t="s">
        <v>1830</v>
      </c>
      <c r="F671" s="16" t="s">
        <v>801</v>
      </c>
      <c r="G671" s="15" t="s">
        <v>825</v>
      </c>
      <c r="H671" s="18">
        <v>0.0</v>
      </c>
      <c r="I671" s="16" t="s">
        <v>801</v>
      </c>
      <c r="J671" s="17">
        <v>212.8</v>
      </c>
    </row>
    <row r="672" ht="15.75" customHeight="1">
      <c r="A672" s="15" t="s">
        <v>1831</v>
      </c>
      <c r="B672" s="16" t="s">
        <v>801</v>
      </c>
      <c r="C672" s="17">
        <v>123.43</v>
      </c>
      <c r="D672" s="17">
        <v>137.14</v>
      </c>
      <c r="E672" s="15" t="s">
        <v>1832</v>
      </c>
      <c r="F672" s="16" t="s">
        <v>801</v>
      </c>
      <c r="G672" s="15" t="s">
        <v>825</v>
      </c>
      <c r="H672" s="18">
        <v>0.0</v>
      </c>
      <c r="I672" s="16" t="s">
        <v>801</v>
      </c>
      <c r="J672" s="17">
        <v>153.6</v>
      </c>
    </row>
    <row r="673" ht="15.75" customHeight="1">
      <c r="A673" s="15" t="s">
        <v>1833</v>
      </c>
      <c r="B673" s="16" t="s">
        <v>801</v>
      </c>
      <c r="C673" s="17">
        <v>32.91</v>
      </c>
      <c r="D673" s="17">
        <v>32.91</v>
      </c>
      <c r="E673" s="15" t="s">
        <v>1834</v>
      </c>
      <c r="F673" s="16" t="s">
        <v>801</v>
      </c>
      <c r="G673" s="15" t="s">
        <v>825</v>
      </c>
      <c r="H673" s="18">
        <v>0.0</v>
      </c>
      <c r="I673" s="16" t="s">
        <v>801</v>
      </c>
      <c r="J673" s="17">
        <v>36.86</v>
      </c>
    </row>
    <row r="674" ht="15.75" customHeight="1">
      <c r="A674" s="15" t="s">
        <v>1835</v>
      </c>
      <c r="B674" s="16" t="s">
        <v>801</v>
      </c>
      <c r="C674" s="17">
        <v>27.0</v>
      </c>
      <c r="D674" s="17">
        <v>27.0</v>
      </c>
      <c r="E674" s="15" t="s">
        <v>1836</v>
      </c>
      <c r="F674" s="16" t="s">
        <v>801</v>
      </c>
      <c r="G674" s="15" t="s">
        <v>825</v>
      </c>
      <c r="H674" s="18">
        <v>0.0</v>
      </c>
      <c r="I674" s="16" t="s">
        <v>801</v>
      </c>
      <c r="J674" s="17">
        <v>30.24</v>
      </c>
    </row>
    <row r="675" ht="15.75" customHeight="1">
      <c r="A675" s="15" t="s">
        <v>1837</v>
      </c>
      <c r="B675" s="16" t="s">
        <v>801</v>
      </c>
      <c r="C675" s="17">
        <v>102.37</v>
      </c>
      <c r="D675" s="17">
        <v>102.37</v>
      </c>
      <c r="E675" s="15" t="s">
        <v>1838</v>
      </c>
      <c r="F675" s="16" t="s">
        <v>801</v>
      </c>
      <c r="G675" s="15" t="s">
        <v>825</v>
      </c>
      <c r="H675" s="18">
        <v>0.0</v>
      </c>
      <c r="I675" s="16" t="s">
        <v>801</v>
      </c>
      <c r="J675" s="17">
        <v>114.65</v>
      </c>
    </row>
    <row r="676" ht="15.75" customHeight="1">
      <c r="A676" s="15" t="s">
        <v>1839</v>
      </c>
      <c r="B676" s="16" t="s">
        <v>801</v>
      </c>
      <c r="C676" s="17">
        <v>24.0</v>
      </c>
      <c r="D676" s="17">
        <v>26.67</v>
      </c>
      <c r="E676" s="15" t="s">
        <v>1840</v>
      </c>
      <c r="F676" s="16" t="s">
        <v>801</v>
      </c>
      <c r="G676" s="15" t="s">
        <v>825</v>
      </c>
      <c r="H676" s="18">
        <v>0.0</v>
      </c>
      <c r="I676" s="16" t="s">
        <v>801</v>
      </c>
      <c r="J676" s="17">
        <v>29.87</v>
      </c>
    </row>
    <row r="677" ht="15.75" customHeight="1">
      <c r="A677" s="12" t="s">
        <v>804</v>
      </c>
      <c r="B677" s="13"/>
      <c r="C677" s="13"/>
      <c r="D677" s="13"/>
      <c r="E677" s="13"/>
      <c r="F677" s="13"/>
      <c r="G677" s="13"/>
      <c r="H677" s="13"/>
      <c r="I677" s="13"/>
      <c r="J677" s="13"/>
    </row>
    <row r="678" ht="15.75" customHeight="1">
      <c r="A678" s="14" t="s">
        <v>770</v>
      </c>
    </row>
    <row r="679" ht="15.75" customHeight="1">
      <c r="A679" s="14" t="s">
        <v>804</v>
      </c>
    </row>
    <row r="680" ht="15.75" customHeight="1">
      <c r="A680" s="15" t="s">
        <v>1841</v>
      </c>
      <c r="B680" s="16" t="s">
        <v>801</v>
      </c>
      <c r="C680" s="17">
        <v>218.79</v>
      </c>
      <c r="D680" s="17">
        <v>227.7</v>
      </c>
      <c r="E680" s="15" t="s">
        <v>1842</v>
      </c>
      <c r="F680" s="16" t="s">
        <v>801</v>
      </c>
      <c r="G680" s="15" t="s">
        <v>825</v>
      </c>
      <c r="H680" s="18">
        <v>0.0</v>
      </c>
      <c r="I680" s="16" t="s">
        <v>801</v>
      </c>
      <c r="J680" s="17">
        <v>255.02</v>
      </c>
    </row>
    <row r="681" ht="15.75" customHeight="1">
      <c r="A681" s="15" t="s">
        <v>1843</v>
      </c>
      <c r="B681" s="16" t="s">
        <v>801</v>
      </c>
      <c r="C681" s="17">
        <v>67.95</v>
      </c>
      <c r="D681" s="17">
        <v>75.56</v>
      </c>
      <c r="E681" s="15" t="s">
        <v>1844</v>
      </c>
      <c r="F681" s="16" t="s">
        <v>801</v>
      </c>
      <c r="G681" s="15" t="s">
        <v>825</v>
      </c>
      <c r="H681" s="18">
        <v>0.0</v>
      </c>
      <c r="I681" s="16" t="s">
        <v>801</v>
      </c>
      <c r="J681" s="17">
        <v>84.63</v>
      </c>
    </row>
    <row r="682" ht="15.75" customHeight="1">
      <c r="A682" s="15" t="s">
        <v>1845</v>
      </c>
      <c r="B682" s="16" t="s">
        <v>801</v>
      </c>
      <c r="C682" s="17">
        <v>84.15</v>
      </c>
      <c r="D682" s="17">
        <v>93.53</v>
      </c>
      <c r="E682" s="15" t="s">
        <v>1846</v>
      </c>
      <c r="F682" s="16" t="s">
        <v>801</v>
      </c>
      <c r="G682" s="15" t="s">
        <v>825</v>
      </c>
      <c r="H682" s="18">
        <v>0.0</v>
      </c>
      <c r="I682" s="16" t="s">
        <v>801</v>
      </c>
      <c r="J682" s="17">
        <v>104.75</v>
      </c>
    </row>
    <row r="683" ht="15.75" customHeight="1">
      <c r="A683" s="15" t="s">
        <v>1847</v>
      </c>
      <c r="B683" s="16" t="s">
        <v>801</v>
      </c>
      <c r="C683" s="17">
        <v>110.06</v>
      </c>
      <c r="D683" s="17">
        <v>122.29</v>
      </c>
      <c r="E683" s="15" t="s">
        <v>1848</v>
      </c>
      <c r="F683" s="16" t="s">
        <v>801</v>
      </c>
      <c r="G683" s="15" t="s">
        <v>825</v>
      </c>
      <c r="H683" s="18">
        <v>0.0</v>
      </c>
      <c r="I683" s="16" t="s">
        <v>801</v>
      </c>
      <c r="J683" s="17">
        <v>136.96</v>
      </c>
    </row>
    <row r="684" ht="15.75" customHeight="1">
      <c r="A684" s="12" t="s">
        <v>804</v>
      </c>
      <c r="B684" s="13"/>
      <c r="C684" s="13"/>
      <c r="D684" s="13"/>
      <c r="E684" s="13"/>
      <c r="F684" s="13"/>
      <c r="G684" s="13"/>
      <c r="H684" s="13"/>
      <c r="I684" s="13"/>
      <c r="J684" s="13"/>
    </row>
    <row r="685" ht="15.75" customHeight="1">
      <c r="A685" s="14" t="s">
        <v>792</v>
      </c>
    </row>
    <row r="686" ht="15.75" customHeight="1">
      <c r="A686" s="14" t="s">
        <v>804</v>
      </c>
    </row>
    <row r="687" ht="15.75" customHeight="1">
      <c r="A687" s="15" t="s">
        <v>1849</v>
      </c>
      <c r="B687" s="16" t="s">
        <v>801</v>
      </c>
      <c r="C687" s="17">
        <v>8.25</v>
      </c>
      <c r="D687" s="17">
        <v>9.48</v>
      </c>
      <c r="E687" s="15" t="s">
        <v>1007</v>
      </c>
      <c r="F687" s="16" t="s">
        <v>801</v>
      </c>
      <c r="G687" s="15" t="s">
        <v>825</v>
      </c>
      <c r="H687" s="18">
        <v>0.0</v>
      </c>
      <c r="I687" s="16" t="s">
        <v>801</v>
      </c>
      <c r="J687" s="17">
        <v>10.62</v>
      </c>
    </row>
    <row r="688" ht="15.75" customHeight="1">
      <c r="A688" s="12" t="s">
        <v>804</v>
      </c>
      <c r="B688" s="13"/>
      <c r="C688" s="13"/>
      <c r="D688" s="13"/>
      <c r="E688" s="13"/>
      <c r="F688" s="13"/>
      <c r="G688" s="13"/>
      <c r="H688" s="13"/>
      <c r="I688" s="13"/>
      <c r="J688" s="13"/>
    </row>
    <row r="689" ht="15.75" customHeight="1">
      <c r="A689" s="14" t="s">
        <v>793</v>
      </c>
    </row>
    <row r="690" ht="15.75" customHeight="1">
      <c r="A690" s="14" t="s">
        <v>804</v>
      </c>
    </row>
    <row r="691" ht="15.75" customHeight="1">
      <c r="A691" s="15" t="s">
        <v>1850</v>
      </c>
      <c r="B691" s="16" t="s">
        <v>801</v>
      </c>
      <c r="C691" s="17">
        <v>84.69</v>
      </c>
      <c r="D691" s="17">
        <v>94.11</v>
      </c>
      <c r="E691" s="15" t="s">
        <v>1851</v>
      </c>
      <c r="F691" s="16" t="s">
        <v>801</v>
      </c>
      <c r="G691" s="15" t="s">
        <v>825</v>
      </c>
      <c r="H691" s="18">
        <v>0.0</v>
      </c>
      <c r="I691" s="16" t="s">
        <v>801</v>
      </c>
      <c r="J691" s="17">
        <v>105.4</v>
      </c>
    </row>
    <row r="692" ht="15.75" customHeight="1">
      <c r="A692" s="12" t="s">
        <v>804</v>
      </c>
      <c r="B692" s="13"/>
      <c r="C692" s="13"/>
      <c r="D692" s="13"/>
      <c r="E692" s="13"/>
      <c r="F692" s="13"/>
      <c r="G692" s="13"/>
      <c r="H692" s="13"/>
      <c r="I692" s="13"/>
      <c r="J692" s="13"/>
    </row>
    <row r="693" ht="15.75" customHeight="1">
      <c r="A693" s="14" t="s">
        <v>751</v>
      </c>
    </row>
    <row r="694" ht="15.75" customHeight="1">
      <c r="A694" s="14" t="s">
        <v>804</v>
      </c>
    </row>
    <row r="695" ht="15.75" customHeight="1">
      <c r="A695" s="15" t="s">
        <v>1852</v>
      </c>
      <c r="B695" s="16" t="s">
        <v>801</v>
      </c>
      <c r="C695" s="17">
        <v>116.04</v>
      </c>
      <c r="D695" s="17">
        <v>128.9</v>
      </c>
      <c r="E695" s="15" t="s">
        <v>1853</v>
      </c>
      <c r="F695" s="16" t="s">
        <v>801</v>
      </c>
      <c r="G695" s="15" t="s">
        <v>825</v>
      </c>
      <c r="H695" s="18">
        <v>0.0</v>
      </c>
      <c r="I695" s="16" t="s">
        <v>801</v>
      </c>
      <c r="J695" s="17">
        <v>144.37</v>
      </c>
    </row>
    <row r="696" ht="15.75" customHeight="1">
      <c r="A696" s="15" t="s">
        <v>1854</v>
      </c>
      <c r="B696" s="16" t="s">
        <v>801</v>
      </c>
      <c r="C696" s="17">
        <v>147.54</v>
      </c>
      <c r="D696" s="17">
        <v>163.9</v>
      </c>
      <c r="E696" s="15" t="s">
        <v>1855</v>
      </c>
      <c r="F696" s="16" t="s">
        <v>801</v>
      </c>
      <c r="G696" s="15" t="s">
        <v>825</v>
      </c>
      <c r="H696" s="18">
        <v>0.0</v>
      </c>
      <c r="I696" s="16" t="s">
        <v>801</v>
      </c>
      <c r="J696" s="17">
        <v>183.57</v>
      </c>
    </row>
    <row r="697" ht="15.75" customHeight="1">
      <c r="A697" s="15" t="s">
        <v>1856</v>
      </c>
      <c r="B697" s="16" t="s">
        <v>801</v>
      </c>
      <c r="C697" s="17">
        <v>55.78</v>
      </c>
      <c r="D697" s="17">
        <v>61.98</v>
      </c>
      <c r="E697" s="15" t="s">
        <v>1857</v>
      </c>
      <c r="F697" s="16" t="s">
        <v>801</v>
      </c>
      <c r="G697" s="15" t="s">
        <v>825</v>
      </c>
      <c r="H697" s="18">
        <v>0.0</v>
      </c>
      <c r="I697" s="16" t="s">
        <v>801</v>
      </c>
      <c r="J697" s="17">
        <v>69.42</v>
      </c>
    </row>
    <row r="698" ht="15.75" customHeight="1">
      <c r="A698" s="15" t="s">
        <v>1858</v>
      </c>
      <c r="B698" s="16" t="s">
        <v>801</v>
      </c>
      <c r="C698" s="17">
        <v>26.08</v>
      </c>
      <c r="D698" s="17">
        <v>28.98</v>
      </c>
      <c r="E698" s="15" t="s">
        <v>1859</v>
      </c>
      <c r="F698" s="16" t="s">
        <v>801</v>
      </c>
      <c r="G698" s="15" t="s">
        <v>825</v>
      </c>
      <c r="H698" s="18">
        <v>0.0</v>
      </c>
      <c r="I698" s="16" t="s">
        <v>801</v>
      </c>
      <c r="J698" s="17">
        <v>32.46</v>
      </c>
    </row>
    <row r="699" ht="15.75" customHeight="1">
      <c r="A699" s="15" t="s">
        <v>1860</v>
      </c>
      <c r="B699" s="16" t="s">
        <v>801</v>
      </c>
      <c r="C699" s="17">
        <v>64.17</v>
      </c>
      <c r="D699" s="17">
        <v>71.3</v>
      </c>
      <c r="E699" s="15" t="s">
        <v>1861</v>
      </c>
      <c r="F699" s="16" t="s">
        <v>801</v>
      </c>
      <c r="G699" s="15" t="s">
        <v>825</v>
      </c>
      <c r="H699" s="18">
        <v>0.0</v>
      </c>
      <c r="I699" s="16" t="s">
        <v>801</v>
      </c>
      <c r="J699" s="17">
        <v>79.86</v>
      </c>
    </row>
    <row r="700" ht="15.75" customHeight="1">
      <c r="A700" s="15" t="s">
        <v>1862</v>
      </c>
      <c r="B700" s="16" t="s">
        <v>801</v>
      </c>
      <c r="C700" s="17">
        <v>61.23</v>
      </c>
      <c r="D700" s="17">
        <v>68.03</v>
      </c>
      <c r="E700" s="15" t="s">
        <v>1863</v>
      </c>
      <c r="F700" s="16" t="s">
        <v>801</v>
      </c>
      <c r="G700" s="15" t="s">
        <v>825</v>
      </c>
      <c r="H700" s="18">
        <v>0.0</v>
      </c>
      <c r="I700" s="16" t="s">
        <v>801</v>
      </c>
      <c r="J700" s="17">
        <v>76.19</v>
      </c>
    </row>
    <row r="701" ht="15.75" customHeight="1">
      <c r="A701" s="15" t="s">
        <v>1864</v>
      </c>
      <c r="B701" s="16" t="s">
        <v>801</v>
      </c>
      <c r="C701" s="17">
        <v>6.23</v>
      </c>
      <c r="D701" s="17">
        <v>6.77</v>
      </c>
      <c r="E701" s="15" t="s">
        <v>1865</v>
      </c>
      <c r="F701" s="16" t="s">
        <v>801</v>
      </c>
      <c r="G701" s="15" t="s">
        <v>825</v>
      </c>
      <c r="H701" s="18">
        <v>0.0</v>
      </c>
      <c r="I701" s="16" t="s">
        <v>801</v>
      </c>
      <c r="J701" s="17">
        <v>7.58</v>
      </c>
    </row>
    <row r="702" ht="15.75" customHeight="1">
      <c r="A702" s="15" t="s">
        <v>1866</v>
      </c>
      <c r="B702" s="16" t="s">
        <v>801</v>
      </c>
      <c r="C702" s="17">
        <v>3.44</v>
      </c>
      <c r="D702" s="17">
        <v>3.74</v>
      </c>
      <c r="E702" s="15" t="s">
        <v>1867</v>
      </c>
      <c r="F702" s="16" t="s">
        <v>801</v>
      </c>
      <c r="G702" s="15" t="s">
        <v>825</v>
      </c>
      <c r="H702" s="18">
        <v>0.0</v>
      </c>
      <c r="I702" s="16" t="s">
        <v>801</v>
      </c>
      <c r="J702" s="17">
        <v>4.19</v>
      </c>
    </row>
    <row r="703" ht="15.75" customHeight="1">
      <c r="A703" s="15" t="s">
        <v>1868</v>
      </c>
      <c r="B703" s="16" t="s">
        <v>801</v>
      </c>
      <c r="C703" s="17">
        <v>35.05</v>
      </c>
      <c r="D703" s="17">
        <v>38.1</v>
      </c>
      <c r="E703" s="15" t="s">
        <v>1869</v>
      </c>
      <c r="F703" s="16" t="s">
        <v>801</v>
      </c>
      <c r="G703" s="15" t="s">
        <v>825</v>
      </c>
      <c r="H703" s="18">
        <v>0.0</v>
      </c>
      <c r="I703" s="16" t="s">
        <v>801</v>
      </c>
      <c r="J703" s="17">
        <v>42.67</v>
      </c>
    </row>
    <row r="704" ht="15.75" customHeight="1">
      <c r="A704" s="15" t="s">
        <v>1870</v>
      </c>
      <c r="B704" s="16" t="s">
        <v>801</v>
      </c>
      <c r="C704" s="17">
        <v>27.15</v>
      </c>
      <c r="D704" s="17">
        <v>29.51</v>
      </c>
      <c r="E704" s="15" t="s">
        <v>1871</v>
      </c>
      <c r="F704" s="16" t="s">
        <v>801</v>
      </c>
      <c r="G704" s="15" t="s">
        <v>825</v>
      </c>
      <c r="H704" s="18">
        <v>0.0</v>
      </c>
      <c r="I704" s="16" t="s">
        <v>801</v>
      </c>
      <c r="J704" s="17">
        <v>33.05</v>
      </c>
    </row>
    <row r="705" ht="15.75" customHeight="1">
      <c r="A705" s="15" t="s">
        <v>1872</v>
      </c>
      <c r="B705" s="16" t="s">
        <v>801</v>
      </c>
      <c r="C705" s="17">
        <v>38.06</v>
      </c>
      <c r="D705" s="17">
        <v>41.37</v>
      </c>
      <c r="E705" s="15" t="s">
        <v>1873</v>
      </c>
      <c r="F705" s="16" t="s">
        <v>801</v>
      </c>
      <c r="G705" s="15" t="s">
        <v>825</v>
      </c>
      <c r="H705" s="18">
        <v>0.0</v>
      </c>
      <c r="I705" s="16" t="s">
        <v>801</v>
      </c>
      <c r="J705" s="17">
        <v>46.33</v>
      </c>
    </row>
    <row r="706" ht="15.75" customHeight="1">
      <c r="A706" s="15" t="s">
        <v>1874</v>
      </c>
      <c r="B706" s="16" t="s">
        <v>801</v>
      </c>
      <c r="C706" s="17">
        <v>21.26</v>
      </c>
      <c r="D706" s="17">
        <v>23.22</v>
      </c>
      <c r="E706" s="15" t="s">
        <v>1875</v>
      </c>
      <c r="F706" s="16" t="s">
        <v>801</v>
      </c>
      <c r="G706" s="15" t="s">
        <v>825</v>
      </c>
      <c r="H706" s="18">
        <v>0.0</v>
      </c>
      <c r="I706" s="16" t="s">
        <v>801</v>
      </c>
      <c r="J706" s="17">
        <v>26.01</v>
      </c>
    </row>
    <row r="707" ht="15.75" customHeight="1">
      <c r="A707" s="15" t="s">
        <v>1876</v>
      </c>
      <c r="B707" s="16" t="s">
        <v>801</v>
      </c>
      <c r="C707" s="17">
        <v>24.67</v>
      </c>
      <c r="D707" s="17">
        <v>26.82</v>
      </c>
      <c r="E707" s="15" t="s">
        <v>1877</v>
      </c>
      <c r="F707" s="16" t="s">
        <v>801</v>
      </c>
      <c r="G707" s="15" t="s">
        <v>825</v>
      </c>
      <c r="H707" s="18">
        <v>0.0</v>
      </c>
      <c r="I707" s="16" t="s">
        <v>801</v>
      </c>
      <c r="J707" s="17">
        <v>30.04</v>
      </c>
    </row>
    <row r="708" ht="15.75" customHeight="1">
      <c r="A708" s="15" t="s">
        <v>1878</v>
      </c>
      <c r="B708" s="16" t="s">
        <v>801</v>
      </c>
      <c r="C708" s="17">
        <v>68.09</v>
      </c>
      <c r="D708" s="17">
        <v>74.01</v>
      </c>
      <c r="E708" s="15" t="s">
        <v>1879</v>
      </c>
      <c r="F708" s="16" t="s">
        <v>801</v>
      </c>
      <c r="G708" s="15" t="s">
        <v>825</v>
      </c>
      <c r="H708" s="18">
        <v>0.0</v>
      </c>
      <c r="I708" s="16" t="s">
        <v>801</v>
      </c>
      <c r="J708" s="17">
        <v>82.89</v>
      </c>
    </row>
    <row r="709" ht="15.75" customHeight="1">
      <c r="A709" s="15" t="s">
        <v>1880</v>
      </c>
      <c r="B709" s="16" t="s">
        <v>801</v>
      </c>
      <c r="C709" s="17">
        <v>91.83</v>
      </c>
      <c r="D709" s="17">
        <v>95.06</v>
      </c>
      <c r="E709" s="15" t="s">
        <v>1881</v>
      </c>
      <c r="F709" s="16" t="s">
        <v>801</v>
      </c>
      <c r="G709" s="15" t="s">
        <v>825</v>
      </c>
      <c r="H709" s="18">
        <v>0.0</v>
      </c>
      <c r="I709" s="16" t="s">
        <v>801</v>
      </c>
      <c r="J709" s="17">
        <v>106.47</v>
      </c>
    </row>
    <row r="710" ht="15.75" customHeight="1">
      <c r="A710" s="15" t="s">
        <v>1882</v>
      </c>
      <c r="B710" s="16" t="s">
        <v>801</v>
      </c>
      <c r="C710" s="17">
        <v>74.66</v>
      </c>
      <c r="D710" s="17">
        <v>82.96</v>
      </c>
      <c r="E710" s="15" t="s">
        <v>1883</v>
      </c>
      <c r="F710" s="16" t="s">
        <v>801</v>
      </c>
      <c r="G710" s="15" t="s">
        <v>959</v>
      </c>
      <c r="H710" s="18">
        <v>0.0</v>
      </c>
      <c r="I710" s="16" t="s">
        <v>801</v>
      </c>
      <c r="J710" s="17">
        <v>87.11</v>
      </c>
    </row>
    <row r="711" ht="15.75" customHeight="1">
      <c r="A711" s="15" t="s">
        <v>1884</v>
      </c>
      <c r="B711" s="16" t="s">
        <v>801</v>
      </c>
      <c r="C711" s="17">
        <v>39.53</v>
      </c>
      <c r="D711" s="17">
        <v>43.92</v>
      </c>
      <c r="E711" s="15" t="s">
        <v>1885</v>
      </c>
      <c r="F711" s="16" t="s">
        <v>801</v>
      </c>
      <c r="G711" s="15" t="s">
        <v>825</v>
      </c>
      <c r="H711" s="18">
        <v>0.0</v>
      </c>
      <c r="I711" s="16" t="s">
        <v>801</v>
      </c>
      <c r="J711" s="17">
        <v>49.19</v>
      </c>
    </row>
    <row r="712" ht="15.75" customHeight="1">
      <c r="A712" s="15" t="s">
        <v>1886</v>
      </c>
      <c r="B712" s="16" t="s">
        <v>801</v>
      </c>
      <c r="C712" s="17">
        <v>10.87</v>
      </c>
      <c r="D712" s="17">
        <v>12.08</v>
      </c>
      <c r="E712" s="15" t="s">
        <v>1887</v>
      </c>
      <c r="F712" s="16" t="s">
        <v>801</v>
      </c>
      <c r="G712" s="15" t="s">
        <v>825</v>
      </c>
      <c r="H712" s="18">
        <v>0.0</v>
      </c>
      <c r="I712" s="16" t="s">
        <v>801</v>
      </c>
      <c r="J712" s="17">
        <v>13.53</v>
      </c>
    </row>
    <row r="713" ht="15.75" customHeight="1">
      <c r="A713" s="15" t="s">
        <v>1888</v>
      </c>
      <c r="B713" s="16" t="s">
        <v>801</v>
      </c>
      <c r="C713" s="17">
        <v>27.65</v>
      </c>
      <c r="D713" s="17">
        <v>30.72</v>
      </c>
      <c r="E713" s="15" t="s">
        <v>1889</v>
      </c>
      <c r="F713" s="16" t="s">
        <v>801</v>
      </c>
      <c r="G713" s="15" t="s">
        <v>825</v>
      </c>
      <c r="H713" s="18">
        <v>0.0</v>
      </c>
      <c r="I713" s="16" t="s">
        <v>801</v>
      </c>
      <c r="J713" s="17">
        <v>34.41</v>
      </c>
    </row>
    <row r="714" ht="15.75" customHeight="1">
      <c r="A714" s="15" t="s">
        <v>1890</v>
      </c>
      <c r="B714" s="16" t="s">
        <v>801</v>
      </c>
      <c r="C714" s="17">
        <v>24.88</v>
      </c>
      <c r="D714" s="17">
        <v>27.64</v>
      </c>
      <c r="E714" s="15" t="s">
        <v>1891</v>
      </c>
      <c r="F714" s="16" t="s">
        <v>801</v>
      </c>
      <c r="G714" s="15" t="s">
        <v>825</v>
      </c>
      <c r="H714" s="18">
        <v>0.0</v>
      </c>
      <c r="I714" s="16" t="s">
        <v>801</v>
      </c>
      <c r="J714" s="17">
        <v>30.96</v>
      </c>
    </row>
    <row r="715" ht="15.75" customHeight="1">
      <c r="A715" s="15" t="s">
        <v>1892</v>
      </c>
      <c r="B715" s="16" t="s">
        <v>801</v>
      </c>
      <c r="C715" s="17">
        <v>45.64</v>
      </c>
      <c r="D715" s="17">
        <v>50.71</v>
      </c>
      <c r="E715" s="15" t="s">
        <v>1893</v>
      </c>
      <c r="F715" s="16" t="s">
        <v>801</v>
      </c>
      <c r="G715" s="15" t="s">
        <v>825</v>
      </c>
      <c r="H715" s="18">
        <v>0.0</v>
      </c>
      <c r="I715" s="16" t="s">
        <v>801</v>
      </c>
      <c r="J715" s="17">
        <v>56.8</v>
      </c>
    </row>
    <row r="716" ht="15.75" customHeight="1">
      <c r="A716" s="15" t="s">
        <v>1894</v>
      </c>
      <c r="B716" s="16" t="s">
        <v>801</v>
      </c>
      <c r="C716" s="17">
        <v>34.07</v>
      </c>
      <c r="D716" s="17">
        <v>37.86</v>
      </c>
      <c r="E716" s="15" t="s">
        <v>1596</v>
      </c>
      <c r="F716" s="16" t="s">
        <v>801</v>
      </c>
      <c r="G716" s="15" t="s">
        <v>825</v>
      </c>
      <c r="H716" s="18">
        <v>0.0</v>
      </c>
      <c r="I716" s="16" t="s">
        <v>801</v>
      </c>
      <c r="J716" s="17">
        <v>42.4</v>
      </c>
    </row>
    <row r="717" ht="15.75" customHeight="1">
      <c r="A717" s="15" t="s">
        <v>1895</v>
      </c>
      <c r="B717" s="16" t="s">
        <v>801</v>
      </c>
      <c r="C717" s="17">
        <v>68.14</v>
      </c>
      <c r="D717" s="17">
        <v>75.71</v>
      </c>
      <c r="E717" s="15" t="s">
        <v>1896</v>
      </c>
      <c r="F717" s="16" t="s">
        <v>801</v>
      </c>
      <c r="G717" s="15" t="s">
        <v>825</v>
      </c>
      <c r="H717" s="18">
        <v>0.0</v>
      </c>
      <c r="I717" s="16" t="s">
        <v>801</v>
      </c>
      <c r="J717" s="17">
        <v>84.8</v>
      </c>
    </row>
    <row r="718" ht="15.75" customHeight="1">
      <c r="A718" s="15" t="s">
        <v>1897</v>
      </c>
      <c r="B718" s="16" t="s">
        <v>801</v>
      </c>
      <c r="C718" s="17">
        <v>56.57</v>
      </c>
      <c r="D718" s="17">
        <v>62.86</v>
      </c>
      <c r="E718" s="15" t="s">
        <v>1898</v>
      </c>
      <c r="F718" s="16" t="s">
        <v>801</v>
      </c>
      <c r="G718" s="15" t="s">
        <v>825</v>
      </c>
      <c r="H718" s="18">
        <v>0.0</v>
      </c>
      <c r="I718" s="16" t="s">
        <v>801</v>
      </c>
      <c r="J718" s="17">
        <v>70.4</v>
      </c>
    </row>
    <row r="719" ht="15.75" customHeight="1">
      <c r="A719" s="15" t="s">
        <v>1899</v>
      </c>
      <c r="B719" s="16" t="s">
        <v>801</v>
      </c>
      <c r="C719" s="17">
        <v>65.38</v>
      </c>
      <c r="D719" s="17">
        <v>72.64</v>
      </c>
      <c r="E719" s="15" t="s">
        <v>1900</v>
      </c>
      <c r="F719" s="16" t="s">
        <v>801</v>
      </c>
      <c r="G719" s="15" t="s">
        <v>825</v>
      </c>
      <c r="H719" s="18">
        <v>0.0</v>
      </c>
      <c r="I719" s="16" t="s">
        <v>801</v>
      </c>
      <c r="J719" s="17">
        <v>81.36</v>
      </c>
    </row>
    <row r="720" ht="15.75" customHeight="1">
      <c r="A720" s="15" t="s">
        <v>1901</v>
      </c>
      <c r="B720" s="16" t="s">
        <v>801</v>
      </c>
      <c r="C720" s="17">
        <v>59.46</v>
      </c>
      <c r="D720" s="17">
        <v>66.07</v>
      </c>
      <c r="E720" s="15" t="s">
        <v>1902</v>
      </c>
      <c r="F720" s="16" t="s">
        <v>801</v>
      </c>
      <c r="G720" s="15" t="s">
        <v>825</v>
      </c>
      <c r="H720" s="18">
        <v>0.0</v>
      </c>
      <c r="I720" s="16" t="s">
        <v>801</v>
      </c>
      <c r="J720" s="17">
        <v>74.0</v>
      </c>
    </row>
    <row r="721" ht="15.75" customHeight="1">
      <c r="A721" s="15" t="s">
        <v>1903</v>
      </c>
      <c r="B721" s="16" t="s">
        <v>801</v>
      </c>
      <c r="C721" s="17">
        <v>66.51</v>
      </c>
      <c r="D721" s="17">
        <v>73.9</v>
      </c>
      <c r="E721" s="15" t="s">
        <v>1904</v>
      </c>
      <c r="F721" s="16" t="s">
        <v>801</v>
      </c>
      <c r="G721" s="15" t="s">
        <v>825</v>
      </c>
      <c r="H721" s="18">
        <v>0.0</v>
      </c>
      <c r="I721" s="16" t="s">
        <v>801</v>
      </c>
      <c r="J721" s="17">
        <v>82.77</v>
      </c>
    </row>
    <row r="722" ht="15.75" customHeight="1">
      <c r="A722" s="15" t="s">
        <v>1905</v>
      </c>
      <c r="B722" s="16" t="s">
        <v>801</v>
      </c>
      <c r="C722" s="17">
        <v>91.29</v>
      </c>
      <c r="D722" s="17">
        <v>101.4</v>
      </c>
      <c r="E722" s="15" t="s">
        <v>840</v>
      </c>
      <c r="F722" s="16" t="s">
        <v>801</v>
      </c>
      <c r="G722" s="15" t="s">
        <v>825</v>
      </c>
      <c r="H722" s="18">
        <v>0.0</v>
      </c>
      <c r="I722" s="16" t="s">
        <v>801</v>
      </c>
      <c r="J722" s="17">
        <v>113.57</v>
      </c>
    </row>
    <row r="723" ht="15.75" customHeight="1">
      <c r="A723" s="15" t="s">
        <v>1906</v>
      </c>
      <c r="B723" s="16" t="s">
        <v>801</v>
      </c>
      <c r="C723" s="17">
        <v>90.96</v>
      </c>
      <c r="D723" s="17">
        <v>101.1</v>
      </c>
      <c r="E723" s="15" t="s">
        <v>1907</v>
      </c>
      <c r="F723" s="16" t="s">
        <v>801</v>
      </c>
      <c r="G723" s="15" t="s">
        <v>825</v>
      </c>
      <c r="H723" s="18">
        <v>0.0</v>
      </c>
      <c r="I723" s="16" t="s">
        <v>801</v>
      </c>
      <c r="J723" s="17">
        <v>113.23</v>
      </c>
    </row>
    <row r="724" ht="15.75" customHeight="1">
      <c r="A724" s="15" t="s">
        <v>1908</v>
      </c>
      <c r="B724" s="16" t="s">
        <v>801</v>
      </c>
      <c r="C724" s="17">
        <v>123.75</v>
      </c>
      <c r="D724" s="17">
        <v>137.5</v>
      </c>
      <c r="E724" s="15" t="s">
        <v>1909</v>
      </c>
      <c r="F724" s="16" t="s">
        <v>801</v>
      </c>
      <c r="G724" s="15" t="s">
        <v>825</v>
      </c>
      <c r="H724" s="18">
        <v>0.0</v>
      </c>
      <c r="I724" s="16" t="s">
        <v>801</v>
      </c>
      <c r="J724" s="17">
        <v>154.0</v>
      </c>
    </row>
    <row r="725" ht="15.75" customHeight="1">
      <c r="A725" s="15" t="s">
        <v>1910</v>
      </c>
      <c r="B725" s="16" t="s">
        <v>801</v>
      </c>
      <c r="C725" s="17">
        <v>119.9</v>
      </c>
      <c r="D725" s="17">
        <v>133.2</v>
      </c>
      <c r="E725" s="15" t="s">
        <v>1911</v>
      </c>
      <c r="F725" s="16" t="s">
        <v>801</v>
      </c>
      <c r="G725" s="15" t="s">
        <v>825</v>
      </c>
      <c r="H725" s="18">
        <v>0.0</v>
      </c>
      <c r="I725" s="16" t="s">
        <v>801</v>
      </c>
      <c r="J725" s="17">
        <v>149.18</v>
      </c>
    </row>
    <row r="726" ht="15.75" customHeight="1">
      <c r="A726" s="15" t="s">
        <v>1912</v>
      </c>
      <c r="B726" s="16" t="s">
        <v>801</v>
      </c>
      <c r="C726" s="17">
        <v>11.91</v>
      </c>
      <c r="D726" s="17">
        <v>13.23</v>
      </c>
      <c r="E726" s="15" t="s">
        <v>1913</v>
      </c>
      <c r="F726" s="16" t="s">
        <v>801</v>
      </c>
      <c r="G726" s="15" t="s">
        <v>825</v>
      </c>
      <c r="H726" s="18">
        <v>0.0</v>
      </c>
      <c r="I726" s="16" t="s">
        <v>801</v>
      </c>
      <c r="J726" s="17">
        <v>14.82</v>
      </c>
    </row>
    <row r="727" ht="15.75" customHeight="1">
      <c r="A727" s="15" t="s">
        <v>1914</v>
      </c>
      <c r="B727" s="16" t="s">
        <v>801</v>
      </c>
      <c r="C727" s="17">
        <v>4.74</v>
      </c>
      <c r="D727" s="17">
        <v>5.27</v>
      </c>
      <c r="E727" s="15" t="s">
        <v>1915</v>
      </c>
      <c r="F727" s="16" t="s">
        <v>801</v>
      </c>
      <c r="G727" s="15" t="s">
        <v>825</v>
      </c>
      <c r="H727" s="18">
        <v>0.0</v>
      </c>
      <c r="I727" s="16" t="s">
        <v>801</v>
      </c>
      <c r="J727" s="17">
        <v>5.9</v>
      </c>
    </row>
    <row r="728" ht="15.75" customHeight="1">
      <c r="A728" s="15" t="s">
        <v>1916</v>
      </c>
      <c r="B728" s="16" t="s">
        <v>801</v>
      </c>
      <c r="C728" s="17">
        <v>25.78</v>
      </c>
      <c r="D728" s="17">
        <v>28.64</v>
      </c>
      <c r="E728" s="15" t="s">
        <v>1917</v>
      </c>
      <c r="F728" s="16" t="s">
        <v>801</v>
      </c>
      <c r="G728" s="15" t="s">
        <v>825</v>
      </c>
      <c r="H728" s="18">
        <v>0.0</v>
      </c>
      <c r="I728" s="16" t="s">
        <v>801</v>
      </c>
      <c r="J728" s="17">
        <v>32.08</v>
      </c>
    </row>
    <row r="729" ht="15.75" customHeight="1">
      <c r="A729" s="15" t="s">
        <v>1918</v>
      </c>
      <c r="B729" s="16" t="s">
        <v>801</v>
      </c>
      <c r="C729" s="17">
        <v>40.97</v>
      </c>
      <c r="D729" s="17">
        <v>45.52</v>
      </c>
      <c r="E729" s="15" t="s">
        <v>1919</v>
      </c>
      <c r="F729" s="16" t="s">
        <v>801</v>
      </c>
      <c r="G729" s="15" t="s">
        <v>825</v>
      </c>
      <c r="H729" s="18">
        <v>0.0</v>
      </c>
      <c r="I729" s="16" t="s">
        <v>801</v>
      </c>
      <c r="J729" s="17">
        <v>50.98</v>
      </c>
    </row>
    <row r="730" ht="15.75" customHeight="1">
      <c r="A730" s="15" t="s">
        <v>1920</v>
      </c>
      <c r="B730" s="16" t="s">
        <v>801</v>
      </c>
      <c r="C730" s="17">
        <v>25.66</v>
      </c>
      <c r="D730" s="17">
        <v>28.51</v>
      </c>
      <c r="E730" s="15" t="s">
        <v>1921</v>
      </c>
      <c r="F730" s="16" t="s">
        <v>801</v>
      </c>
      <c r="G730" s="15" t="s">
        <v>825</v>
      </c>
      <c r="H730" s="18">
        <v>0.0</v>
      </c>
      <c r="I730" s="16" t="s">
        <v>801</v>
      </c>
      <c r="J730" s="17">
        <v>31.93</v>
      </c>
    </row>
    <row r="731" ht="15.75" customHeight="1">
      <c r="A731" s="15" t="s">
        <v>1922</v>
      </c>
      <c r="B731" s="16" t="s">
        <v>801</v>
      </c>
      <c r="C731" s="17">
        <v>115.71</v>
      </c>
      <c r="D731" s="17">
        <v>128.6</v>
      </c>
      <c r="E731" s="15" t="s">
        <v>1259</v>
      </c>
      <c r="F731" s="16" t="s">
        <v>801</v>
      </c>
      <c r="G731" s="15" t="s">
        <v>825</v>
      </c>
      <c r="H731" s="18">
        <v>0.0</v>
      </c>
      <c r="I731" s="16" t="s">
        <v>801</v>
      </c>
      <c r="J731" s="17">
        <v>144.03</v>
      </c>
    </row>
    <row r="732" ht="15.75" customHeight="1">
      <c r="A732" s="15" t="s">
        <v>1923</v>
      </c>
      <c r="B732" s="16" t="s">
        <v>801</v>
      </c>
      <c r="C732" s="17">
        <v>385.71</v>
      </c>
      <c r="D732" s="17">
        <v>428.6</v>
      </c>
      <c r="E732" s="15" t="s">
        <v>1924</v>
      </c>
      <c r="F732" s="16" t="s">
        <v>801</v>
      </c>
      <c r="G732" s="15" t="s">
        <v>825</v>
      </c>
      <c r="H732" s="18">
        <v>0.0</v>
      </c>
      <c r="I732" s="16" t="s">
        <v>801</v>
      </c>
      <c r="J732" s="17">
        <v>480.03</v>
      </c>
    </row>
    <row r="733" ht="15.75" customHeight="1">
      <c r="A733" s="15" t="s">
        <v>1925</v>
      </c>
      <c r="B733" s="16" t="s">
        <v>801</v>
      </c>
      <c r="C733" s="17">
        <v>75.99</v>
      </c>
      <c r="D733" s="17">
        <v>84.43</v>
      </c>
      <c r="E733" s="15" t="s">
        <v>1926</v>
      </c>
      <c r="F733" s="16" t="s">
        <v>801</v>
      </c>
      <c r="G733" s="15" t="s">
        <v>825</v>
      </c>
      <c r="H733" s="18">
        <v>0.0</v>
      </c>
      <c r="I733" s="16" t="s">
        <v>801</v>
      </c>
      <c r="J733" s="17">
        <v>94.56</v>
      </c>
    </row>
    <row r="734" ht="15.75" customHeight="1">
      <c r="A734" s="15" t="s">
        <v>1927</v>
      </c>
      <c r="B734" s="16" t="s">
        <v>801</v>
      </c>
      <c r="C734" s="17">
        <v>36.92</v>
      </c>
      <c r="D734" s="17">
        <v>41.02</v>
      </c>
      <c r="E734" s="15" t="s">
        <v>1928</v>
      </c>
      <c r="F734" s="16" t="s">
        <v>801</v>
      </c>
      <c r="G734" s="15" t="s">
        <v>825</v>
      </c>
      <c r="H734" s="18">
        <v>0.0</v>
      </c>
      <c r="I734" s="16" t="s">
        <v>801</v>
      </c>
      <c r="J734" s="17">
        <v>45.94</v>
      </c>
    </row>
    <row r="735" ht="15.75" customHeight="1">
      <c r="A735" s="15" t="s">
        <v>1929</v>
      </c>
      <c r="B735" s="16" t="s">
        <v>801</v>
      </c>
      <c r="C735" s="17">
        <v>58.71</v>
      </c>
      <c r="D735" s="17">
        <v>65.23</v>
      </c>
      <c r="E735" s="15" t="s">
        <v>1930</v>
      </c>
      <c r="F735" s="16" t="s">
        <v>801</v>
      </c>
      <c r="G735" s="15" t="s">
        <v>825</v>
      </c>
      <c r="H735" s="18">
        <v>0.0</v>
      </c>
      <c r="I735" s="16" t="s">
        <v>801</v>
      </c>
      <c r="J735" s="17">
        <v>73.06</v>
      </c>
    </row>
    <row r="736" ht="15.75" customHeight="1">
      <c r="A736" s="15" t="s">
        <v>1931</v>
      </c>
      <c r="B736" s="16" t="s">
        <v>801</v>
      </c>
      <c r="C736" s="17">
        <v>126.64</v>
      </c>
      <c r="D736" s="17">
        <v>140.7</v>
      </c>
      <c r="E736" s="15" t="s">
        <v>1557</v>
      </c>
      <c r="F736" s="16" t="s">
        <v>801</v>
      </c>
      <c r="G736" s="15" t="s">
        <v>825</v>
      </c>
      <c r="H736" s="18">
        <v>0.0</v>
      </c>
      <c r="I736" s="16" t="s">
        <v>801</v>
      </c>
      <c r="J736" s="17">
        <v>157.58</v>
      </c>
    </row>
    <row r="737" ht="15.75" customHeight="1">
      <c r="A737" s="15" t="s">
        <v>1932</v>
      </c>
      <c r="B737" s="16" t="s">
        <v>801</v>
      </c>
      <c r="C737" s="17">
        <v>100.67</v>
      </c>
      <c r="D737" s="17">
        <v>111.9</v>
      </c>
      <c r="E737" s="15" t="s">
        <v>1933</v>
      </c>
      <c r="F737" s="16" t="s">
        <v>801</v>
      </c>
      <c r="G737" s="15" t="s">
        <v>825</v>
      </c>
      <c r="H737" s="18">
        <v>0.0</v>
      </c>
      <c r="I737" s="16" t="s">
        <v>801</v>
      </c>
      <c r="J737" s="17">
        <v>125.33</v>
      </c>
    </row>
    <row r="738" ht="15.75" customHeight="1">
      <c r="A738" s="15" t="s">
        <v>1934</v>
      </c>
      <c r="B738" s="16" t="s">
        <v>801</v>
      </c>
      <c r="C738" s="17">
        <v>134.94</v>
      </c>
      <c r="D738" s="17">
        <v>149.9</v>
      </c>
      <c r="E738" s="15" t="s">
        <v>1664</v>
      </c>
      <c r="F738" s="16" t="s">
        <v>801</v>
      </c>
      <c r="G738" s="15" t="s">
        <v>825</v>
      </c>
      <c r="H738" s="18">
        <v>0.0</v>
      </c>
      <c r="I738" s="16" t="s">
        <v>801</v>
      </c>
      <c r="J738" s="17">
        <v>167.89</v>
      </c>
    </row>
    <row r="739" ht="15.75" customHeight="1">
      <c r="A739" s="15" t="s">
        <v>1935</v>
      </c>
      <c r="B739" s="16" t="s">
        <v>801</v>
      </c>
      <c r="C739" s="17">
        <v>316.54</v>
      </c>
      <c r="D739" s="17">
        <v>351.7</v>
      </c>
      <c r="E739" s="15" t="s">
        <v>1936</v>
      </c>
      <c r="F739" s="16" t="s">
        <v>801</v>
      </c>
      <c r="G739" s="15" t="s">
        <v>825</v>
      </c>
      <c r="H739" s="18">
        <v>0.0</v>
      </c>
      <c r="I739" s="16" t="s">
        <v>801</v>
      </c>
      <c r="J739" s="17">
        <v>393.9</v>
      </c>
    </row>
    <row r="740" ht="15.75" customHeight="1">
      <c r="A740" s="15" t="s">
        <v>1937</v>
      </c>
      <c r="B740" s="16" t="s">
        <v>801</v>
      </c>
      <c r="C740" s="17">
        <v>40.18</v>
      </c>
      <c r="D740" s="17">
        <v>44.64</v>
      </c>
      <c r="E740" s="15" t="s">
        <v>1938</v>
      </c>
      <c r="F740" s="16" t="s">
        <v>801</v>
      </c>
      <c r="G740" s="15" t="s">
        <v>825</v>
      </c>
      <c r="H740" s="18">
        <v>0.0</v>
      </c>
      <c r="I740" s="16" t="s">
        <v>801</v>
      </c>
      <c r="J740" s="17">
        <v>50.0</v>
      </c>
    </row>
    <row r="741" ht="15.75" customHeight="1">
      <c r="A741" s="15" t="s">
        <v>1939</v>
      </c>
      <c r="B741" s="16" t="s">
        <v>801</v>
      </c>
      <c r="C741" s="17">
        <v>66.28</v>
      </c>
      <c r="D741" s="17">
        <v>73.64</v>
      </c>
      <c r="E741" s="15" t="s">
        <v>1940</v>
      </c>
      <c r="F741" s="16" t="s">
        <v>801</v>
      </c>
      <c r="G741" s="15" t="s">
        <v>825</v>
      </c>
      <c r="H741" s="18">
        <v>0.0</v>
      </c>
      <c r="I741" s="16" t="s">
        <v>801</v>
      </c>
      <c r="J741" s="17">
        <v>82.48</v>
      </c>
    </row>
    <row r="742" ht="15.75" customHeight="1">
      <c r="A742" s="15" t="s">
        <v>1941</v>
      </c>
      <c r="B742" s="16" t="s">
        <v>801</v>
      </c>
      <c r="C742" s="17">
        <v>67.56</v>
      </c>
      <c r="D742" s="17">
        <v>75.07</v>
      </c>
      <c r="E742" s="15" t="s">
        <v>1942</v>
      </c>
      <c r="F742" s="16" t="s">
        <v>801</v>
      </c>
      <c r="G742" s="15" t="s">
        <v>825</v>
      </c>
      <c r="H742" s="18">
        <v>0.0</v>
      </c>
      <c r="I742" s="16" t="s">
        <v>801</v>
      </c>
      <c r="J742" s="17">
        <v>84.08</v>
      </c>
    </row>
    <row r="743" ht="15.75" customHeight="1">
      <c r="A743" s="15" t="s">
        <v>1943</v>
      </c>
      <c r="B743" s="16" t="s">
        <v>801</v>
      </c>
      <c r="C743" s="17">
        <v>78.94</v>
      </c>
      <c r="D743" s="17">
        <v>87.71</v>
      </c>
      <c r="E743" s="15" t="s">
        <v>1944</v>
      </c>
      <c r="F743" s="16" t="s">
        <v>801</v>
      </c>
      <c r="G743" s="15" t="s">
        <v>825</v>
      </c>
      <c r="H743" s="18">
        <v>0.0</v>
      </c>
      <c r="I743" s="16" t="s">
        <v>801</v>
      </c>
      <c r="J743" s="17">
        <v>98.24</v>
      </c>
    </row>
    <row r="744" ht="15.75" customHeight="1">
      <c r="A744" s="15" t="s">
        <v>1945</v>
      </c>
      <c r="B744" s="16" t="s">
        <v>801</v>
      </c>
      <c r="C744" s="17">
        <v>126.64</v>
      </c>
      <c r="D744" s="17">
        <v>140.72</v>
      </c>
      <c r="E744" s="15" t="s">
        <v>1557</v>
      </c>
      <c r="F744" s="16" t="s">
        <v>801</v>
      </c>
      <c r="G744" s="15" t="s">
        <v>825</v>
      </c>
      <c r="H744" s="18">
        <v>0.0</v>
      </c>
      <c r="I744" s="16" t="s">
        <v>801</v>
      </c>
      <c r="J744" s="17">
        <v>157.61</v>
      </c>
    </row>
    <row r="745" ht="15.75" customHeight="1">
      <c r="A745" s="15" t="s">
        <v>1946</v>
      </c>
      <c r="B745" s="16" t="s">
        <v>801</v>
      </c>
      <c r="C745" s="17">
        <v>31.48</v>
      </c>
      <c r="D745" s="17">
        <v>34.98</v>
      </c>
      <c r="E745" s="15" t="s">
        <v>1947</v>
      </c>
      <c r="F745" s="16" t="s">
        <v>801</v>
      </c>
      <c r="G745" s="15" t="s">
        <v>825</v>
      </c>
      <c r="H745" s="18">
        <v>0.0</v>
      </c>
      <c r="I745" s="16" t="s">
        <v>801</v>
      </c>
      <c r="J745" s="17">
        <v>39.18</v>
      </c>
    </row>
    <row r="746" ht="15.75" customHeight="1">
      <c r="A746" s="15" t="s">
        <v>1948</v>
      </c>
      <c r="B746" s="16" t="s">
        <v>801</v>
      </c>
      <c r="C746" s="17">
        <v>57.98</v>
      </c>
      <c r="D746" s="17">
        <v>64.42</v>
      </c>
      <c r="E746" s="15" t="s">
        <v>1949</v>
      </c>
      <c r="F746" s="16" t="s">
        <v>801</v>
      </c>
      <c r="G746" s="15" t="s">
        <v>825</v>
      </c>
      <c r="H746" s="18">
        <v>0.0</v>
      </c>
      <c r="I746" s="16" t="s">
        <v>801</v>
      </c>
      <c r="J746" s="17">
        <v>72.15</v>
      </c>
    </row>
    <row r="747" ht="15.75" customHeight="1">
      <c r="A747" s="15" t="s">
        <v>1950</v>
      </c>
      <c r="B747" s="16" t="s">
        <v>801</v>
      </c>
      <c r="C747" s="17">
        <v>50.45</v>
      </c>
      <c r="D747" s="17">
        <v>56.06</v>
      </c>
      <c r="E747" s="15" t="s">
        <v>1951</v>
      </c>
      <c r="F747" s="16" t="s">
        <v>801</v>
      </c>
      <c r="G747" s="15" t="s">
        <v>825</v>
      </c>
      <c r="H747" s="18">
        <v>0.0</v>
      </c>
      <c r="I747" s="16" t="s">
        <v>801</v>
      </c>
      <c r="J747" s="17">
        <v>62.79</v>
      </c>
    </row>
    <row r="748" ht="15.75" customHeight="1">
      <c r="A748" s="15" t="s">
        <v>1952</v>
      </c>
      <c r="B748" s="16" t="s">
        <v>801</v>
      </c>
      <c r="C748" s="17">
        <v>93.21</v>
      </c>
      <c r="D748" s="17">
        <v>103.6</v>
      </c>
      <c r="E748" s="15" t="s">
        <v>1953</v>
      </c>
      <c r="F748" s="16" t="s">
        <v>801</v>
      </c>
      <c r="G748" s="15" t="s">
        <v>825</v>
      </c>
      <c r="H748" s="18">
        <v>0.0</v>
      </c>
      <c r="I748" s="16" t="s">
        <v>801</v>
      </c>
      <c r="J748" s="17">
        <v>116.03</v>
      </c>
    </row>
    <row r="749" ht="15.75" customHeight="1">
      <c r="A749" s="12" t="s">
        <v>804</v>
      </c>
      <c r="B749" s="13"/>
      <c r="C749" s="13"/>
      <c r="D749" s="13"/>
      <c r="E749" s="13"/>
      <c r="F749" s="13"/>
      <c r="G749" s="13"/>
      <c r="H749" s="13"/>
      <c r="I749" s="13"/>
      <c r="J749" s="13"/>
    </row>
    <row r="750" ht="15.75" customHeight="1">
      <c r="A750" s="14" t="s">
        <v>771</v>
      </c>
    </row>
    <row r="751" ht="15.75" customHeight="1">
      <c r="A751" s="14" t="s">
        <v>804</v>
      </c>
    </row>
    <row r="752" ht="15.75" customHeight="1">
      <c r="A752" s="15" t="s">
        <v>1954</v>
      </c>
      <c r="B752" s="16" t="s">
        <v>801</v>
      </c>
      <c r="C752" s="17">
        <v>11.0</v>
      </c>
      <c r="D752" s="17">
        <v>12.65</v>
      </c>
      <c r="E752" s="15" t="s">
        <v>1212</v>
      </c>
      <c r="F752" s="16" t="s">
        <v>801</v>
      </c>
      <c r="G752" s="15" t="s">
        <v>825</v>
      </c>
      <c r="H752" s="18">
        <v>0.0</v>
      </c>
      <c r="I752" s="16" t="s">
        <v>801</v>
      </c>
      <c r="J752" s="17">
        <v>14.17</v>
      </c>
    </row>
    <row r="753" ht="15.75" customHeight="1">
      <c r="A753" s="15" t="s">
        <v>1955</v>
      </c>
      <c r="B753" s="16" t="s">
        <v>801</v>
      </c>
      <c r="C753" s="17">
        <v>24.0</v>
      </c>
      <c r="D753" s="17">
        <v>27.6</v>
      </c>
      <c r="E753" s="15" t="s">
        <v>1389</v>
      </c>
      <c r="F753" s="16" t="s">
        <v>801</v>
      </c>
      <c r="G753" s="15" t="s">
        <v>825</v>
      </c>
      <c r="H753" s="18">
        <v>0.0</v>
      </c>
      <c r="I753" s="16" t="s">
        <v>801</v>
      </c>
      <c r="J753" s="17">
        <v>30.91</v>
      </c>
    </row>
    <row r="754" ht="15.75" customHeight="1">
      <c r="A754" s="15" t="s">
        <v>1956</v>
      </c>
      <c r="B754" s="16" t="s">
        <v>801</v>
      </c>
      <c r="C754" s="17">
        <v>10.5</v>
      </c>
      <c r="D754" s="17">
        <v>11.55</v>
      </c>
      <c r="E754" s="15" t="s">
        <v>936</v>
      </c>
      <c r="F754" s="16" t="s">
        <v>801</v>
      </c>
      <c r="G754" s="15" t="s">
        <v>825</v>
      </c>
      <c r="H754" s="18">
        <v>0.0</v>
      </c>
      <c r="I754" s="16" t="s">
        <v>801</v>
      </c>
      <c r="J754" s="17">
        <v>12.94</v>
      </c>
    </row>
    <row r="755" ht="15.75" customHeight="1">
      <c r="A755" s="15" t="s">
        <v>1957</v>
      </c>
      <c r="B755" s="16" t="s">
        <v>801</v>
      </c>
      <c r="C755" s="17">
        <v>9.75</v>
      </c>
      <c r="D755" s="17">
        <v>11.21</v>
      </c>
      <c r="E755" s="15" t="s">
        <v>827</v>
      </c>
      <c r="F755" s="16" t="s">
        <v>801</v>
      </c>
      <c r="G755" s="15" t="s">
        <v>825</v>
      </c>
      <c r="H755" s="18">
        <v>0.0</v>
      </c>
      <c r="I755" s="16" t="s">
        <v>801</v>
      </c>
      <c r="J755" s="17">
        <v>12.56</v>
      </c>
    </row>
    <row r="756" ht="15.75" customHeight="1">
      <c r="A756" s="12" t="s">
        <v>804</v>
      </c>
      <c r="B756" s="13"/>
      <c r="C756" s="13"/>
      <c r="D756" s="13"/>
      <c r="E756" s="13"/>
      <c r="F756" s="13"/>
      <c r="G756" s="13"/>
      <c r="H756" s="13"/>
      <c r="I756" s="13"/>
      <c r="J756" s="13"/>
    </row>
    <row r="757" ht="15.75" customHeight="1">
      <c r="A757" s="14" t="s">
        <v>794</v>
      </c>
    </row>
    <row r="758" ht="15.75" customHeight="1">
      <c r="A758" s="14" t="s">
        <v>804</v>
      </c>
    </row>
    <row r="759" ht="15.75" customHeight="1">
      <c r="A759" s="15" t="s">
        <v>1958</v>
      </c>
      <c r="B759" s="16" t="s">
        <v>801</v>
      </c>
      <c r="C759" s="17">
        <v>119.25</v>
      </c>
      <c r="D759" s="17">
        <v>132.5</v>
      </c>
      <c r="E759" s="15" t="s">
        <v>1959</v>
      </c>
      <c r="F759" s="16" t="s">
        <v>801</v>
      </c>
      <c r="G759" s="15" t="s">
        <v>825</v>
      </c>
      <c r="H759" s="18">
        <v>0.0</v>
      </c>
      <c r="I759" s="16" t="s">
        <v>801</v>
      </c>
      <c r="J759" s="17">
        <v>148.4</v>
      </c>
    </row>
    <row r="760" ht="15.75" customHeight="1">
      <c r="A760" s="12" t="s">
        <v>804</v>
      </c>
      <c r="B760" s="13"/>
      <c r="C760" s="13"/>
      <c r="D760" s="13"/>
      <c r="E760" s="13"/>
      <c r="F760" s="13"/>
      <c r="G760" s="13"/>
      <c r="H760" s="13"/>
      <c r="I760" s="13"/>
      <c r="J760" s="13"/>
    </row>
    <row r="761" ht="15.75" customHeight="1">
      <c r="A761" s="14" t="s">
        <v>779</v>
      </c>
    </row>
    <row r="762" ht="15.75" customHeight="1">
      <c r="A762" s="14" t="s">
        <v>804</v>
      </c>
    </row>
    <row r="763" ht="15.75" customHeight="1">
      <c r="A763" s="15" t="s">
        <v>1960</v>
      </c>
      <c r="B763" s="16" t="s">
        <v>801</v>
      </c>
      <c r="C763" s="17">
        <v>84.29</v>
      </c>
      <c r="D763" s="17">
        <v>84.29</v>
      </c>
      <c r="E763" s="15" t="s">
        <v>1535</v>
      </c>
      <c r="F763" s="16" t="s">
        <v>801</v>
      </c>
      <c r="G763" s="15" t="s">
        <v>825</v>
      </c>
      <c r="H763" s="18">
        <v>0.0</v>
      </c>
      <c r="I763" s="16" t="s">
        <v>801</v>
      </c>
      <c r="J763" s="17">
        <v>94.4</v>
      </c>
    </row>
    <row r="764" ht="15.75" customHeight="1">
      <c r="A764" s="15" t="s">
        <v>1961</v>
      </c>
      <c r="B764" s="16" t="s">
        <v>801</v>
      </c>
      <c r="C764" s="17">
        <v>74.76</v>
      </c>
      <c r="D764" s="17">
        <v>74.76</v>
      </c>
      <c r="E764" s="15" t="s">
        <v>1962</v>
      </c>
      <c r="F764" s="16" t="s">
        <v>801</v>
      </c>
      <c r="G764" s="15" t="s">
        <v>825</v>
      </c>
      <c r="H764" s="18">
        <v>0.0</v>
      </c>
      <c r="I764" s="16" t="s">
        <v>801</v>
      </c>
      <c r="J764" s="17">
        <v>83.73</v>
      </c>
    </row>
    <row r="765" ht="15.75" customHeight="1">
      <c r="A765" s="12" t="s">
        <v>804</v>
      </c>
      <c r="B765" s="13"/>
      <c r="C765" s="13"/>
      <c r="D765" s="13"/>
      <c r="E765" s="13"/>
      <c r="F765" s="13"/>
      <c r="G765" s="13"/>
      <c r="H765" s="13"/>
      <c r="I765" s="13"/>
      <c r="J765" s="13"/>
    </row>
    <row r="766" ht="15.75" customHeight="1">
      <c r="A766" s="14" t="s">
        <v>795</v>
      </c>
    </row>
    <row r="767" ht="15.75" customHeight="1">
      <c r="A767" s="14" t="s">
        <v>804</v>
      </c>
    </row>
    <row r="768" ht="15.75" customHeight="1">
      <c r="A768" s="15" t="s">
        <v>1963</v>
      </c>
      <c r="B768" s="16" t="s">
        <v>801</v>
      </c>
      <c r="C768" s="17">
        <v>87.94</v>
      </c>
      <c r="D768" s="17">
        <v>92.86</v>
      </c>
      <c r="E768" s="15" t="s">
        <v>1559</v>
      </c>
      <c r="F768" s="16" t="s">
        <v>801</v>
      </c>
      <c r="G768" s="15" t="s">
        <v>825</v>
      </c>
      <c r="H768" s="18">
        <v>0.0</v>
      </c>
      <c r="I768" s="16" t="s">
        <v>801</v>
      </c>
      <c r="J768" s="17">
        <v>104.0</v>
      </c>
    </row>
    <row r="769" ht="15.75" customHeight="1">
      <c r="A769" s="12" t="s">
        <v>804</v>
      </c>
      <c r="B769" s="13"/>
      <c r="C769" s="13"/>
      <c r="D769" s="13"/>
      <c r="E769" s="13"/>
      <c r="F769" s="13"/>
      <c r="G769" s="13"/>
      <c r="H769" s="13"/>
      <c r="I769" s="13"/>
      <c r="J769" s="13"/>
    </row>
    <row r="770" ht="15.75" customHeight="1">
      <c r="A770" s="14" t="s">
        <v>796</v>
      </c>
    </row>
    <row r="771" ht="15.75" customHeight="1">
      <c r="A771" s="14" t="s">
        <v>804</v>
      </c>
    </row>
    <row r="772" ht="15.75" customHeight="1">
      <c r="A772" s="15" t="s">
        <v>1964</v>
      </c>
      <c r="B772" s="16" t="s">
        <v>801</v>
      </c>
      <c r="C772" s="17">
        <v>89.36</v>
      </c>
      <c r="D772" s="17">
        <v>99.29</v>
      </c>
      <c r="E772" s="15" t="s">
        <v>1965</v>
      </c>
      <c r="F772" s="16" t="s">
        <v>801</v>
      </c>
      <c r="G772" s="15" t="s">
        <v>825</v>
      </c>
      <c r="H772" s="18">
        <v>0.0</v>
      </c>
      <c r="I772" s="16" t="s">
        <v>801</v>
      </c>
      <c r="J772" s="17">
        <v>111.2</v>
      </c>
    </row>
    <row r="773" ht="15.75" customHeight="1">
      <c r="A773" s="12" t="s">
        <v>804</v>
      </c>
      <c r="B773" s="13"/>
      <c r="C773" s="13"/>
      <c r="D773" s="13"/>
      <c r="E773" s="13"/>
      <c r="F773" s="13"/>
      <c r="G773" s="13"/>
      <c r="H773" s="13"/>
      <c r="I773" s="13"/>
      <c r="J773" s="13"/>
    </row>
    <row r="774" ht="15.75" customHeight="1">
      <c r="A774" s="14" t="s">
        <v>760</v>
      </c>
    </row>
    <row r="775" ht="15.75" customHeight="1">
      <c r="A775" s="14" t="s">
        <v>804</v>
      </c>
    </row>
    <row r="776" ht="15.75" customHeight="1">
      <c r="A776" s="15" t="s">
        <v>1966</v>
      </c>
      <c r="B776" s="16" t="s">
        <v>801</v>
      </c>
      <c r="C776" s="17">
        <v>26.57</v>
      </c>
      <c r="D776" s="17">
        <v>26.57</v>
      </c>
      <c r="E776" s="15" t="s">
        <v>1967</v>
      </c>
      <c r="F776" s="16" t="s">
        <v>801</v>
      </c>
      <c r="G776" s="15" t="s">
        <v>825</v>
      </c>
      <c r="H776" s="18">
        <v>0.0</v>
      </c>
      <c r="I776" s="16" t="s">
        <v>801</v>
      </c>
      <c r="J776" s="17">
        <v>29.76</v>
      </c>
    </row>
    <row r="777" ht="15.75" customHeight="1">
      <c r="A777" s="15" t="s">
        <v>1968</v>
      </c>
      <c r="B777" s="16" t="s">
        <v>801</v>
      </c>
      <c r="C777" s="17">
        <v>21.49</v>
      </c>
      <c r="D777" s="17">
        <v>21.49</v>
      </c>
      <c r="E777" s="15" t="s">
        <v>1105</v>
      </c>
      <c r="F777" s="16" t="s">
        <v>801</v>
      </c>
      <c r="G777" s="15" t="s">
        <v>825</v>
      </c>
      <c r="H777" s="18">
        <v>0.0</v>
      </c>
      <c r="I777" s="16" t="s">
        <v>801</v>
      </c>
      <c r="J777" s="17">
        <v>24.07</v>
      </c>
    </row>
    <row r="778" ht="15.75" customHeight="1">
      <c r="A778" s="15" t="s">
        <v>1969</v>
      </c>
      <c r="B778" s="16" t="s">
        <v>801</v>
      </c>
      <c r="C778" s="17">
        <v>43.59</v>
      </c>
      <c r="D778" s="17">
        <v>43.59</v>
      </c>
      <c r="E778" s="15" t="s">
        <v>1970</v>
      </c>
      <c r="F778" s="16" t="s">
        <v>801</v>
      </c>
      <c r="G778" s="15" t="s">
        <v>825</v>
      </c>
      <c r="H778" s="18">
        <v>0.0</v>
      </c>
      <c r="I778" s="16" t="s">
        <v>801</v>
      </c>
      <c r="J778" s="17">
        <v>48.82</v>
      </c>
    </row>
    <row r="779" ht="15.75" customHeight="1">
      <c r="A779" s="15" t="s">
        <v>1971</v>
      </c>
      <c r="B779" s="16" t="s">
        <v>801</v>
      </c>
      <c r="C779" s="17">
        <v>35.17</v>
      </c>
      <c r="D779" s="17">
        <v>35.17</v>
      </c>
      <c r="E779" s="15" t="s">
        <v>1972</v>
      </c>
      <c r="F779" s="16" t="s">
        <v>801</v>
      </c>
      <c r="G779" s="15" t="s">
        <v>825</v>
      </c>
      <c r="H779" s="18">
        <v>0.0</v>
      </c>
      <c r="I779" s="16" t="s">
        <v>801</v>
      </c>
      <c r="J779" s="17">
        <v>39.39</v>
      </c>
    </row>
    <row r="780" ht="15.75" customHeight="1">
      <c r="A780" s="15" t="s">
        <v>1973</v>
      </c>
      <c r="B780" s="16" t="s">
        <v>801</v>
      </c>
      <c r="C780" s="17">
        <v>10.93</v>
      </c>
      <c r="D780" s="17">
        <v>10.93</v>
      </c>
      <c r="E780" s="15" t="s">
        <v>1974</v>
      </c>
      <c r="F780" s="16" t="s">
        <v>801</v>
      </c>
      <c r="G780" s="15" t="s">
        <v>825</v>
      </c>
      <c r="H780" s="18">
        <v>0.0</v>
      </c>
      <c r="I780" s="16" t="s">
        <v>801</v>
      </c>
      <c r="J780" s="17">
        <v>12.24</v>
      </c>
    </row>
    <row r="781" ht="15.75" customHeight="1">
      <c r="A781" s="15" t="s">
        <v>1975</v>
      </c>
      <c r="B781" s="16" t="s">
        <v>801</v>
      </c>
      <c r="C781" s="17">
        <v>132.81</v>
      </c>
      <c r="D781" s="17">
        <v>132.81</v>
      </c>
      <c r="E781" s="15" t="s">
        <v>1976</v>
      </c>
      <c r="F781" s="16" t="s">
        <v>801</v>
      </c>
      <c r="G781" s="15" t="s">
        <v>825</v>
      </c>
      <c r="H781" s="18">
        <v>0.0</v>
      </c>
      <c r="I781" s="16" t="s">
        <v>801</v>
      </c>
      <c r="J781" s="17">
        <v>148.75</v>
      </c>
    </row>
    <row r="782" ht="15.75" customHeight="1">
      <c r="A782" s="15" t="s">
        <v>1977</v>
      </c>
      <c r="B782" s="16" t="s">
        <v>801</v>
      </c>
      <c r="C782" s="17">
        <v>24.22</v>
      </c>
      <c r="D782" s="17">
        <v>24.22</v>
      </c>
      <c r="E782" s="15" t="s">
        <v>1978</v>
      </c>
      <c r="F782" s="16" t="s">
        <v>801</v>
      </c>
      <c r="G782" s="15" t="s">
        <v>825</v>
      </c>
      <c r="H782" s="18">
        <v>0.0</v>
      </c>
      <c r="I782" s="16" t="s">
        <v>801</v>
      </c>
      <c r="J782" s="17">
        <v>27.13</v>
      </c>
    </row>
    <row r="783" ht="15.75" customHeight="1">
      <c r="A783" s="15" t="s">
        <v>1979</v>
      </c>
      <c r="B783" s="16" t="s">
        <v>801</v>
      </c>
      <c r="C783" s="17">
        <v>41.02</v>
      </c>
      <c r="D783" s="17">
        <v>41.02</v>
      </c>
      <c r="E783" s="15" t="s">
        <v>1980</v>
      </c>
      <c r="F783" s="16" t="s">
        <v>801</v>
      </c>
      <c r="G783" s="15" t="s">
        <v>825</v>
      </c>
      <c r="H783" s="18">
        <v>0.0</v>
      </c>
      <c r="I783" s="16" t="s">
        <v>801</v>
      </c>
      <c r="J783" s="17">
        <v>45.94</v>
      </c>
    </row>
    <row r="784" ht="15.75" customHeight="1">
      <c r="A784" s="15" t="s">
        <v>1981</v>
      </c>
      <c r="B784" s="16" t="s">
        <v>801</v>
      </c>
      <c r="C784" s="17">
        <v>56.25</v>
      </c>
      <c r="D784" s="17">
        <v>56.25</v>
      </c>
      <c r="E784" s="15" t="s">
        <v>1982</v>
      </c>
      <c r="F784" s="16" t="s">
        <v>801</v>
      </c>
      <c r="G784" s="15" t="s">
        <v>825</v>
      </c>
      <c r="H784" s="18">
        <v>0.0</v>
      </c>
      <c r="I784" s="16" t="s">
        <v>801</v>
      </c>
      <c r="J784" s="17">
        <v>63.0</v>
      </c>
    </row>
    <row r="785" ht="15.75" customHeight="1">
      <c r="A785" s="12" t="s">
        <v>804</v>
      </c>
      <c r="B785" s="13"/>
      <c r="C785" s="13"/>
      <c r="D785" s="13"/>
      <c r="E785" s="13"/>
      <c r="F785" s="13"/>
      <c r="G785" s="13"/>
      <c r="H785" s="13"/>
      <c r="I785" s="13"/>
      <c r="J785" s="13"/>
    </row>
    <row r="786" ht="15.75" customHeight="1">
      <c r="A786" s="14" t="s">
        <v>797</v>
      </c>
    </row>
    <row r="787" ht="15.75" customHeight="1">
      <c r="A787" s="14" t="s">
        <v>804</v>
      </c>
    </row>
    <row r="788" ht="15.75" customHeight="1">
      <c r="A788" s="15" t="s">
        <v>1983</v>
      </c>
      <c r="B788" s="16" t="s">
        <v>801</v>
      </c>
      <c r="C788" s="17">
        <v>124.86</v>
      </c>
      <c r="D788" s="17">
        <v>138.73</v>
      </c>
      <c r="E788" s="15" t="s">
        <v>1984</v>
      </c>
      <c r="F788" s="16" t="s">
        <v>801</v>
      </c>
      <c r="G788" s="15" t="s">
        <v>825</v>
      </c>
      <c r="H788" s="18">
        <v>0.0</v>
      </c>
      <c r="I788" s="16" t="s">
        <v>801</v>
      </c>
      <c r="J788" s="17">
        <v>155.38</v>
      </c>
    </row>
    <row r="789" ht="15.75" customHeight="1">
      <c r="A789" s="12" t="s">
        <v>804</v>
      </c>
      <c r="B789" s="13"/>
      <c r="C789" s="13"/>
      <c r="D789" s="13"/>
      <c r="E789" s="13"/>
      <c r="F789" s="13"/>
      <c r="G789" s="13"/>
      <c r="H789" s="13"/>
      <c r="I789" s="13"/>
      <c r="J789" s="13"/>
    </row>
    <row r="790" ht="15.75" customHeight="1">
      <c r="A790" s="14" t="s">
        <v>764</v>
      </c>
    </row>
    <row r="791" ht="15.75" customHeight="1">
      <c r="A791" s="14" t="s">
        <v>804</v>
      </c>
    </row>
    <row r="792" ht="15.75" customHeight="1">
      <c r="A792" s="15" t="s">
        <v>1985</v>
      </c>
      <c r="B792" s="16" t="s">
        <v>801</v>
      </c>
      <c r="C792" s="17">
        <v>56.37</v>
      </c>
      <c r="D792" s="17">
        <v>62.63</v>
      </c>
      <c r="E792" s="15" t="s">
        <v>969</v>
      </c>
      <c r="F792" s="16" t="s">
        <v>801</v>
      </c>
      <c r="G792" s="15" t="s">
        <v>825</v>
      </c>
      <c r="H792" s="18">
        <v>0.0</v>
      </c>
      <c r="I792" s="16" t="s">
        <v>801</v>
      </c>
      <c r="J792" s="17">
        <v>70.15</v>
      </c>
    </row>
    <row r="793" ht="15.75" customHeight="1">
      <c r="A793" s="15" t="s">
        <v>1986</v>
      </c>
      <c r="B793" s="16" t="s">
        <v>801</v>
      </c>
      <c r="C793" s="17">
        <v>18.03</v>
      </c>
      <c r="D793" s="17">
        <v>20.03</v>
      </c>
      <c r="E793" s="15" t="s">
        <v>1987</v>
      </c>
      <c r="F793" s="16" t="s">
        <v>801</v>
      </c>
      <c r="G793" s="15" t="s">
        <v>825</v>
      </c>
      <c r="H793" s="18">
        <v>0.0</v>
      </c>
      <c r="I793" s="16" t="s">
        <v>801</v>
      </c>
      <c r="J793" s="17">
        <v>22.43</v>
      </c>
    </row>
    <row r="794" ht="15.75" customHeight="1">
      <c r="A794" s="15" t="s">
        <v>1988</v>
      </c>
      <c r="B794" s="16" t="s">
        <v>801</v>
      </c>
      <c r="C794" s="17">
        <v>63.48</v>
      </c>
      <c r="D794" s="17">
        <v>70.53</v>
      </c>
      <c r="E794" s="15" t="s">
        <v>1989</v>
      </c>
      <c r="F794" s="16" t="s">
        <v>801</v>
      </c>
      <c r="G794" s="15" t="s">
        <v>825</v>
      </c>
      <c r="H794" s="18">
        <v>0.0</v>
      </c>
      <c r="I794" s="16" t="s">
        <v>801</v>
      </c>
      <c r="J794" s="17">
        <v>78.99</v>
      </c>
    </row>
    <row r="795" ht="15.75" customHeight="1">
      <c r="A795" s="15" t="s">
        <v>1990</v>
      </c>
      <c r="B795" s="16" t="s">
        <v>801</v>
      </c>
      <c r="C795" s="17">
        <v>141.64</v>
      </c>
      <c r="D795" s="17">
        <v>141.64</v>
      </c>
      <c r="E795" s="15" t="s">
        <v>1991</v>
      </c>
      <c r="F795" s="16" t="s">
        <v>801</v>
      </c>
      <c r="G795" s="15" t="s">
        <v>825</v>
      </c>
      <c r="H795" s="18">
        <v>0.0</v>
      </c>
      <c r="I795" s="16" t="s">
        <v>801</v>
      </c>
      <c r="J795" s="17">
        <v>158.64</v>
      </c>
    </row>
    <row r="796" ht="15.75" customHeight="1">
      <c r="A796" s="15" t="s">
        <v>1992</v>
      </c>
      <c r="B796" s="16" t="s">
        <v>801</v>
      </c>
      <c r="C796" s="17">
        <v>108.79</v>
      </c>
      <c r="D796" s="17">
        <v>120.87</v>
      </c>
      <c r="E796" s="15" t="s">
        <v>1993</v>
      </c>
      <c r="F796" s="16" t="s">
        <v>801</v>
      </c>
      <c r="G796" s="15" t="s">
        <v>825</v>
      </c>
      <c r="H796" s="18">
        <v>0.0</v>
      </c>
      <c r="I796" s="16" t="s">
        <v>801</v>
      </c>
      <c r="J796" s="17">
        <v>135.37</v>
      </c>
    </row>
    <row r="797" ht="15.75" customHeight="1">
      <c r="A797" s="15" t="s">
        <v>1994</v>
      </c>
      <c r="B797" s="16" t="s">
        <v>801</v>
      </c>
      <c r="C797" s="17">
        <v>96.25</v>
      </c>
      <c r="D797" s="17">
        <v>100.27</v>
      </c>
      <c r="E797" s="15" t="s">
        <v>1995</v>
      </c>
      <c r="F797" s="16" t="s">
        <v>801</v>
      </c>
      <c r="G797" s="15" t="s">
        <v>825</v>
      </c>
      <c r="H797" s="18">
        <v>0.0</v>
      </c>
      <c r="I797" s="16" t="s">
        <v>801</v>
      </c>
      <c r="J797" s="17">
        <v>112.3</v>
      </c>
    </row>
    <row r="798" ht="15.75" customHeight="1">
      <c r="A798" s="15" t="s">
        <v>1996</v>
      </c>
      <c r="B798" s="16" t="s">
        <v>801</v>
      </c>
      <c r="C798" s="17">
        <v>99.92</v>
      </c>
      <c r="D798" s="17">
        <v>99.92</v>
      </c>
      <c r="E798" s="15" t="s">
        <v>1997</v>
      </c>
      <c r="F798" s="16" t="s">
        <v>801</v>
      </c>
      <c r="G798" s="15" t="s">
        <v>825</v>
      </c>
      <c r="H798" s="18">
        <v>0.0</v>
      </c>
      <c r="I798" s="16" t="s">
        <v>801</v>
      </c>
      <c r="J798" s="17">
        <v>111.91</v>
      </c>
    </row>
    <row r="799" ht="15.75" customHeight="1">
      <c r="A799" s="12" t="s">
        <v>804</v>
      </c>
      <c r="B799" s="13"/>
      <c r="C799" s="13"/>
      <c r="D799" s="13"/>
      <c r="E799" s="13"/>
      <c r="F799" s="13"/>
      <c r="G799" s="13"/>
      <c r="H799" s="13"/>
      <c r="I799" s="13"/>
      <c r="J799" s="13"/>
    </row>
    <row r="800" ht="15.75" customHeight="1">
      <c r="A800" s="14" t="s">
        <v>798</v>
      </c>
    </row>
    <row r="801" ht="15.75" customHeight="1">
      <c r="A801" s="14" t="s">
        <v>804</v>
      </c>
    </row>
    <row r="802" ht="15.75" customHeight="1">
      <c r="A802" s="15" t="s">
        <v>1998</v>
      </c>
      <c r="B802" s="16" t="s">
        <v>801</v>
      </c>
      <c r="C802" s="17">
        <v>264.91</v>
      </c>
      <c r="D802" s="17">
        <v>275.98</v>
      </c>
      <c r="E802" s="15" t="s">
        <v>1999</v>
      </c>
      <c r="F802" s="16" t="s">
        <v>801</v>
      </c>
      <c r="G802" s="15" t="s">
        <v>825</v>
      </c>
      <c r="H802" s="18">
        <v>0.0</v>
      </c>
      <c r="I802" s="16" t="s">
        <v>801</v>
      </c>
      <c r="J802" s="17">
        <v>309.1</v>
      </c>
    </row>
    <row r="803" ht="15.75" customHeight="1">
      <c r="A803" s="12" t="s">
        <v>804</v>
      </c>
      <c r="B803" s="13"/>
      <c r="C803" s="13"/>
      <c r="D803" s="13"/>
      <c r="E803" s="13"/>
      <c r="F803" s="13"/>
      <c r="G803" s="13"/>
      <c r="H803" s="13"/>
      <c r="I803" s="13"/>
      <c r="J803" s="13"/>
    </row>
    <row r="804" ht="15.75" customHeight="1">
      <c r="A804" s="19" t="s">
        <v>2000</v>
      </c>
    </row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63">
    <mergeCell ref="A245:J245"/>
    <mergeCell ref="A246:J246"/>
    <mergeCell ref="A248:J248"/>
    <mergeCell ref="A249:J249"/>
    <mergeCell ref="A250:J250"/>
    <mergeCell ref="A260:J260"/>
    <mergeCell ref="A261:J261"/>
    <mergeCell ref="A262:J262"/>
    <mergeCell ref="A267:J267"/>
    <mergeCell ref="A268:J268"/>
    <mergeCell ref="A269:J269"/>
    <mergeCell ref="A271:J271"/>
    <mergeCell ref="A272:J272"/>
    <mergeCell ref="A273:J273"/>
    <mergeCell ref="A1:J1"/>
    <mergeCell ref="A2:J2"/>
    <mergeCell ref="A3:J3"/>
    <mergeCell ref="A4:J4"/>
    <mergeCell ref="A5:J5"/>
    <mergeCell ref="A6:J6"/>
    <mergeCell ref="A9:J9"/>
    <mergeCell ref="A10:J10"/>
    <mergeCell ref="A20:J20"/>
    <mergeCell ref="A21:J21"/>
    <mergeCell ref="A22:J22"/>
    <mergeCell ref="A25:J25"/>
    <mergeCell ref="A26:J26"/>
    <mergeCell ref="A27:J27"/>
    <mergeCell ref="A33:J33"/>
    <mergeCell ref="A34:J34"/>
    <mergeCell ref="A35:J35"/>
    <mergeCell ref="A71:J71"/>
    <mergeCell ref="A72:J72"/>
    <mergeCell ref="A73:J73"/>
    <mergeCell ref="A87:J87"/>
    <mergeCell ref="A88:J88"/>
    <mergeCell ref="A89:J89"/>
    <mergeCell ref="A91:J91"/>
    <mergeCell ref="A92:J92"/>
    <mergeCell ref="A93:J93"/>
    <mergeCell ref="A223:J223"/>
    <mergeCell ref="A224:J224"/>
    <mergeCell ref="A225:J225"/>
    <mergeCell ref="A227:J227"/>
    <mergeCell ref="A228:J228"/>
    <mergeCell ref="A229:J229"/>
    <mergeCell ref="A231:J231"/>
    <mergeCell ref="A232:J232"/>
    <mergeCell ref="A233:J233"/>
    <mergeCell ref="A236:J236"/>
    <mergeCell ref="A237:J237"/>
    <mergeCell ref="A238:J238"/>
    <mergeCell ref="A240:J240"/>
    <mergeCell ref="A241:J241"/>
    <mergeCell ref="A242:J242"/>
    <mergeCell ref="A244:J244"/>
    <mergeCell ref="A275:J275"/>
    <mergeCell ref="A276:J276"/>
    <mergeCell ref="A277:J277"/>
    <mergeCell ref="A330:J330"/>
    <mergeCell ref="A331:J331"/>
    <mergeCell ref="A332:J332"/>
    <mergeCell ref="A339:J339"/>
    <mergeCell ref="A642:J642"/>
    <mergeCell ref="A643:J643"/>
    <mergeCell ref="A645:J645"/>
    <mergeCell ref="A646:J646"/>
    <mergeCell ref="A647:J647"/>
    <mergeCell ref="A649:J649"/>
    <mergeCell ref="A650:J650"/>
    <mergeCell ref="A651:J651"/>
    <mergeCell ref="A653:J653"/>
    <mergeCell ref="A654:J654"/>
    <mergeCell ref="A655:J655"/>
    <mergeCell ref="A658:J658"/>
    <mergeCell ref="A659:J659"/>
    <mergeCell ref="A660:J660"/>
    <mergeCell ref="A685:J685"/>
    <mergeCell ref="A686:J686"/>
    <mergeCell ref="A688:J688"/>
    <mergeCell ref="A689:J689"/>
    <mergeCell ref="A690:J690"/>
    <mergeCell ref="A692:J692"/>
    <mergeCell ref="A693:J693"/>
    <mergeCell ref="A694:J694"/>
    <mergeCell ref="A749:J749"/>
    <mergeCell ref="A750:J750"/>
    <mergeCell ref="A751:J751"/>
    <mergeCell ref="A756:J756"/>
    <mergeCell ref="A757:J757"/>
    <mergeCell ref="A758:J758"/>
    <mergeCell ref="A760:J760"/>
    <mergeCell ref="A761:J761"/>
    <mergeCell ref="A762:J762"/>
    <mergeCell ref="A765:J765"/>
    <mergeCell ref="A766:J766"/>
    <mergeCell ref="A767:J767"/>
    <mergeCell ref="A769:J769"/>
    <mergeCell ref="A770:J770"/>
    <mergeCell ref="A771:J771"/>
    <mergeCell ref="A773:J773"/>
    <mergeCell ref="A774:J774"/>
    <mergeCell ref="A775:J775"/>
    <mergeCell ref="A785:J785"/>
    <mergeCell ref="A786:J786"/>
    <mergeCell ref="A803:J803"/>
    <mergeCell ref="A804:J804"/>
    <mergeCell ref="A787:J787"/>
    <mergeCell ref="A789:J789"/>
    <mergeCell ref="A790:J790"/>
    <mergeCell ref="A791:J791"/>
    <mergeCell ref="A799:J799"/>
    <mergeCell ref="A800:J800"/>
    <mergeCell ref="A801:J801"/>
    <mergeCell ref="A340:J340"/>
    <mergeCell ref="A341:J341"/>
    <mergeCell ref="A344:J344"/>
    <mergeCell ref="A345:J345"/>
    <mergeCell ref="A346:J346"/>
    <mergeCell ref="A348:J348"/>
    <mergeCell ref="A349:J349"/>
    <mergeCell ref="A350:J350"/>
    <mergeCell ref="A352:J352"/>
    <mergeCell ref="A353:J353"/>
    <mergeCell ref="A354:J354"/>
    <mergeCell ref="A363:J363"/>
    <mergeCell ref="A364:J364"/>
    <mergeCell ref="A365:J365"/>
    <mergeCell ref="A368:J368"/>
    <mergeCell ref="A369:J369"/>
    <mergeCell ref="A370:J370"/>
    <mergeCell ref="A419:J419"/>
    <mergeCell ref="A420:J420"/>
    <mergeCell ref="A421:J421"/>
    <mergeCell ref="A427:J427"/>
    <mergeCell ref="A428:J428"/>
    <mergeCell ref="A429:J429"/>
    <mergeCell ref="A438:J438"/>
    <mergeCell ref="A439:J439"/>
    <mergeCell ref="A440:J440"/>
    <mergeCell ref="A477:J477"/>
    <mergeCell ref="A478:J478"/>
    <mergeCell ref="A479:J479"/>
    <mergeCell ref="A488:J488"/>
    <mergeCell ref="A489:J489"/>
    <mergeCell ref="A490:J490"/>
    <mergeCell ref="A492:J492"/>
    <mergeCell ref="A493:J493"/>
    <mergeCell ref="A494:J494"/>
    <mergeCell ref="A500:J500"/>
    <mergeCell ref="A501:J501"/>
    <mergeCell ref="A502:J502"/>
    <mergeCell ref="A505:J505"/>
    <mergeCell ref="A506:J506"/>
    <mergeCell ref="A507:J507"/>
    <mergeCell ref="A641:J641"/>
    <mergeCell ref="A664:J664"/>
    <mergeCell ref="A665:J665"/>
    <mergeCell ref="A666:J666"/>
    <mergeCell ref="A677:J677"/>
    <mergeCell ref="A678:J678"/>
    <mergeCell ref="A679:J679"/>
    <mergeCell ref="A684:J684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2021-08-12T07:54:42Z</dcterms:created>
  <dc:creator>HP</dc:creator>
</cp:coreProperties>
</file>