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trlProps/ctrlProp1.xml" ContentType="application/vnd.ms-excel.controlproperties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ml.chartshapes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ml.chartshapes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trlProps/ctrlProp2.xml" ContentType="application/vnd.ms-excel.controlproperties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ml.chartshapes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0.xml" ContentType="application/vnd.openxmlformats-officedocument.drawingml.chartshapes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2.xml" ContentType="application/vnd.openxmlformats-officedocument.drawingml.chartshapes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3.xml" ContentType="application/vnd.openxmlformats-officedocument.drawing+xml"/>
  <Override PartName="/xl/ctrlProps/ctrlProp3.xml" ContentType="application/vnd.ms-excel.controlproperties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4.xml" ContentType="application/vnd.openxmlformats-officedocument.drawingml.chartshapes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5.xml" ContentType="application/vnd.openxmlformats-officedocument.drawingml.chartshapes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6.xml" ContentType="application/vnd.openxmlformats-officedocument.drawingml.chartshapes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7.xml" ContentType="application/vnd.openxmlformats-officedocument.drawing+xml"/>
  <Override PartName="/xl/ctrlProps/ctrlProp4.xml" ContentType="application/vnd.ms-excel.controlproperties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8.xml" ContentType="application/vnd.openxmlformats-officedocument.drawingml.chartshapes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9.xml" ContentType="application/vnd.openxmlformats-officedocument.drawingml.chartshapes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0.xml" ContentType="application/vnd.openxmlformats-officedocument.drawingml.chartshapes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2.xml" ContentType="application/vnd.openxmlformats-officedocument.drawing+xml"/>
  <Override PartName="/xl/ctrlProps/ctrlProp5.xml" ContentType="application/vnd.ms-excel.controlproperties+xml"/>
  <Override PartName="/xl/charts/chart4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4.xml" ContentType="application/vnd.openxmlformats-officedocument.drawingml.chartshapes+xml"/>
  <Override PartName="/xl/charts/chart5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5.xml" ContentType="application/vnd.openxmlformats-officedocument.drawingml.chartshapes+xml"/>
  <Override PartName="/xl/charts/chart5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6.xml" ContentType="application/vnd.openxmlformats-officedocument.drawingml.chartshapes+xml"/>
  <Override PartName="/xl/charts/chart5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hidePivotFieldList="1" defaultThemeVersion="124226"/>
  <xr:revisionPtr revIDLastSave="0" documentId="8_{DDDD93CA-CD36-4970-8834-5C03726CB349}" xr6:coauthVersionLast="36" xr6:coauthVersionMax="36" xr10:uidLastSave="{00000000-0000-0000-0000-000000000000}"/>
  <bookViews>
    <workbookView xWindow="0" yWindow="0" windowWidth="28800" windowHeight="12225" firstSheet="5" activeTab="5" xr2:uid="{00000000-000D-0000-FFFF-FFFF00000000}"/>
  </bookViews>
  <sheets>
    <sheet name="Tracker" sheetId="1" state="hidden" r:id="rId1"/>
    <sheet name="Task Timeline" sheetId="3" state="hidden" r:id="rId2"/>
    <sheet name="Main Dashboard" sheetId="2" state="hidden" r:id="rId3"/>
    <sheet name="Main Dashboard (2)" sheetId="7" state="hidden" r:id="rId4"/>
    <sheet name="Pivot." sheetId="6" state="hidden" r:id="rId5"/>
    <sheet name="Data" sheetId="19" r:id="rId6"/>
    <sheet name="Highlights" sheetId="12" state="hidden" r:id="rId7"/>
    <sheet name="Notifications" sheetId="13" state="hidden" r:id="rId8"/>
    <sheet name="Overdue Actions" sheetId="10" state="hidden" r:id="rId9"/>
    <sheet name="Dashboard" sheetId="9" r:id="rId10"/>
    <sheet name="Re-Branding" sheetId="11" r:id="rId11"/>
    <sheet name="Cost Efficiency" sheetId="15" r:id="rId12"/>
    <sheet name="Sustainability" sheetId="16" r:id="rId13"/>
    <sheet name="People Development" sheetId="17" r:id="rId14"/>
    <sheet name="Digitalization" sheetId="18" r:id="rId15"/>
  </sheets>
  <definedNames>
    <definedName name="_xlnm._FilterDatabase" localSheetId="5" hidden="1">Data!$A$1:$L$201</definedName>
    <definedName name="_xlnm._FilterDatabase" localSheetId="2" hidden="1">'Main Dashboard'!$A$1:$M$14</definedName>
    <definedName name="_xlnm._FilterDatabase" localSheetId="3" hidden="1">'Main Dashboard (2)'!$A$2:$R$22</definedName>
    <definedName name="_xlchart.v1.0" hidden="1">'Main Dashboard'!$B$1</definedName>
    <definedName name="_xlchart.v1.1" hidden="1">'Main Dashboard'!$B$2:$D$14</definedName>
    <definedName name="_xlchart.v1.2" hidden="1">'Main Dashboard'!$M$2:$M$14</definedName>
    <definedName name="_xlnm.Print_Area" localSheetId="11">'Cost Efficiency'!$A$1:$AN$65</definedName>
    <definedName name="_xlnm.Print_Area" localSheetId="9">Dashboard!$A$1:$AN$64</definedName>
    <definedName name="_xlnm.Print_Area" localSheetId="14">Digitalization!$A$1:$AN$65</definedName>
    <definedName name="_xlnm.Print_Area" localSheetId="13">'People Development'!$A$1:$AN$65</definedName>
    <definedName name="_xlnm.Print_Area" localSheetId="10">'Re-Branding'!$A$1:$AN$65</definedName>
    <definedName name="_xlnm.Print_Area" localSheetId="12">Sustainability!$A$1:$AN$65</definedName>
  </definedNames>
  <calcPr calcId="191029"/>
  <pivotCaches>
    <pivotCache cacheId="0" r:id="rId16"/>
  </pivotCaches>
</workbook>
</file>

<file path=xl/calcChain.xml><?xml version="1.0" encoding="utf-8"?>
<calcChain xmlns="http://schemas.openxmlformats.org/spreadsheetml/2006/main">
  <c r="P23" i="19" l="1"/>
  <c r="N17" i="19"/>
  <c r="N13" i="19"/>
  <c r="N10" i="19"/>
  <c r="N6" i="19"/>
  <c r="N2" i="19"/>
  <c r="Q22" i="19" l="1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Q23" i="19" l="1"/>
  <c r="R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S2" i="19"/>
  <c r="O22" i="19"/>
  <c r="N22" i="19"/>
  <c r="O21" i="19"/>
  <c r="N21" i="19"/>
  <c r="O20" i="19"/>
  <c r="N20" i="19"/>
  <c r="O19" i="19"/>
  <c r="P19" i="19" s="1"/>
  <c r="W19" i="19" s="1"/>
  <c r="V19" i="19" s="1"/>
  <c r="N19" i="19"/>
  <c r="O18" i="19"/>
  <c r="N18" i="19"/>
  <c r="O17" i="19"/>
  <c r="O16" i="19"/>
  <c r="N16" i="19"/>
  <c r="O15" i="19"/>
  <c r="N15" i="19"/>
  <c r="O14" i="19"/>
  <c r="N14" i="19"/>
  <c r="O13" i="19"/>
  <c r="O12" i="19"/>
  <c r="N12" i="19"/>
  <c r="O11" i="19"/>
  <c r="N11" i="19"/>
  <c r="O10" i="19"/>
  <c r="O9" i="19"/>
  <c r="N9" i="19"/>
  <c r="O8" i="19"/>
  <c r="N8" i="19"/>
  <c r="O7" i="19"/>
  <c r="N7" i="19"/>
  <c r="O6" i="19"/>
  <c r="O5" i="19"/>
  <c r="N5" i="19"/>
  <c r="O4" i="19"/>
  <c r="N4" i="19"/>
  <c r="O3" i="19"/>
  <c r="N3" i="19"/>
  <c r="O2" i="19"/>
  <c r="T23" i="19" l="1"/>
  <c r="P2" i="19"/>
  <c r="X4" i="19" s="1"/>
  <c r="S23" i="19"/>
  <c r="U23" i="19"/>
  <c r="P22" i="19"/>
  <c r="W22" i="19" s="1"/>
  <c r="V22" i="19" s="1"/>
  <c r="O23" i="19"/>
  <c r="P20" i="19"/>
  <c r="W20" i="19" s="1"/>
  <c r="V20" i="19" s="1"/>
  <c r="N23" i="19"/>
  <c r="P6" i="19"/>
  <c r="P10" i="19"/>
  <c r="P14" i="19"/>
  <c r="W14" i="19" s="1"/>
  <c r="V14" i="19" s="1"/>
  <c r="P18" i="19"/>
  <c r="W18" i="19" s="1"/>
  <c r="V18" i="19" s="1"/>
  <c r="P5" i="19"/>
  <c r="W5" i="19" s="1"/>
  <c r="V5" i="19" s="1"/>
  <c r="P9" i="19"/>
  <c r="W9" i="19" s="1"/>
  <c r="V9" i="19" s="1"/>
  <c r="P13" i="19"/>
  <c r="P17" i="19"/>
  <c r="P21" i="19"/>
  <c r="W21" i="19" s="1"/>
  <c r="V21" i="19" s="1"/>
  <c r="P3" i="19"/>
  <c r="W3" i="19" s="1"/>
  <c r="V3" i="19" s="1"/>
  <c r="P7" i="19"/>
  <c r="W7" i="19" s="1"/>
  <c r="V7" i="19" s="1"/>
  <c r="P11" i="19"/>
  <c r="W11" i="19" s="1"/>
  <c r="V11" i="19" s="1"/>
  <c r="P15" i="19"/>
  <c r="W15" i="19" s="1"/>
  <c r="V15" i="19" s="1"/>
  <c r="P4" i="19"/>
  <c r="W4" i="19" s="1"/>
  <c r="V4" i="19" s="1"/>
  <c r="P8" i="19"/>
  <c r="W8" i="19" s="1"/>
  <c r="V8" i="19" s="1"/>
  <c r="P12" i="19"/>
  <c r="W12" i="19" s="1"/>
  <c r="V12" i="19" s="1"/>
  <c r="P16" i="19"/>
  <c r="W16" i="19" s="1"/>
  <c r="V16" i="19" s="1"/>
  <c r="K44" i="18"/>
  <c r="L44" i="18"/>
  <c r="G45" i="18"/>
  <c r="H45" i="18"/>
  <c r="I45" i="18"/>
  <c r="J45" i="18"/>
  <c r="K45" i="18"/>
  <c r="L45" i="18"/>
  <c r="M45" i="18"/>
  <c r="N45" i="18"/>
  <c r="G46" i="18"/>
  <c r="H46" i="18"/>
  <c r="I46" i="18"/>
  <c r="J46" i="18"/>
  <c r="K46" i="18"/>
  <c r="L46" i="18"/>
  <c r="M46" i="18"/>
  <c r="N46" i="18"/>
  <c r="G47" i="18"/>
  <c r="H47" i="18"/>
  <c r="I47" i="18"/>
  <c r="J47" i="18"/>
  <c r="K47" i="18"/>
  <c r="L47" i="18"/>
  <c r="M47" i="18"/>
  <c r="N47" i="18"/>
  <c r="G48" i="18"/>
  <c r="H48" i="18"/>
  <c r="I48" i="18"/>
  <c r="J48" i="18"/>
  <c r="K48" i="18"/>
  <c r="L48" i="18"/>
  <c r="M48" i="18"/>
  <c r="N48" i="18"/>
  <c r="G49" i="18"/>
  <c r="H49" i="18"/>
  <c r="I49" i="18"/>
  <c r="J49" i="18"/>
  <c r="K49" i="18"/>
  <c r="L49" i="18"/>
  <c r="M49" i="18"/>
  <c r="N49" i="18"/>
  <c r="G50" i="18"/>
  <c r="H50" i="18"/>
  <c r="I50" i="18"/>
  <c r="J50" i="18"/>
  <c r="K50" i="18"/>
  <c r="L50" i="18"/>
  <c r="M50" i="18"/>
  <c r="N50" i="18"/>
  <c r="G51" i="18"/>
  <c r="H51" i="18"/>
  <c r="I51" i="18"/>
  <c r="J51" i="18"/>
  <c r="K51" i="18"/>
  <c r="L51" i="18"/>
  <c r="M51" i="18"/>
  <c r="N51" i="18"/>
  <c r="G52" i="18"/>
  <c r="H52" i="18"/>
  <c r="I52" i="18"/>
  <c r="J52" i="18"/>
  <c r="K52" i="18"/>
  <c r="L52" i="18"/>
  <c r="M52" i="18"/>
  <c r="N52" i="18"/>
  <c r="G53" i="18"/>
  <c r="H53" i="18"/>
  <c r="I53" i="18"/>
  <c r="J53" i="18"/>
  <c r="K53" i="18"/>
  <c r="L53" i="18"/>
  <c r="M53" i="18"/>
  <c r="N53" i="18"/>
  <c r="F45" i="18"/>
  <c r="F46" i="18"/>
  <c r="F47" i="18"/>
  <c r="F48" i="18"/>
  <c r="F49" i="18"/>
  <c r="F50" i="18"/>
  <c r="F51" i="18"/>
  <c r="F52" i="18"/>
  <c r="F53" i="18"/>
  <c r="F44" i="18"/>
  <c r="E129" i="10"/>
  <c r="J44" i="18" s="1"/>
  <c r="D129" i="10"/>
  <c r="I44" i="18" s="1"/>
  <c r="C129" i="10"/>
  <c r="H44" i="18" s="1"/>
  <c r="B129" i="10"/>
  <c r="G44" i="18" s="1"/>
  <c r="F128" i="10"/>
  <c r="E128" i="10"/>
  <c r="D128" i="10"/>
  <c r="C128" i="10"/>
  <c r="B128" i="10"/>
  <c r="A128" i="10"/>
  <c r="K45" i="17"/>
  <c r="K46" i="17"/>
  <c r="L50" i="17"/>
  <c r="F45" i="17"/>
  <c r="F46" i="17"/>
  <c r="F47" i="17"/>
  <c r="F48" i="17"/>
  <c r="F49" i="17"/>
  <c r="F50" i="17"/>
  <c r="F51" i="17"/>
  <c r="F52" i="17"/>
  <c r="F53" i="17"/>
  <c r="F44" i="17"/>
  <c r="G107" i="10"/>
  <c r="L44" i="17" s="1"/>
  <c r="G108" i="10"/>
  <c r="L45" i="17" s="1"/>
  <c r="G109" i="10"/>
  <c r="L46" i="17" s="1"/>
  <c r="G110" i="10"/>
  <c r="L47" i="17" s="1"/>
  <c r="G111" i="10"/>
  <c r="L48" i="17" s="1"/>
  <c r="G112" i="10"/>
  <c r="L49" i="17" s="1"/>
  <c r="G113" i="10"/>
  <c r="G114" i="10"/>
  <c r="L51" i="17" s="1"/>
  <c r="G115" i="10"/>
  <c r="L52" i="17" s="1"/>
  <c r="G116" i="10"/>
  <c r="L53" i="17" s="1"/>
  <c r="G117" i="10"/>
  <c r="G118" i="10"/>
  <c r="G119" i="10"/>
  <c r="G120" i="10"/>
  <c r="G121" i="10"/>
  <c r="G122" i="10"/>
  <c r="G123" i="10"/>
  <c r="F110" i="10"/>
  <c r="K47" i="17" s="1"/>
  <c r="F111" i="10"/>
  <c r="K48" i="17" s="1"/>
  <c r="F112" i="10"/>
  <c r="K49" i="17" s="1"/>
  <c r="F113" i="10"/>
  <c r="K50" i="17" s="1"/>
  <c r="F114" i="10"/>
  <c r="K51" i="17" s="1"/>
  <c r="F115" i="10"/>
  <c r="K52" i="17" s="1"/>
  <c r="F116" i="10"/>
  <c r="K53" i="17" s="1"/>
  <c r="F117" i="10"/>
  <c r="F118" i="10"/>
  <c r="F119" i="10"/>
  <c r="F120" i="10"/>
  <c r="F121" i="10"/>
  <c r="F122" i="10"/>
  <c r="F123" i="10"/>
  <c r="F107" i="10"/>
  <c r="K44" i="17" s="1"/>
  <c r="D108" i="10"/>
  <c r="I45" i="17" s="1"/>
  <c r="E108" i="10"/>
  <c r="J45" i="17" s="1"/>
  <c r="D109" i="10"/>
  <c r="I46" i="17" s="1"/>
  <c r="E109" i="10"/>
  <c r="J46" i="17" s="1"/>
  <c r="D110" i="10"/>
  <c r="I47" i="17" s="1"/>
  <c r="E110" i="10"/>
  <c r="J47" i="17" s="1"/>
  <c r="D111" i="10"/>
  <c r="I48" i="17" s="1"/>
  <c r="E111" i="10"/>
  <c r="J48" i="17" s="1"/>
  <c r="D112" i="10"/>
  <c r="I49" i="17" s="1"/>
  <c r="E112" i="10"/>
  <c r="J49" i="17" s="1"/>
  <c r="D113" i="10"/>
  <c r="I50" i="17" s="1"/>
  <c r="E113" i="10"/>
  <c r="J50" i="17" s="1"/>
  <c r="D114" i="10"/>
  <c r="I51" i="17" s="1"/>
  <c r="E114" i="10"/>
  <c r="J51" i="17" s="1"/>
  <c r="D115" i="10"/>
  <c r="I52" i="17" s="1"/>
  <c r="E115" i="10"/>
  <c r="J52" i="17" s="1"/>
  <c r="D116" i="10"/>
  <c r="I53" i="17" s="1"/>
  <c r="E116" i="10"/>
  <c r="J53" i="17" s="1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E107" i="10"/>
  <c r="J44" i="17" s="1"/>
  <c r="D107" i="10"/>
  <c r="I44" i="17" s="1"/>
  <c r="B108" i="10"/>
  <c r="G45" i="17" s="1"/>
  <c r="C108" i="10"/>
  <c r="H45" i="17" s="1"/>
  <c r="B109" i="10"/>
  <c r="G46" i="17" s="1"/>
  <c r="C109" i="10"/>
  <c r="H46" i="17" s="1"/>
  <c r="B110" i="10"/>
  <c r="G47" i="17" s="1"/>
  <c r="C110" i="10"/>
  <c r="H47" i="17" s="1"/>
  <c r="B111" i="10"/>
  <c r="G48" i="17" s="1"/>
  <c r="C111" i="10"/>
  <c r="H48" i="17" s="1"/>
  <c r="B112" i="10"/>
  <c r="G49" i="17" s="1"/>
  <c r="C112" i="10"/>
  <c r="H49" i="17" s="1"/>
  <c r="B113" i="10"/>
  <c r="G50" i="17" s="1"/>
  <c r="C113" i="10"/>
  <c r="H50" i="17" s="1"/>
  <c r="B114" i="10"/>
  <c r="G51" i="17" s="1"/>
  <c r="C114" i="10"/>
  <c r="H51" i="17" s="1"/>
  <c r="B115" i="10"/>
  <c r="G52" i="17" s="1"/>
  <c r="C115" i="10"/>
  <c r="H52" i="17" s="1"/>
  <c r="B116" i="10"/>
  <c r="G53" i="17" s="1"/>
  <c r="C116" i="10"/>
  <c r="H53" i="17" s="1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C107" i="10"/>
  <c r="H44" i="17" s="1"/>
  <c r="B107" i="10"/>
  <c r="G44" i="17" s="1"/>
  <c r="F106" i="10"/>
  <c r="E106" i="10"/>
  <c r="D106" i="10"/>
  <c r="C106" i="10"/>
  <c r="B106" i="10"/>
  <c r="A106" i="10"/>
  <c r="F45" i="16"/>
  <c r="F46" i="16"/>
  <c r="F47" i="16"/>
  <c r="F48" i="16"/>
  <c r="F49" i="16"/>
  <c r="F50" i="16"/>
  <c r="F51" i="16"/>
  <c r="F52" i="16"/>
  <c r="F53" i="16"/>
  <c r="F44" i="16"/>
  <c r="F34" i="10"/>
  <c r="K45" i="16" s="1"/>
  <c r="G34" i="10"/>
  <c r="L45" i="16" s="1"/>
  <c r="F35" i="10"/>
  <c r="K46" i="16" s="1"/>
  <c r="G35" i="10"/>
  <c r="L46" i="16" s="1"/>
  <c r="F36" i="10"/>
  <c r="K47" i="16" s="1"/>
  <c r="G36" i="10"/>
  <c r="L47" i="16" s="1"/>
  <c r="F37" i="10"/>
  <c r="K48" i="16" s="1"/>
  <c r="G37" i="10"/>
  <c r="L48" i="16" s="1"/>
  <c r="F38" i="10"/>
  <c r="K49" i="16" s="1"/>
  <c r="G38" i="10"/>
  <c r="L49" i="16" s="1"/>
  <c r="F39" i="10"/>
  <c r="K50" i="16" s="1"/>
  <c r="G39" i="10"/>
  <c r="L50" i="16" s="1"/>
  <c r="F40" i="10"/>
  <c r="K51" i="16" s="1"/>
  <c r="G40" i="10"/>
  <c r="L51" i="16" s="1"/>
  <c r="F41" i="10"/>
  <c r="K52" i="16" s="1"/>
  <c r="G41" i="10"/>
  <c r="L52" i="16" s="1"/>
  <c r="F42" i="10"/>
  <c r="K53" i="16" s="1"/>
  <c r="G42" i="10"/>
  <c r="L53" i="16" s="1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G33" i="10"/>
  <c r="L44" i="16" s="1"/>
  <c r="F33" i="10"/>
  <c r="K44" i="16" s="1"/>
  <c r="D34" i="10"/>
  <c r="I45" i="16" s="1"/>
  <c r="E34" i="10"/>
  <c r="J45" i="16" s="1"/>
  <c r="D35" i="10"/>
  <c r="I46" i="16" s="1"/>
  <c r="E35" i="10"/>
  <c r="J46" i="16" s="1"/>
  <c r="D36" i="10"/>
  <c r="I47" i="16" s="1"/>
  <c r="E36" i="10"/>
  <c r="J47" i="16" s="1"/>
  <c r="D37" i="10"/>
  <c r="I48" i="16" s="1"/>
  <c r="E37" i="10"/>
  <c r="J48" i="16" s="1"/>
  <c r="D38" i="10"/>
  <c r="I49" i="16" s="1"/>
  <c r="E38" i="10"/>
  <c r="J49" i="16" s="1"/>
  <c r="D39" i="10"/>
  <c r="I50" i="16" s="1"/>
  <c r="E39" i="10"/>
  <c r="J50" i="16" s="1"/>
  <c r="D40" i="10"/>
  <c r="I51" i="16" s="1"/>
  <c r="E40" i="10"/>
  <c r="J51" i="16" s="1"/>
  <c r="D41" i="10"/>
  <c r="I52" i="16" s="1"/>
  <c r="E41" i="10"/>
  <c r="J52" i="16" s="1"/>
  <c r="D42" i="10"/>
  <c r="I53" i="16" s="1"/>
  <c r="E42" i="10"/>
  <c r="J53" i="16" s="1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E33" i="10"/>
  <c r="J44" i="16" s="1"/>
  <c r="D33" i="10"/>
  <c r="I44" i="16" s="1"/>
  <c r="C33" i="10"/>
  <c r="H44" i="16" s="1"/>
  <c r="C34" i="10"/>
  <c r="H45" i="16" s="1"/>
  <c r="C35" i="10"/>
  <c r="H46" i="16" s="1"/>
  <c r="C36" i="10"/>
  <c r="H47" i="16" s="1"/>
  <c r="C37" i="10"/>
  <c r="H48" i="16" s="1"/>
  <c r="C38" i="10"/>
  <c r="H49" i="16" s="1"/>
  <c r="C39" i="10"/>
  <c r="H50" i="16" s="1"/>
  <c r="C40" i="10"/>
  <c r="H51" i="16" s="1"/>
  <c r="C41" i="10"/>
  <c r="H52" i="16" s="1"/>
  <c r="C42" i="10"/>
  <c r="H53" i="16" s="1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B34" i="10"/>
  <c r="G45" i="16" s="1"/>
  <c r="B35" i="10"/>
  <c r="G46" i="16" s="1"/>
  <c r="B36" i="10"/>
  <c r="G47" i="16" s="1"/>
  <c r="B37" i="10"/>
  <c r="G48" i="16" s="1"/>
  <c r="B38" i="10"/>
  <c r="G49" i="16" s="1"/>
  <c r="B39" i="10"/>
  <c r="G50" i="16" s="1"/>
  <c r="B40" i="10"/>
  <c r="G51" i="16" s="1"/>
  <c r="B41" i="10"/>
  <c r="G52" i="16" s="1"/>
  <c r="B42" i="10"/>
  <c r="G53" i="16" s="1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33" i="10"/>
  <c r="G44" i="16" s="1"/>
  <c r="F32" i="10"/>
  <c r="E32" i="10"/>
  <c r="D32" i="10"/>
  <c r="C32" i="10"/>
  <c r="B32" i="10"/>
  <c r="A32" i="10"/>
  <c r="W2" i="19" l="1"/>
  <c r="V2" i="19" s="1"/>
  <c r="Y4" i="19"/>
  <c r="Y10" i="19"/>
  <c r="X10" i="19"/>
  <c r="W10" i="19"/>
  <c r="V10" i="19" s="1"/>
  <c r="W6" i="19"/>
  <c r="V6" i="19" s="1"/>
  <c r="Y7" i="19"/>
  <c r="X7" i="19"/>
  <c r="X16" i="19"/>
  <c r="W17" i="19"/>
  <c r="V17" i="19" s="1"/>
  <c r="Y16" i="19"/>
  <c r="Y13" i="19"/>
  <c r="X13" i="19"/>
  <c r="W13" i="19"/>
  <c r="V13" i="19" s="1"/>
  <c r="F45" i="15"/>
  <c r="F46" i="15"/>
  <c r="F47" i="15"/>
  <c r="F48" i="15"/>
  <c r="F49" i="15"/>
  <c r="F50" i="15"/>
  <c r="F51" i="15"/>
  <c r="F52" i="15"/>
  <c r="F53" i="15"/>
  <c r="F44" i="15"/>
  <c r="G20" i="10"/>
  <c r="L44" i="15" s="1"/>
  <c r="G21" i="10"/>
  <c r="L45" i="15" s="1"/>
  <c r="G22" i="10"/>
  <c r="L46" i="15" s="1"/>
  <c r="G23" i="10"/>
  <c r="L47" i="15" s="1"/>
  <c r="G24" i="10"/>
  <c r="L48" i="15" s="1"/>
  <c r="G25" i="10"/>
  <c r="L49" i="15" s="1"/>
  <c r="G26" i="10"/>
  <c r="L50" i="15" s="1"/>
  <c r="G27" i="10"/>
  <c r="L51" i="15" s="1"/>
  <c r="G28" i="10"/>
  <c r="L52" i="15" s="1"/>
  <c r="G29" i="10"/>
  <c r="L53" i="15" s="1"/>
  <c r="F21" i="10"/>
  <c r="K45" i="15" s="1"/>
  <c r="F22" i="10"/>
  <c r="K46" i="15" s="1"/>
  <c r="F23" i="10"/>
  <c r="K47" i="15" s="1"/>
  <c r="F24" i="10"/>
  <c r="K48" i="15" s="1"/>
  <c r="F25" i="10"/>
  <c r="K49" i="15" s="1"/>
  <c r="F26" i="10"/>
  <c r="K50" i="15" s="1"/>
  <c r="F27" i="10"/>
  <c r="K51" i="15" s="1"/>
  <c r="F28" i="10"/>
  <c r="K52" i="15" s="1"/>
  <c r="F29" i="10"/>
  <c r="K53" i="15" s="1"/>
  <c r="F30" i="10"/>
  <c r="F20" i="10"/>
  <c r="K44" i="15" s="1"/>
  <c r="E21" i="10"/>
  <c r="J45" i="15" s="1"/>
  <c r="E22" i="10"/>
  <c r="J46" i="15" s="1"/>
  <c r="E23" i="10"/>
  <c r="J47" i="15" s="1"/>
  <c r="E24" i="10"/>
  <c r="J48" i="15" s="1"/>
  <c r="E25" i="10"/>
  <c r="J49" i="15" s="1"/>
  <c r="E26" i="10"/>
  <c r="J50" i="15" s="1"/>
  <c r="E27" i="10"/>
  <c r="J51" i="15" s="1"/>
  <c r="E28" i="10"/>
  <c r="J52" i="15" s="1"/>
  <c r="E29" i="10"/>
  <c r="J53" i="15" s="1"/>
  <c r="E30" i="10"/>
  <c r="E20" i="10"/>
  <c r="J44" i="15" s="1"/>
  <c r="D21" i="10"/>
  <c r="I45" i="15" s="1"/>
  <c r="D22" i="10"/>
  <c r="I46" i="15" s="1"/>
  <c r="D23" i="10"/>
  <c r="I47" i="15" s="1"/>
  <c r="D24" i="10"/>
  <c r="I48" i="15" s="1"/>
  <c r="D25" i="10"/>
  <c r="I49" i="15" s="1"/>
  <c r="D26" i="10"/>
  <c r="I50" i="15" s="1"/>
  <c r="D27" i="10"/>
  <c r="I51" i="15" s="1"/>
  <c r="D28" i="10"/>
  <c r="I52" i="15" s="1"/>
  <c r="D29" i="10"/>
  <c r="I53" i="15" s="1"/>
  <c r="D30" i="10"/>
  <c r="D20" i="10"/>
  <c r="I44" i="15" s="1"/>
  <c r="C20" i="10"/>
  <c r="H44" i="15" s="1"/>
  <c r="C21" i="10"/>
  <c r="H45" i="15" s="1"/>
  <c r="C22" i="10"/>
  <c r="H46" i="15" s="1"/>
  <c r="C23" i="10"/>
  <c r="H47" i="15" s="1"/>
  <c r="C24" i="10"/>
  <c r="H48" i="15" s="1"/>
  <c r="C25" i="10"/>
  <c r="H49" i="15" s="1"/>
  <c r="C26" i="10"/>
  <c r="H50" i="15" s="1"/>
  <c r="C27" i="10"/>
  <c r="H51" i="15" s="1"/>
  <c r="C28" i="10"/>
  <c r="H52" i="15" s="1"/>
  <c r="C29" i="10"/>
  <c r="H53" i="15" s="1"/>
  <c r="C30" i="10"/>
  <c r="B21" i="10"/>
  <c r="G45" i="15" s="1"/>
  <c r="B22" i="10"/>
  <c r="G46" i="15" s="1"/>
  <c r="B23" i="10"/>
  <c r="G47" i="15" s="1"/>
  <c r="B24" i="10"/>
  <c r="G48" i="15" s="1"/>
  <c r="B25" i="10"/>
  <c r="G49" i="15" s="1"/>
  <c r="B26" i="10"/>
  <c r="G50" i="15" s="1"/>
  <c r="B27" i="10"/>
  <c r="G51" i="15" s="1"/>
  <c r="B28" i="10"/>
  <c r="G52" i="15" s="1"/>
  <c r="B29" i="10"/>
  <c r="G53" i="15" s="1"/>
  <c r="B30" i="10"/>
  <c r="B20" i="10"/>
  <c r="G44" i="15" s="1"/>
  <c r="F19" i="10"/>
  <c r="E19" i="10"/>
  <c r="D19" i="10"/>
  <c r="C19" i="10"/>
  <c r="B19" i="10"/>
  <c r="A19" i="10"/>
  <c r="N43" i="18"/>
  <c r="M43" i="18"/>
  <c r="L43" i="18"/>
  <c r="N43" i="17"/>
  <c r="M43" i="17"/>
  <c r="L43" i="17"/>
  <c r="N43" i="16"/>
  <c r="M43" i="16"/>
  <c r="L43" i="16"/>
  <c r="N43" i="15"/>
  <c r="M43" i="15"/>
  <c r="L43" i="15"/>
  <c r="T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L44" i="9"/>
  <c r="L45" i="9"/>
  <c r="L46" i="9"/>
  <c r="L47" i="9"/>
  <c r="L43" i="9"/>
  <c r="M42" i="9"/>
  <c r="N42" i="9"/>
  <c r="O42" i="9"/>
  <c r="L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G44" i="9"/>
  <c r="G45" i="9"/>
  <c r="G46" i="9"/>
  <c r="G47" i="9"/>
  <c r="G43" i="9"/>
  <c r="H42" i="9"/>
  <c r="I42" i="9"/>
  <c r="J42" i="9"/>
  <c r="G42" i="9"/>
  <c r="L45" i="11"/>
  <c r="K45" i="11"/>
  <c r="K46" i="11"/>
  <c r="L46" i="11"/>
  <c r="K47" i="11"/>
  <c r="L47" i="11"/>
  <c r="K53" i="11"/>
  <c r="F45" i="11"/>
  <c r="F46" i="11"/>
  <c r="F47" i="11"/>
  <c r="F48" i="11"/>
  <c r="F49" i="11"/>
  <c r="F50" i="11"/>
  <c r="F51" i="11"/>
  <c r="F52" i="11"/>
  <c r="F53" i="11"/>
  <c r="F44" i="11"/>
  <c r="L43" i="11"/>
  <c r="M43" i="11"/>
  <c r="N43" i="11"/>
  <c r="F10" i="10"/>
  <c r="G10" i="10"/>
  <c r="F15" i="10"/>
  <c r="G15" i="10"/>
  <c r="F16" i="10"/>
  <c r="G16" i="10"/>
  <c r="F11" i="10"/>
  <c r="G11" i="10"/>
  <c r="L51" i="11" s="1"/>
  <c r="F12" i="10"/>
  <c r="G12" i="10"/>
  <c r="F2" i="10"/>
  <c r="K44" i="11" s="1"/>
  <c r="G2" i="10"/>
  <c r="L44" i="11" s="1"/>
  <c r="F8" i="10"/>
  <c r="G8" i="10"/>
  <c r="G9" i="10"/>
  <c r="F9" i="10"/>
  <c r="B10" i="10"/>
  <c r="C10" i="10"/>
  <c r="D10" i="10"/>
  <c r="I50" i="11" s="1"/>
  <c r="E10" i="10"/>
  <c r="B15" i="10"/>
  <c r="C15" i="10"/>
  <c r="D15" i="10"/>
  <c r="E15" i="10"/>
  <c r="B16" i="10"/>
  <c r="C16" i="10"/>
  <c r="D16" i="10"/>
  <c r="E16" i="10"/>
  <c r="B11" i="10"/>
  <c r="C11" i="10"/>
  <c r="D11" i="10"/>
  <c r="E11" i="10"/>
  <c r="B12" i="10"/>
  <c r="G52" i="11" s="1"/>
  <c r="C12" i="10"/>
  <c r="H52" i="11" s="1"/>
  <c r="D12" i="10"/>
  <c r="E12" i="10"/>
  <c r="B2" i="10"/>
  <c r="C2" i="10"/>
  <c r="D2" i="10"/>
  <c r="E2" i="10"/>
  <c r="B8" i="10"/>
  <c r="C8" i="10"/>
  <c r="D8" i="10"/>
  <c r="E8" i="10"/>
  <c r="B13" i="10"/>
  <c r="C13" i="10"/>
  <c r="D13" i="10"/>
  <c r="E13" i="10"/>
  <c r="J53" i="11" s="1"/>
  <c r="B14" i="10"/>
  <c r="C14" i="10"/>
  <c r="D14" i="10"/>
  <c r="E14" i="10"/>
  <c r="B3" i="10"/>
  <c r="C3" i="10"/>
  <c r="D3" i="10"/>
  <c r="E3" i="10"/>
  <c r="B4" i="10"/>
  <c r="C4" i="10"/>
  <c r="H44" i="11" s="1"/>
  <c r="D4" i="10"/>
  <c r="E4" i="10"/>
  <c r="B5" i="10"/>
  <c r="C5" i="10"/>
  <c r="D5" i="10"/>
  <c r="E5" i="10"/>
  <c r="J45" i="11" s="1"/>
  <c r="B17" i="10"/>
  <c r="C17" i="10"/>
  <c r="D17" i="10"/>
  <c r="E17" i="10"/>
  <c r="B6" i="10"/>
  <c r="C6" i="10"/>
  <c r="D6" i="10"/>
  <c r="E6" i="10"/>
  <c r="B7" i="10"/>
  <c r="C7" i="10"/>
  <c r="H47" i="11" s="1"/>
  <c r="D7" i="10"/>
  <c r="I47" i="11" s="1"/>
  <c r="E7" i="10"/>
  <c r="B9" i="10"/>
  <c r="C9" i="10"/>
  <c r="D9" i="10"/>
  <c r="E9" i="10"/>
  <c r="D1" i="10"/>
  <c r="I43" i="18" s="1"/>
  <c r="B1" i="10"/>
  <c r="G43" i="11" s="1"/>
  <c r="C1" i="10"/>
  <c r="R42" i="9" s="1"/>
  <c r="E1" i="10"/>
  <c r="J43" i="17" s="1"/>
  <c r="F1" i="10"/>
  <c r="K43" i="17" s="1"/>
  <c r="A1" i="10"/>
  <c r="F43" i="15" s="1"/>
  <c r="G51" i="11" l="1"/>
  <c r="G44" i="11"/>
  <c r="L53" i="11"/>
  <c r="J50" i="11"/>
  <c r="I49" i="11"/>
  <c r="K51" i="11"/>
  <c r="W23" i="19"/>
  <c r="V23" i="19" s="1"/>
  <c r="Y19" i="19"/>
  <c r="X19" i="19"/>
  <c r="G43" i="16"/>
  <c r="H43" i="16"/>
  <c r="I43" i="15"/>
  <c r="F43" i="17"/>
  <c r="H43" i="15"/>
  <c r="I52" i="11"/>
  <c r="H49" i="11"/>
  <c r="J47" i="11"/>
  <c r="G46" i="11"/>
  <c r="I44" i="11"/>
  <c r="K52" i="11"/>
  <c r="K48" i="11"/>
  <c r="G43" i="15"/>
  <c r="F43" i="16"/>
  <c r="J43" i="18"/>
  <c r="K43" i="11"/>
  <c r="J43" i="11"/>
  <c r="I53" i="11"/>
  <c r="H50" i="11"/>
  <c r="J48" i="11"/>
  <c r="G47" i="11"/>
  <c r="I45" i="11"/>
  <c r="L50" i="11"/>
  <c r="J43" i="15"/>
  <c r="I43" i="16"/>
  <c r="G43" i="17"/>
  <c r="G49" i="11"/>
  <c r="I43" i="11"/>
  <c r="H53" i="11"/>
  <c r="J51" i="11"/>
  <c r="G50" i="11"/>
  <c r="I48" i="11"/>
  <c r="H45" i="11"/>
  <c r="K50" i="11"/>
  <c r="K43" i="15"/>
  <c r="J43" i="16"/>
  <c r="H43" i="17"/>
  <c r="F43" i="18"/>
  <c r="H43" i="11"/>
  <c r="G53" i="11"/>
  <c r="I51" i="11"/>
  <c r="H48" i="11"/>
  <c r="J46" i="11"/>
  <c r="G45" i="11"/>
  <c r="L49" i="11"/>
  <c r="K43" i="16"/>
  <c r="I43" i="17"/>
  <c r="G43" i="18"/>
  <c r="K43" i="18"/>
  <c r="F43" i="11"/>
  <c r="H51" i="11"/>
  <c r="J49" i="11"/>
  <c r="G48" i="11"/>
  <c r="I46" i="11"/>
  <c r="K49" i="11"/>
  <c r="H43" i="18"/>
  <c r="J52" i="11"/>
  <c r="H46" i="11"/>
  <c r="J44" i="11"/>
  <c r="L52" i="11"/>
  <c r="L48" i="11"/>
  <c r="Q42" i="9"/>
  <c r="S42" i="9"/>
  <c r="H123" i="10"/>
  <c r="H122" i="10"/>
  <c r="H121" i="10"/>
  <c r="H120" i="10"/>
  <c r="H119" i="10"/>
  <c r="H118" i="10"/>
  <c r="H117" i="10"/>
  <c r="H116" i="10"/>
  <c r="H115" i="10"/>
  <c r="M52" i="17" s="1"/>
  <c r="H114" i="10"/>
  <c r="H113" i="10"/>
  <c r="H111" i="10"/>
  <c r="H110" i="10"/>
  <c r="H109" i="10"/>
  <c r="H108" i="10"/>
  <c r="H107" i="10"/>
  <c r="M44" i="17" s="1"/>
  <c r="H129" i="10"/>
  <c r="M44" i="18" s="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28" i="10"/>
  <c r="H27" i="10"/>
  <c r="H26" i="10"/>
  <c r="H25" i="10"/>
  <c r="H24" i="10"/>
  <c r="H23" i="10"/>
  <c r="H22" i="10"/>
  <c r="H21" i="10"/>
  <c r="H7" i="10"/>
  <c r="H6" i="10"/>
  <c r="H5" i="10"/>
  <c r="H4" i="10"/>
  <c r="H3" i="10"/>
  <c r="H8" i="10"/>
  <c r="H2" i="10"/>
  <c r="H12" i="10"/>
  <c r="H11" i="10"/>
  <c r="H10" i="10"/>
  <c r="H9" i="10"/>
  <c r="I10" i="10"/>
  <c r="I15" i="10"/>
  <c r="I16" i="10"/>
  <c r="I11" i="10"/>
  <c r="I12" i="10"/>
  <c r="I2" i="10"/>
  <c r="I8" i="10"/>
  <c r="I13" i="10"/>
  <c r="I14" i="10"/>
  <c r="I3" i="10"/>
  <c r="I4" i="10"/>
  <c r="I5" i="10"/>
  <c r="I17" i="10"/>
  <c r="I6" i="10"/>
  <c r="I7" i="10"/>
  <c r="I20" i="10"/>
  <c r="N44" i="15" s="1"/>
  <c r="I21" i="10"/>
  <c r="N45" i="15" s="1"/>
  <c r="I22" i="10"/>
  <c r="N46" i="15" s="1"/>
  <c r="I23" i="10"/>
  <c r="N47" i="15" s="1"/>
  <c r="I24" i="10"/>
  <c r="N48" i="15" s="1"/>
  <c r="I25" i="10"/>
  <c r="N49" i="15" s="1"/>
  <c r="I26" i="10"/>
  <c r="N50" i="15" s="1"/>
  <c r="I27" i="10"/>
  <c r="N51" i="15" s="1"/>
  <c r="I28" i="10"/>
  <c r="N52" i="15" s="1"/>
  <c r="I29" i="10"/>
  <c r="N53" i="15" s="1"/>
  <c r="I30" i="10"/>
  <c r="I33" i="10"/>
  <c r="N44" i="16" s="1"/>
  <c r="I34" i="10"/>
  <c r="N45" i="16" s="1"/>
  <c r="I35" i="10"/>
  <c r="N46" i="16" s="1"/>
  <c r="I36" i="10"/>
  <c r="N47" i="16" s="1"/>
  <c r="I37" i="10"/>
  <c r="N48" i="16" s="1"/>
  <c r="I38" i="10"/>
  <c r="N49" i="16" s="1"/>
  <c r="I39" i="10"/>
  <c r="N50" i="16" s="1"/>
  <c r="I40" i="10"/>
  <c r="N51" i="16" s="1"/>
  <c r="I41" i="10"/>
  <c r="N52" i="16" s="1"/>
  <c r="I42" i="10"/>
  <c r="N53" i="16" s="1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7" i="10"/>
  <c r="N44" i="17" s="1"/>
  <c r="I108" i="10"/>
  <c r="N45" i="17" s="1"/>
  <c r="I109" i="10"/>
  <c r="N46" i="17" s="1"/>
  <c r="I110" i="10"/>
  <c r="N47" i="17" s="1"/>
  <c r="I111" i="10"/>
  <c r="N48" i="17" s="1"/>
  <c r="I112" i="10"/>
  <c r="N49" i="17" s="1"/>
  <c r="I113" i="10"/>
  <c r="N50" i="17" s="1"/>
  <c r="I114" i="10"/>
  <c r="N51" i="17" s="1"/>
  <c r="I115" i="10"/>
  <c r="N52" i="17" s="1"/>
  <c r="I116" i="10"/>
  <c r="N53" i="17" s="1"/>
  <c r="I117" i="10"/>
  <c r="I118" i="10"/>
  <c r="I119" i="10"/>
  <c r="I120" i="10"/>
  <c r="I121" i="10"/>
  <c r="I122" i="10"/>
  <c r="I123" i="10"/>
  <c r="I124" i="10"/>
  <c r="I125" i="10"/>
  <c r="I126" i="10"/>
  <c r="I9" i="10"/>
  <c r="I129" i="10" l="1"/>
  <c r="N44" i="18" s="1"/>
  <c r="M46" i="17"/>
  <c r="M48" i="17"/>
  <c r="M51" i="17"/>
  <c r="M45" i="17"/>
  <c r="M53" i="17"/>
  <c r="M47" i="17"/>
  <c r="M50" i="17"/>
  <c r="M49" i="17"/>
  <c r="H29" i="10"/>
  <c r="M53" i="15" s="1"/>
  <c r="M47" i="16"/>
  <c r="M48" i="16"/>
  <c r="M49" i="16"/>
  <c r="M44" i="16"/>
  <c r="M52" i="16"/>
  <c r="M50" i="16"/>
  <c r="M45" i="16"/>
  <c r="M53" i="16"/>
  <c r="M46" i="16"/>
  <c r="M51" i="16"/>
  <c r="N47" i="11"/>
  <c r="N48" i="11"/>
  <c r="N45" i="11"/>
  <c r="N51" i="11"/>
  <c r="N44" i="11"/>
  <c r="N46" i="11"/>
  <c r="N52" i="11"/>
  <c r="N50" i="11"/>
  <c r="N49" i="11"/>
  <c r="N53" i="11"/>
  <c r="M52" i="15"/>
  <c r="M48" i="15"/>
  <c r="M49" i="15"/>
  <c r="M51" i="15"/>
  <c r="M46" i="15"/>
  <c r="M50" i="15"/>
  <c r="M44" i="15"/>
  <c r="M45" i="15"/>
  <c r="M47" i="15"/>
  <c r="M53" i="11"/>
  <c r="M50" i="11"/>
  <c r="M51" i="11"/>
  <c r="M49" i="11"/>
  <c r="M52" i="11"/>
  <c r="M48" i="11"/>
  <c r="M44" i="11"/>
  <c r="M47" i="11"/>
  <c r="M45" i="11"/>
  <c r="M46" i="11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O76" i="7" l="1"/>
  <c r="Q76" i="7"/>
  <c r="R76" i="7"/>
  <c r="O3" i="7"/>
  <c r="O4" i="7"/>
  <c r="O7" i="7"/>
  <c r="O8" i="7"/>
  <c r="O9" i="7"/>
  <c r="O10" i="7"/>
  <c r="O12" i="7"/>
  <c r="O13" i="7"/>
  <c r="O14" i="7"/>
  <c r="O15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Q3" i="7" l="1"/>
  <c r="T3" i="7"/>
  <c r="P3" i="7"/>
  <c r="L3" i="2" l="1"/>
  <c r="L4" i="2"/>
  <c r="L5" i="2"/>
  <c r="L6" i="2"/>
  <c r="L7" i="2"/>
  <c r="L9" i="2"/>
  <c r="L10" i="2"/>
  <c r="L11" i="2"/>
  <c r="L12" i="2"/>
  <c r="L13" i="2"/>
  <c r="L14" i="2"/>
  <c r="L2" i="2"/>
  <c r="B10" i="1" l="1"/>
  <c r="B11" i="1"/>
  <c r="B9" i="1"/>
  <c r="B6" i="1" l="1"/>
  <c r="B5" i="1"/>
</calcChain>
</file>

<file path=xl/sharedStrings.xml><?xml version="1.0" encoding="utf-8"?>
<sst xmlns="http://schemas.openxmlformats.org/spreadsheetml/2006/main" count="2861" uniqueCount="588">
  <si>
    <t>Task Category</t>
  </si>
  <si>
    <t>Start Date</t>
  </si>
  <si>
    <t>End Date</t>
  </si>
  <si>
    <t>Serial</t>
  </si>
  <si>
    <t>Tast</t>
  </si>
  <si>
    <t>Status</t>
  </si>
  <si>
    <t>Exposure/Footprint</t>
  </si>
  <si>
    <t>Culture shift trigger</t>
  </si>
  <si>
    <t>Strategy Fulfilment</t>
  </si>
  <si>
    <t>Strategy Roll-out campaign</t>
  </si>
  <si>
    <t>Re-branding team / People Strategy</t>
  </si>
  <si>
    <t>Not Done</t>
  </si>
  <si>
    <t>On Track</t>
  </si>
  <si>
    <t>SAPED Strategic Re-Branding</t>
  </si>
  <si>
    <t>Target</t>
  </si>
  <si>
    <t>Actual</t>
  </si>
  <si>
    <t>Frequency</t>
  </si>
  <si>
    <t>Once</t>
  </si>
  <si>
    <t>Yearly</t>
  </si>
  <si>
    <t>Responsibility</t>
  </si>
  <si>
    <t>Product of Target</t>
  </si>
  <si>
    <t>Product of Actual</t>
  </si>
  <si>
    <t>Duration</t>
  </si>
  <si>
    <t xml:space="preserve">Strategy </t>
  </si>
  <si>
    <t>Re-Branding</t>
  </si>
  <si>
    <t>Sustainability</t>
  </si>
  <si>
    <t>Digitalization</t>
  </si>
  <si>
    <t>Sunburst</t>
  </si>
  <si>
    <t>Re-branding team / Publication team/ Awards team</t>
  </si>
  <si>
    <t>Re-branding team/ Strategy owners / SAPED Planning group</t>
  </si>
  <si>
    <t>Strategy Roll-out</t>
  </si>
  <si>
    <t xml:space="preserve">Develop a slogan for the outreach program </t>
  </si>
  <si>
    <t>Outreach program for internally/external costumers (i.e celebrate local and international events, periodical accomplishment newsletter, strategy ordinated messages, and Re-brand Enlight )</t>
  </si>
  <si>
    <t>Synergize with “People” strategy to achieve “buy-in” thru the enhancement of workplace culture</t>
  </si>
  <si>
    <t>Industry exposure (Number of SAPED SPE contribution)</t>
  </si>
  <si>
    <t>SAPED technical publications (Sandrose, JPT, oil &amp; gas, world oil,…etc)</t>
  </si>
  <si>
    <t>Produce SAPED visual content (HSS&amp;E, technical, OE, and promoting SAPED)</t>
  </si>
  <si>
    <t>Awards participating (external/internal)</t>
  </si>
  <si>
    <t>Strategy committee team formation and Dashboard creation</t>
  </si>
  <si>
    <t>Meeting with strategy owners to measure (progress %)</t>
  </si>
  <si>
    <t>Budgeting and utilization of strategies' related resources</t>
  </si>
  <si>
    <t>TBD</t>
  </si>
  <si>
    <t>2 meetings per year</t>
  </si>
  <si>
    <t>10 per year</t>
  </si>
  <si>
    <t>3 Events per year</t>
  </si>
  <si>
    <t>20 per year/ 4 per division</t>
  </si>
  <si>
    <t>5-10 participation per year</t>
  </si>
  <si>
    <t>2 resource planning meeting/year</t>
  </si>
  <si>
    <t>4 meetings</t>
  </si>
  <si>
    <t>Sponsorship of prestigious events (sponsor a technical OOK booth, one technical event in SAPED operational hubs, one non technical event)</t>
  </si>
  <si>
    <t>X% Incremental increase Abstracts &amp; papers submissions/ year</t>
  </si>
  <si>
    <t>NA</t>
  </si>
  <si>
    <t xml:space="preserve">Automate Repetitive Tasks </t>
  </si>
  <si>
    <t>Programs writing/ reports/ Approvals</t>
  </si>
  <si>
    <t>Data Entry</t>
  </si>
  <si>
    <t>SAPED iDM</t>
  </si>
  <si>
    <t>Creating Interactive Dashboards using Data Analytics Tools ( ex. ORION)</t>
  </si>
  <si>
    <t>Ensuring Adoption and Value</t>
  </si>
  <si>
    <t>Yousef Mubarak 
Rami Abdulmohsen</t>
  </si>
  <si>
    <t>Joint projects with IT/ EXPEC ARC</t>
  </si>
  <si>
    <t>Joint projects with PEASD</t>
  </si>
  <si>
    <t>Invoice Jobs Remote witnessing</t>
  </si>
  <si>
    <t>Smart headsets</t>
  </si>
  <si>
    <t>Mohammed Omran</t>
  </si>
  <si>
    <t>To Analytics and Machine Learning</t>
  </si>
  <si>
    <t>Capitalize on Corporate Systems</t>
  </si>
  <si>
    <t>Remote Assistance</t>
  </si>
  <si>
    <t>confirm whether tasks are those or the 41 tasks in slide 4 of the presentation!!</t>
  </si>
  <si>
    <t>Sub-Strategy</t>
  </si>
  <si>
    <t>Actual Completion Date</t>
  </si>
  <si>
    <t>Expected Completion Date (ETC)</t>
  </si>
  <si>
    <t>Initiative</t>
  </si>
  <si>
    <t>Action Item</t>
  </si>
  <si>
    <t>Compliance (within ETC vs beyond ETC)</t>
  </si>
  <si>
    <t>#</t>
  </si>
  <si>
    <t>Due/Not Due</t>
  </si>
  <si>
    <t>updated on 6/20, removed "Not due yet" and replaced it with "within ETC" to have a more clear visulaization on Spotfire</t>
  </si>
  <si>
    <t xml:space="preserve">Budgeting and utilization of strategies' related resources. </t>
  </si>
  <si>
    <t>Meeting with strategy champions to track % progress</t>
  </si>
  <si>
    <t>Culture Shift Trigger</t>
  </si>
  <si>
    <t>Develop SAPED Brand Identity System (SBIS)
“Diversity and legacy”</t>
  </si>
  <si>
    <t>Outreach program for internally/external costumers (i.e celebrate local and international events, and periodical accomplishment newsletter)</t>
  </si>
  <si>
    <t>Industry exposure program (Public relation with stakeholders)</t>
  </si>
  <si>
    <t>Participation and in prestigious events
(represent SAPED in technical OOK booth, technical events in SAPED operational hubs, social events)</t>
  </si>
  <si>
    <t xml:space="preserve">Cost Efficiency </t>
  </si>
  <si>
    <t xml:space="preserve">Value Creation </t>
  </si>
  <si>
    <t xml:space="preserve">GOSP &amp; Equipment  Optimization </t>
  </si>
  <si>
    <t xml:space="preserve">WO Optimization </t>
  </si>
  <si>
    <t xml:space="preserve">Invoice/Non-invoice Optimization </t>
  </si>
  <si>
    <t xml:space="preserve">Cost Intelligence Hub  </t>
  </si>
  <si>
    <t xml:space="preserve">Data analysis &amp; modeling </t>
  </si>
  <si>
    <t>Culture Creation</t>
  </si>
  <si>
    <t xml:space="preserve">PMP Goal </t>
  </si>
  <si>
    <t xml:space="preserve">Success Stories </t>
  </si>
  <si>
    <t xml:space="preserve">Employee Awards  </t>
  </si>
  <si>
    <t>Environmental Technologies and Solutions</t>
  </si>
  <si>
    <t>Innovative PE (Ball Sealers)</t>
  </si>
  <si>
    <t>Innovative PE (ML Frac Design)</t>
  </si>
  <si>
    <t>Innovative PE (Improved Chemistry for Frac Jobs)</t>
  </si>
  <si>
    <t>Innovative PE (Energized Frac Operations)</t>
  </si>
  <si>
    <t>Green PE (Zero Flaring - RTP &amp; Closed loop FB)</t>
  </si>
  <si>
    <t>Green PE (Clamp-on Metering)</t>
  </si>
  <si>
    <t>Green PE (Mobile Wellhead Gas Compression )</t>
  </si>
  <si>
    <t xml:space="preserve">Health, Safety, &amp; Security </t>
  </si>
  <si>
    <t>Wellness Program</t>
  </si>
  <si>
    <t>Agility &amp; Resilience</t>
  </si>
  <si>
    <t>Orion 4.0</t>
  </si>
  <si>
    <t>Program Automation (Well-IP)</t>
  </si>
  <si>
    <t xml:space="preserve">PE AI Advisor </t>
  </si>
  <si>
    <t>Enhance TTR Workflow</t>
  </si>
  <si>
    <t>Production Sustainability</t>
  </si>
  <si>
    <t xml:space="preserve">Production Engineering Advisory &amp; Compliance Environment (PEACE) </t>
  </si>
  <si>
    <t xml:space="preserve">Network Optimizer </t>
  </si>
  <si>
    <t>PE Mobile App</t>
  </si>
  <si>
    <t>Digitization</t>
  </si>
  <si>
    <t>x</t>
  </si>
  <si>
    <t>People development and Engagment</t>
  </si>
  <si>
    <t xml:space="preserve">Charter development </t>
  </si>
  <si>
    <t>Tracking Dashboard</t>
  </si>
  <si>
    <t>Budget communication with manager group</t>
  </si>
  <si>
    <t>Meeting in 3rd quarter</t>
  </si>
  <si>
    <t>Complete SBIS</t>
  </si>
  <si>
    <t>After completing SBIS</t>
  </si>
  <si>
    <t>Outreaching schools and planning events</t>
  </si>
  <si>
    <t>Collaborate with people for applying culture shift</t>
  </si>
  <si>
    <t xml:space="preserve">Budget allocation for the visual material is requested </t>
  </si>
  <si>
    <t xml:space="preserve">Established contact with the Media production division </t>
  </si>
  <si>
    <t>Align with the award committee to publicize achievement</t>
  </si>
  <si>
    <t xml:space="preserve"> Outline a plan to enhance public relations with industry stakeholders (Saudi ARAMCO, SPE, SC, universities,  IOC/NOC,…etc)</t>
  </si>
  <si>
    <t>Already established communication with SPE publication (Sand Rose)</t>
  </si>
  <si>
    <t>Develop vocal communication point</t>
  </si>
  <si>
    <t xml:space="preserve">Media and Newsletter Publication Review (MNPR) Committee </t>
  </si>
  <si>
    <t xml:space="preserve"> Budget requested &amp; outline the details of the event </t>
  </si>
  <si>
    <t>Enrgey conservation while meeting production target</t>
  </si>
  <si>
    <t>Utilize 1 available solution/introduce 1 new solution to avoid rig operation per year per division</t>
  </si>
  <si>
    <t xml:space="preserve">Introduce 1 standardized procedure among SAPED divisions in Well-IP </t>
  </si>
  <si>
    <t xml:space="preserve">U-Wise revision by end Q-1 2022 </t>
  </si>
  <si>
    <t xml:space="preserve">Reduce well integrity requirements by 5% annually </t>
  </si>
  <si>
    <t xml:space="preserve">Build all SAPED well models </t>
  </si>
  <si>
    <t xml:space="preserve">One Goal per employees to participate in at least 1 CE Initiative </t>
  </si>
  <si>
    <t xml:space="preserve">Build SAPED CE dashboard </t>
  </si>
  <si>
    <t xml:space="preserve">Share 2 success stories per division per year in an annual SAPED workshop/event </t>
  </si>
  <si>
    <t xml:space="preserve">Award 1 employees per division per year </t>
  </si>
  <si>
    <t xml:space="preserve">Nominate/recognize 1 employee in awards outside SAPED </t>
  </si>
  <si>
    <t>Evaluating the market for the technology provider</t>
  </si>
  <si>
    <t>Initiate and complete TTR &amp; MOC (If Required)</t>
  </si>
  <si>
    <t>Introduce technology as standard</t>
  </si>
  <si>
    <t>Magnitude tracking of groundwater conservation</t>
  </si>
  <si>
    <t>Magnitude tracking of gas flaring avoidance</t>
  </si>
  <si>
    <t>Identify the required resourses (Budgeting)</t>
  </si>
  <si>
    <t xml:space="preserve">Establish baseline employee wellness </t>
  </si>
  <si>
    <t xml:space="preserve">Deployment </t>
  </si>
  <si>
    <t>Scope - Completed</t>
  </si>
  <si>
    <t>Magnitude tracking of network productivity enhancements cases from application</t>
  </si>
  <si>
    <t>Nahr</t>
  </si>
  <si>
    <t xml:space="preserve">Ibrahim </t>
  </si>
  <si>
    <t xml:space="preserve">Nahr </t>
  </si>
  <si>
    <t>Nahr - Atwi</t>
  </si>
  <si>
    <t>Nahr - Atwi - Alatigue</t>
  </si>
  <si>
    <t>Alatigue - Abdulrahman Almulhim - Aljughaiman</t>
  </si>
  <si>
    <t>Nahr - Meshakhes - Abdulaziz Sultan</t>
  </si>
  <si>
    <t>Shaima</t>
  </si>
  <si>
    <t>Abdullah Alghamdi</t>
  </si>
  <si>
    <t>Abdulrahman Almulhim</t>
  </si>
  <si>
    <t>Abdulaziz Sultan</t>
  </si>
  <si>
    <t>Nahr - Abdulaziz Sultan</t>
  </si>
  <si>
    <t xml:space="preserve">Optimization team </t>
  </si>
  <si>
    <t xml:space="preserve">All divisions </t>
  </si>
  <si>
    <t xml:space="preserve">Digitalization Team </t>
  </si>
  <si>
    <t xml:space="preserve">U-Wise Manual Team </t>
  </si>
  <si>
    <t>All PipeSim trained Pes</t>
  </si>
  <si>
    <t>SAPED P&amp;P</t>
  </si>
  <si>
    <t>GGPED - Moataz Harbi</t>
  </si>
  <si>
    <t>GGPED - Hamad Kulaib</t>
  </si>
  <si>
    <t>GGPED - Abdullah Ghamdi &amp; SGPED - Surajit Halder</t>
  </si>
  <si>
    <t>SGPED - Ibrahim Zefzafy</t>
  </si>
  <si>
    <t>RFGPED - Muhammad Idris</t>
  </si>
  <si>
    <t>HSSE Leader &amp; SAPED HR Advisor</t>
  </si>
  <si>
    <t>SAPED DM &amp; iScope Supervisor</t>
  </si>
  <si>
    <t>Sanjiv Kumar &amp; Ramiro Cedeno</t>
  </si>
  <si>
    <t>Simeon Bolarinwa &amp; SAPED DM &amp; iScope Supervisor</t>
  </si>
  <si>
    <t>Mazen Modahi &amp; Muhammad Hajri</t>
  </si>
  <si>
    <t>Abdullah Ghamdi &amp; SAPED DM &amp; iScope suprevisor</t>
  </si>
  <si>
    <t xml:space="preserve">Continuous </t>
  </si>
  <si>
    <t>Q2 2021</t>
  </si>
  <si>
    <t>Q3 2021</t>
  </si>
  <si>
    <t>Q2 2022</t>
  </si>
  <si>
    <t>Q4 2022</t>
  </si>
  <si>
    <t>Q1 2023</t>
  </si>
  <si>
    <t>Q3 2022</t>
  </si>
  <si>
    <t>Type: Action Item / KPI</t>
  </si>
  <si>
    <t>For regular action items; this should remain "once", for KPIs; frequency should be selected accordingly.</t>
  </si>
  <si>
    <t>KPI</t>
  </si>
  <si>
    <t>Completion % (100 or current progress % if not completed)</t>
  </si>
  <si>
    <t>KPI/action item Actual vs ETC</t>
  </si>
  <si>
    <t>Status based on whether action item/KPI data have been cmopleted</t>
  </si>
  <si>
    <t>Completion 
Status
(Completed/ Not Completed)</t>
  </si>
  <si>
    <t>Completed</t>
  </si>
  <si>
    <t>Study the feasibility of Ball Sealers implementation in SAPED</t>
  </si>
  <si>
    <t>Establish an economical &amp; enviromental review for ball sealers</t>
  </si>
  <si>
    <t>Compile all raw pre-frac data and post-frac data</t>
  </si>
  <si>
    <t>Design a machine learning algorithm to read the frac data and recommend frac design</t>
  </si>
  <si>
    <t>Continuous enhancement of ML algorithm to conserve the integrity of the well</t>
  </si>
  <si>
    <t>Expand the collaboration with in-house and in-Kingdom entities to identifiy for chemical solutions</t>
  </si>
  <si>
    <t>Construct workshops to devolop  in-Kingdom fit-for-purpose frac fluid</t>
  </si>
  <si>
    <t>Study the feasibility of newly purposed frac fluids enviromentaly &amp; economically</t>
  </si>
  <si>
    <t>Explore CO2 in-Kingdom providers</t>
  </si>
  <si>
    <t>Study the practicality and  direct enviromental impact of CO2 fracking</t>
  </si>
  <si>
    <t>Initiate and complete TTR &amp; MOC for CO2 fracking (If Required)</t>
  </si>
  <si>
    <t>Innovative PE (Seawater for CT Operations)</t>
  </si>
  <si>
    <t>Evaluate the utilization Sea water in CT operations</t>
  </si>
  <si>
    <t>GGPED- Sultan Attiah</t>
  </si>
  <si>
    <t xml:space="preserve">Magnitude tracking of groundwater conservation </t>
  </si>
  <si>
    <t>Green PE (Ground water conservation)</t>
  </si>
  <si>
    <t xml:space="preserve">Evaluate the practicality and environmental impact of various desalination methods
(cost , Co2, logistics) &amp;Compare the carbon footprint of desalination vs. ground water operations </t>
  </si>
  <si>
    <t xml:space="preserve">Study the CO2 &amp; SO2 footprint of flaring vs. closed-loop system </t>
  </si>
  <si>
    <t>Evaluate the market providers for closed-loop system</t>
  </si>
  <si>
    <t xml:space="preserve">Build a model of current production network that also suggest (RTP) whenever viable </t>
  </si>
  <si>
    <t xml:space="preserve">Formulate criteria for suggesting candidates of closed-loop operations </t>
  </si>
  <si>
    <t xml:space="preserve">Nominate candidates for closed-loop system operations </t>
  </si>
  <si>
    <t>Study feasability &amp;  the reliability of alternative technologies to eliminate dismantling work</t>
  </si>
  <si>
    <t>Magnitude tracking of clamp-on metering cost saving/avoidance.</t>
  </si>
  <si>
    <t>Build a taskforce that is responsible for promoting health &amp; wellness of employees</t>
  </si>
  <si>
    <t>Distribute monthly/quarterly wellness articles published by wellness taskforce</t>
  </si>
  <si>
    <t>HSSE Leader &amp; SAPED HR Advisor &amp; wellness taskforce</t>
  </si>
  <si>
    <t xml:space="preserve">Evaluate the logistics and feasibility addition of onsite mini fitness center </t>
  </si>
  <si>
    <t xml:space="preserve">propose and faciliate department level wellness events </t>
  </si>
  <si>
    <t>Identify all related databases to ensure the functionality of ORION 4.0</t>
  </si>
  <si>
    <t>Automate the daily functions of PE to maximize efficiency</t>
  </si>
  <si>
    <t>Complete deployment of first phase of PE ORION 4.0</t>
  </si>
  <si>
    <t>Development - Completed</t>
  </si>
  <si>
    <t>Deployment - Completed</t>
  </si>
  <si>
    <t>Continous Enhancement of WELL IP system by improving the generation process and approval workflow of invoice programs - ongoing</t>
  </si>
  <si>
    <t xml:space="preserve">Introduce generation of multi-well request in WELL IP </t>
  </si>
  <si>
    <t>Assess the scope of the project</t>
  </si>
  <si>
    <t>Generate a method to categorize SAPED archived files</t>
  </si>
  <si>
    <t>Build search engine that provide all relevant data in PE advisor</t>
  </si>
  <si>
    <t xml:space="preserve">Improve the technology trial testing system and expedite the qualification process </t>
  </si>
  <si>
    <t xml:space="preserve">Deploy and Issue a standardize implementation report to ensure the execution of qualified technology in the fields </t>
  </si>
  <si>
    <t>Asses Scope of the Project</t>
  </si>
  <si>
    <t>Confirm the accuracy and availability of needed data to be assimilated in the system</t>
  </si>
  <si>
    <t xml:space="preserve">Construct intelligent models for existing wells and pipelines </t>
  </si>
  <si>
    <t>Integrate AI/ML to utilize models for analysis and diagnostic and recommend remedial work</t>
  </si>
  <si>
    <t>Set designed workflows for AI to perform diagnostic  well integrity jobs  (predictions)</t>
  </si>
  <si>
    <t>Deployment and continous improvement</t>
  </si>
  <si>
    <t>Assess Scope of the project</t>
  </si>
  <si>
    <t>Identify existing oil/gas transfer lines between GOSP’s and gas plants to optimize operations and reduce operating constraints</t>
  </si>
  <si>
    <t>Build Prosper/Gap or PIPESIM modeling dashboard for all SAOO fields network to model production and injection network. That can Identify maximum potential capacity and operating limitation.</t>
  </si>
  <si>
    <t>Evaluate all transfer capacity and update transfer capacity potential</t>
  </si>
  <si>
    <t>Deployment and continous updates to network</t>
  </si>
  <si>
    <t xml:space="preserve">Assess the scope of the project and confirm the proposed functions </t>
  </si>
  <si>
    <t>Establish a secure data pathway to the current database or build secure cloud to upload programs &amp; manuals into and launch app</t>
  </si>
  <si>
    <t>Design a KMW calculator as a part of PE mobile app</t>
  </si>
  <si>
    <t>Upload OIM’S Manuals and SOP’s into the app</t>
  </si>
  <si>
    <t>Automate dublicating issued programs (well IP &amp; conventual programs) into the secured cloud</t>
  </si>
  <si>
    <t>Q4 2021</t>
  </si>
  <si>
    <t>Q4 2023</t>
  </si>
  <si>
    <t>Q3 2023</t>
  </si>
  <si>
    <t>Q1 2022</t>
  </si>
  <si>
    <t>Q2 2023</t>
  </si>
  <si>
    <t>Q2  2022</t>
  </si>
  <si>
    <t>Q1  2023</t>
  </si>
  <si>
    <t xml:space="preserve"> Q3 2022</t>
  </si>
  <si>
    <t>Q1 2021</t>
  </si>
  <si>
    <t>KPI Target</t>
  </si>
  <si>
    <t>KPT Actual</t>
  </si>
  <si>
    <t>Performance &amp; Wellbeing</t>
  </si>
  <si>
    <t>Engagment communication</t>
  </si>
  <si>
    <r>
      <t>Coordinate</t>
    </r>
    <r>
      <rPr>
        <sz val="11"/>
        <color theme="1"/>
        <rFont val="Arial"/>
        <family val="2"/>
      </rPr>
      <t xml:space="preserve"> SAPED manager workshop with SAPED supervisors</t>
    </r>
  </si>
  <si>
    <t>Abdulaziz Shieban</t>
  </si>
  <si>
    <t>Launch the employee voice channel</t>
  </si>
  <si>
    <t>People Engagment Survey</t>
  </si>
  <si>
    <t xml:space="preserve">Launch SAPED internal survey (in Arabic and English) </t>
  </si>
  <si>
    <t>Abdulrahman Mishkhes &amp; Abdulaziz Shieban</t>
  </si>
  <si>
    <t>T&amp;D Administration &amp; Oversigh</t>
  </si>
  <si>
    <t>SAPED development program</t>
  </si>
  <si>
    <t>Develop IDP Dashboard</t>
  </si>
  <si>
    <t>SPEED Team</t>
  </si>
  <si>
    <t>Assess &amp; Benchmark developmental program</t>
  </si>
  <si>
    <t>Prepare Development program upgrade proposal</t>
  </si>
  <si>
    <t>Abdulrahman Mishkhes</t>
  </si>
  <si>
    <t>Select engagement ambassadors (Divisions and unit level)</t>
  </si>
  <si>
    <t>SAPED PD&amp;E team</t>
  </si>
  <si>
    <t>Benchmarking</t>
  </si>
  <si>
    <t>Benchmark with NGPD for their improvement in engagement</t>
  </si>
  <si>
    <t>Mohammed H. Malki</t>
  </si>
  <si>
    <t>Emergin Skillsets &amp; Talents</t>
  </si>
  <si>
    <t>AI Skillsets</t>
  </si>
  <si>
    <t>AI hub Scope</t>
  </si>
  <si>
    <t>Abdullah Ghamdi  (SAPED DM &amp; iScope suprevisor) &amp; Digtalization team</t>
  </si>
  <si>
    <t>AI Committee formulation</t>
  </si>
  <si>
    <t>Create AI Survey and get feedback</t>
  </si>
  <si>
    <t xml:space="preserve">AI (hub) </t>
  </si>
  <si>
    <t>deploy AI website and analyze and evaluate submission</t>
  </si>
  <si>
    <t>SAPED Social Meetings</t>
  </si>
  <si>
    <t>Draft process for social exchanges</t>
  </si>
  <si>
    <t>Evaluation matrix</t>
  </si>
  <si>
    <t>SAPED HR committee</t>
  </si>
  <si>
    <t>PMP goals and evaluation</t>
  </si>
  <si>
    <t>Abdulaziz Shieban and SAPED HR Committee</t>
  </si>
  <si>
    <t>Standardize evaluation scheme</t>
  </si>
  <si>
    <t xml:space="preserve">Technology and Innovation </t>
  </si>
  <si>
    <t>Formulated Technology &amp; innovation team plan</t>
  </si>
  <si>
    <t>IPDAA team</t>
  </si>
  <si>
    <t>activate technology &amp; innovation teams</t>
  </si>
  <si>
    <t>Analyze innovation submission</t>
  </si>
  <si>
    <t xml:space="preserve">completed </t>
  </si>
  <si>
    <t>IPDAA team already created</t>
  </si>
  <si>
    <t>Monthly</t>
  </si>
  <si>
    <t>Summary</t>
  </si>
  <si>
    <t>Cost Efficiency</t>
  </si>
  <si>
    <t>Cost Intelligence Hub</t>
  </si>
  <si>
    <t>Count</t>
  </si>
  <si>
    <t>Overdue</t>
  </si>
  <si>
    <t>Value Creation</t>
  </si>
  <si>
    <t>Completion %</t>
  </si>
  <si>
    <t>Fill</t>
  </si>
  <si>
    <t>End Points</t>
  </si>
  <si>
    <t>X</t>
  </si>
  <si>
    <t>Y</t>
  </si>
  <si>
    <t>Total</t>
  </si>
  <si>
    <t>Strategy</t>
  </si>
  <si>
    <t>Item</t>
  </si>
  <si>
    <t>Date</t>
  </si>
  <si>
    <t>Completion Status</t>
  </si>
  <si>
    <t>ETC</t>
  </si>
  <si>
    <t>N/A</t>
  </si>
  <si>
    <t>(blank)</t>
  </si>
  <si>
    <t>Number</t>
  </si>
  <si>
    <t>Organization</t>
  </si>
  <si>
    <t>Process</t>
  </si>
  <si>
    <t>Source</t>
  </si>
  <si>
    <t>Criteria</t>
  </si>
  <si>
    <t>Assignee</t>
  </si>
  <si>
    <t>Due Date</t>
  </si>
  <si>
    <t>History</t>
  </si>
  <si>
    <t>SAPED</t>
  </si>
  <si>
    <t>Culture Creation: Perform a Finance Workshop with key SAPED and SAWCOD members</t>
  </si>
  <si>
    <t>Plan</t>
  </si>
  <si>
    <t>Abdulmohsin, Yousif A</t>
  </si>
  <si>
    <t> Overdue</t>
  </si>
  <si>
    <t>history</t>
  </si>
  <si>
    <t>Self Assessment</t>
  </si>
  <si>
    <t>Strategy Fulfilment: Strategies Achievement Report - Finalize Report format with CST</t>
  </si>
  <si>
    <t>Ajmi, Fahad M</t>
  </si>
  <si>
    <t>Strategy Fulfilment: SAPED Annual Event - Finalize event agenda</t>
  </si>
  <si>
    <t>Strategy Fulfilment: SAPED Annual Event - Book Venue</t>
  </si>
  <si>
    <t>Production &amp; Integrity: Network Optimizer - Establish A master sheet</t>
  </si>
  <si>
    <t>Khunaizi, Mohammed N</t>
  </si>
  <si>
    <t>Value Creation: Conduct Cost Benefit Analysis (CBA) for 2022 SAPED</t>
  </si>
  <si>
    <t>Sabeela, Yousef I</t>
  </si>
  <si>
    <t>Value Creation: Perform a Revenue Generation (RG) Analysis for Oil &amp; Gas Gains.</t>
  </si>
  <si>
    <t>Strategy Fulfilment: Strategies Achievement Report - Identify Reported items for our strategy</t>
  </si>
  <si>
    <t> In Progress</t>
  </si>
  <si>
    <t>Strategy Fulfilment: SAPED Annual Event - Confirm event date &amp; Location</t>
  </si>
  <si>
    <t>culture shift trigger: SAPED facts - "SAPED facts" general template</t>
  </si>
  <si>
    <t>Aldughaither, Abdulaziz E</t>
  </si>
  <si>
    <t>culture shift trigger: SAPED facts - send to SAPED all as a Flyer</t>
  </si>
  <si>
    <t>culture shift trigger: SAPED facts - Create a QR code to illustrate “SAPED overview”</t>
  </si>
  <si>
    <t>culture shift trigger: Wall of Fame - Create a QR Code</t>
  </si>
  <si>
    <t>culture shift trigger: SAPED facts - Collect facts &amp; technical data</t>
  </si>
  <si>
    <t>culture shift trigger: SAPED facts - Filter collected facts</t>
  </si>
  <si>
    <t>culture shift trigger: Wall of Fame - Work with office services to assign location</t>
  </si>
  <si>
    <t>culture shift trigger: Wall of Fame - Selection Criteria</t>
  </si>
  <si>
    <t>Environmental Stewardship: Zero Flaring - Establish a strategy of ‘reduce-eliminate’ non-fracturing</t>
  </si>
  <si>
    <t>Alharbi, Ayman N</t>
  </si>
  <si>
    <t>Environmental Stewardship: Operational Efficiency Enablers - Quantify CO2 emission</t>
  </si>
  <si>
    <t>Value Creation: Prepare and issue monthly SAPED Financial Flyer.</t>
  </si>
  <si>
    <t>Almannai, Mohammed N</t>
  </si>
  <si>
    <t>Strategy Fulfilment: SAPED SHAREK - update mission &amp; vision and other taps</t>
  </si>
  <si>
    <t>Abubakralmulla, Aishah A</t>
  </si>
  <si>
    <t>Strategy Fulfilment: SAPED SHAREK- Update SAPED strategy section</t>
  </si>
  <si>
    <t>culture shift trigger: Media &amp; Tracking - Set submission targets (for SAPED)</t>
  </si>
  <si>
    <t>Almuaibid, Abdulrahman F</t>
  </si>
  <si>
    <t>culture shift trigger: Media &amp; Tracking - Capitalize on existing SAPED publications &amp; media</t>
  </si>
  <si>
    <t>culture shift trigger: SAPED facts - Creating a Template</t>
  </si>
  <si>
    <t>culture shift trigger: Media &amp; Tracking - Ensuring that the review of governing documents</t>
  </si>
  <si>
    <t>culture shift trigger: SAPED facts - A bank of facts must be generated and stored</t>
  </si>
  <si>
    <t>culture shift trigger: Media &amp; Tracking - Standardizing and advertising for the use of publication</t>
  </si>
  <si>
    <t>Environmental Stewardship: SeaWater Intervention - rigless operation activities</t>
  </si>
  <si>
    <t>Alnaim, Mohammed F</t>
  </si>
  <si>
    <t>Exposure/Footprint: Knowledge Exchange Event/Forum - Create invitation Template</t>
  </si>
  <si>
    <t>Alsunnary, Khaled J</t>
  </si>
  <si>
    <t>Exposure/Footprint: Award Participation - Create Announcement Template for All Awards</t>
  </si>
  <si>
    <t>Exposure/Footprint: Knowledge Exchange Event/Forum - Update the KPI once events are identified</t>
  </si>
  <si>
    <t>Exposure/Footprint: Outreach Program - Identify and distribute outreach Events for 2023</t>
  </si>
  <si>
    <t>Exposure/Footprint: Knowledge Exchange Event/Forum - Identify Events for 2023</t>
  </si>
  <si>
    <t>Exposure/Footprint: Conducting Industrial Visits - Create Template for Industrial Events</t>
  </si>
  <si>
    <t>Exposure/Footprint: Award Participation - Create Announcement Template for Winning Awards</t>
  </si>
  <si>
    <t>Exposure/Footprint: Knowledge Exchange Event/Forum - Create Semi-Annual Announcement Template</t>
  </si>
  <si>
    <t>Exposure/Footprint: Knowledge Exchange Event/Forum - Identify Semi-Annual forum for 2023</t>
  </si>
  <si>
    <t>Exposure/Footprint: Outreach Program - Identify SAPED outreach participants for 2023</t>
  </si>
  <si>
    <t>Exposure/Footprint: Conducting Industrial Visits - Identify Events for 2023</t>
  </si>
  <si>
    <t>Exposure/Footprint: Conducting Industrial Visits - Update the KPI once events are identified</t>
  </si>
  <si>
    <t>Exposure/Footprint: Outreach Program - Update the KPI and action items once events are identified</t>
  </si>
  <si>
    <t>Environmental Stewardship: Reduced Ground Water Fracturing - Finalize the feasibility review</t>
  </si>
  <si>
    <t>Daghriri, Majed H</t>
  </si>
  <si>
    <t>Environmental Stewardship: Reduced Ground Water Fracturing - Tracking</t>
  </si>
  <si>
    <t>Strategy Fulfilment: SAPED SHAREK - update Manager message</t>
  </si>
  <si>
    <t>Dhahrani, Fatimah H</t>
  </si>
  <si>
    <t>T&amp;D Administration &amp; Talents Oversight: Fit-for-Purpose Development Programs - 1</t>
  </si>
  <si>
    <t>Ghanmi, Ahmed A</t>
  </si>
  <si>
    <t>T&amp;D Administration &amp; Talents Oversight: Fit-for-Purpose Development Programs - 2</t>
  </si>
  <si>
    <t>T&amp;D Administration &amp; Talents Oversight: Skillset Evaluation &amp; Expansion - 1</t>
  </si>
  <si>
    <t>T&amp;D Administration &amp; Talents Oversight: Centralized Governance and Monitoring Entity - 3</t>
  </si>
  <si>
    <t>T&amp;D Administration &amp; Talents Oversight: Leadership Development Enhancement - 1</t>
  </si>
  <si>
    <t>T&amp;D Administration &amp; Talents Oversight: Skillset Evaluation &amp; Expansion - 2</t>
  </si>
  <si>
    <t>T&amp;D Administration &amp; Talents Oversight: Leadership Development Enhancement - 2</t>
  </si>
  <si>
    <t>T&amp;D Administration &amp; Talents Oversight: Centralized Governance and Monitoring Entity - 1</t>
  </si>
  <si>
    <t>T&amp;D Administration &amp; Talents Oversight: Training Resources oversight - 1</t>
  </si>
  <si>
    <t>T&amp;D Administration &amp; Talents Oversight: Centralized Governance and Monitoring Entity - 2</t>
  </si>
  <si>
    <t>T&amp;D Administration &amp; Talents Oversight: Continues Improvement - Conduct benchmarking</t>
  </si>
  <si>
    <t>T&amp;D Administration &amp; Talents Oversight: Continues Improvement - Review the yearly strategy roadmap</t>
  </si>
  <si>
    <t>Employee Performance &amp; Engagement: Employee Engagement Venues - 2</t>
  </si>
  <si>
    <t>Mishkhes, Abdulrahman T</t>
  </si>
  <si>
    <t>Employee Performance &amp; Engagement: Performance Dialog Meeting Quality Enrichment - 4</t>
  </si>
  <si>
    <t>Employee Performance &amp; Engagement: SAPED HR Outreach Program - 1</t>
  </si>
  <si>
    <t>Employee Performance &amp; Engagement: SAPED HR Outreach Program - 2</t>
  </si>
  <si>
    <t>Employee Performance &amp; Engagement: Performance Dialog Meeting Quality Enrichment - 3</t>
  </si>
  <si>
    <t>Employee Performance &amp; Engagement: Performance Dialog Meeting Quality Enrichment - 1</t>
  </si>
  <si>
    <t>Employee Performance &amp; Engagement: Performance Dialog Meeting Quality Enrichment - 2</t>
  </si>
  <si>
    <t>Employee Performance &amp; Engagement: Employee Engagement Venues - 1</t>
  </si>
  <si>
    <t>Cost Intelligent Hub: Develop Data Analysis Model for DCC, BIs, Contingency jobs</t>
  </si>
  <si>
    <t>Mousa, Ahmad M</t>
  </si>
  <si>
    <t>Employee Wellbeing: SAPED Wellbeing Program - 2</t>
  </si>
  <si>
    <t>Mukhles, Amro E.</t>
  </si>
  <si>
    <t>Employee Wellbeing: SAPED Wellbeing Program - 1</t>
  </si>
  <si>
    <t>Employee Wellbeing: Your Voice Counts; SAPED Cares</t>
  </si>
  <si>
    <t>Environmental Stewardship: Artificial Operations - Develop CT advisor</t>
  </si>
  <si>
    <t>Mukhtar, Mohammed A</t>
  </si>
  <si>
    <t>Environmental Stewardship: Artificial Operations - Develop Fishing Advisor</t>
  </si>
  <si>
    <t>Environmental Stewardship: Artificial Operations - Develop Proppant &amp; Fluids Advisors</t>
  </si>
  <si>
    <t>Environmental Stewardship: Artificial Operations - Develop Frac Database</t>
  </si>
  <si>
    <t>Production Optimization: (PEACE) SBHP estimation / Critical rate estimation/ Field rate estimation</t>
  </si>
  <si>
    <t>Omran, Mohammad R</t>
  </si>
  <si>
    <t>Data Validity/Reliability: Real-time Plants allocation (2023)</t>
  </si>
  <si>
    <t>Production Optimization: Frac database (2023)</t>
  </si>
  <si>
    <t>Production Optimization: ESP Advisory system (2023)</t>
  </si>
  <si>
    <t>Administrative Compliance Tools: Production Engineering Data Compliance Engine Passing Valves (2023)</t>
  </si>
  <si>
    <t>Remote Assistance &amp; Virtual: AR/VR Applications (2023)</t>
  </si>
  <si>
    <t>Production Optimization: (PEACE) AI/ML Well Rate Validation</t>
  </si>
  <si>
    <t>Sultan, Abdulaziz A (SAPED)</t>
  </si>
  <si>
    <t>Administrative Compliance Tools: Automation of Access Authority ( RBAC) ( 2022)</t>
  </si>
  <si>
    <t>Administrative Compliance Tools: Oil Target Process</t>
  </si>
  <si>
    <t>Administrative Compliance Tools: target automation</t>
  </si>
  <si>
    <t>Remote Assistance &amp; Virtual: Broadband Equipment Installation for SAWCOD Sites (2022)</t>
  </si>
  <si>
    <t>Well Integrity Assurance: Corrosion Control and Advisory system (enhancement)</t>
  </si>
  <si>
    <t>Administrative Compliance Tools: Avails Enhancement (2022)</t>
  </si>
  <si>
    <t>Remote Assistance &amp; Virtual: Remote Job Witnessing (2022)</t>
  </si>
  <si>
    <t>Well Integrity Assurance: Real time Well Integrity Identification -- Annuli Orion</t>
  </si>
  <si>
    <t>Production Optimization: Gas Lift Monitoring &amp; Optimization - PEACE (2022)</t>
  </si>
  <si>
    <t>Well Integrity Assurance: Real time visualization and downhole leak</t>
  </si>
  <si>
    <t>Production Optimization: Multi-phase virtual Metering and Prediction (2022)</t>
  </si>
  <si>
    <t>Production Optimization: (PEACE) Smart Wells Production Optimization</t>
  </si>
  <si>
    <t>Production Optimization: PI/II estimation/ ESP optimization ......</t>
  </si>
  <si>
    <t>Administrative Compliance Tools: Well IP Enhancement</t>
  </si>
  <si>
    <t>Data Validity/Reliability: Orion 4.0</t>
  </si>
  <si>
    <t>Strategy Fulfilment: Strategies Achievement Report - Contact Strategy to highlight their achievement</t>
  </si>
  <si>
    <t> Not Started</t>
  </si>
  <si>
    <t>Strategy Fulfilment: Strategies Achievement Report - Issue Chapter</t>
  </si>
  <si>
    <t>Strategy Fulfilment: SAPED Annual Event</t>
  </si>
  <si>
    <t>Strategy Fulfilment: SAPED Annual Event - Host Event</t>
  </si>
  <si>
    <t>Strategy Fulfilment: SAPED Annual Event - Announce Event</t>
  </si>
  <si>
    <t>Strategy Fulfilment: SAPED Annual Event - Confirm VIP List</t>
  </si>
  <si>
    <t>Strategy Fulfilment: Tracking Dashboard - Monitor Tracking dashboard for the strategies</t>
  </si>
  <si>
    <t>Strategy Fulfilment: Strategies Achievement Report - implement chapter into SAPED Book</t>
  </si>
  <si>
    <t>Strategy Fulfilment: SAPED Annual Event - Dry run with presenters</t>
  </si>
  <si>
    <t>Strategy Fulfilment: Strategies Achievement Report - Finalize chapter</t>
  </si>
  <si>
    <t>Strategy Fulfilment: SAPED Annual Event - contact Ithra for Entertainment section</t>
  </si>
  <si>
    <t>Strategy Fulfilment: SAPED Annual Event - contact catering companies</t>
  </si>
  <si>
    <t>Strategy Fulfilment: SAPED Annual Event - select guest speaker and send invitation letters</t>
  </si>
  <si>
    <t>Strategy Fulfilment: SAPED Annual Event - Gifts/Awards selection through vendor bidding</t>
  </si>
  <si>
    <t>Strategy Fulfilment: SAPED Annual Event - Finalize overall cost</t>
  </si>
  <si>
    <t>Strategy Fulfilment: SAPED Annual Event - send letter to VIP's</t>
  </si>
  <si>
    <t>Strategy Fulfilment: SAPED Annual Event - contact vendors for photographer &amp; video personnel</t>
  </si>
  <si>
    <t>Environmental Stewardship: Operational Efficiency Enablers - Determine the reduction in CO2 emission</t>
  </si>
  <si>
    <t>Environmental Stewardship: Operational Efficiency Enablers - Improve efficiency multi-lateral access</t>
  </si>
  <si>
    <t>Environmental Stewardship: Zero Flaring - Amend existing SOPs</t>
  </si>
  <si>
    <t>Environmental Stewardship: Operational Efficiency Enablers - Evaluate the market for Ball Sealers</t>
  </si>
  <si>
    <t>Environmental Stewardship: Operational Efficiency Enablers - Explore Innovative Ideas</t>
  </si>
  <si>
    <t>Environmental Stewardship: Zero Flaring - ‘reduce-eliminate’ flaring for all fracturing operations</t>
  </si>
  <si>
    <t>Environmental Stewardship: Zero Flaring - assessment of logical and economic viability</t>
  </si>
  <si>
    <t>Environmental Stewardship: SeaWater Intervention - Evaluate water for CT</t>
  </si>
  <si>
    <t>Environmental Stewardship: SeaWater Intervention - Quantify Ground water Savings.</t>
  </si>
  <si>
    <t>Environmental Stewardship: SeaWater Intervention - Reflect seawater in PE issued programs.</t>
  </si>
  <si>
    <t>Environmental Stewardship: Reduced Ground Water Fracturing - Publication &amp; Sharing</t>
  </si>
  <si>
    <t>Environmental Stewardship: Reduced Ground Water Fracturing - Forecasting</t>
  </si>
  <si>
    <t>Strategy Fulfilment: SAPED Annual Event - prepare manager script</t>
  </si>
  <si>
    <t>Production &amp; Integrity: Network Optimizer - maintain model</t>
  </si>
  <si>
    <t>Production &amp; Integrity: Network Optimizer - Identify transfer lines</t>
  </si>
  <si>
    <t>Production &amp; Integrity: Network Optimizer - Utilize model</t>
  </si>
  <si>
    <t>Production Optimization: Bubble point monitoring (PEACE) 2023</t>
  </si>
  <si>
    <t>Production Optimization: Field potential estimation / Bottleneck identification (PEACE)- 2024</t>
  </si>
  <si>
    <t>Administrative Compliance Tools: Production Engineering Data Compliance Engine Well Status (2023)</t>
  </si>
  <si>
    <t>Well Integrity Assurance: Synthetic Corrosion Log Phase-2 (2023)</t>
  </si>
  <si>
    <t>Administrative Compliance Tools: Live EWAM &amp; WDB Integration (2023)</t>
  </si>
  <si>
    <t>Production Optimization: PI/II Candidate Evaluator (2024)</t>
  </si>
  <si>
    <t>Well Integrity Assurance: Scale prediction or tendency (2023)</t>
  </si>
  <si>
    <t>Administrative Compliance Tools: Production Engineering Data Compliance Engine WIWL (2023)</t>
  </si>
  <si>
    <t>Production Optimization: (PEACE) Well Rate Allocation (2023)</t>
  </si>
  <si>
    <t>Administrative Compliance Tools: WDB Activities Automation Project Remove Duplicate Activities</t>
  </si>
  <si>
    <t>Well Integrity Assurance: WIWL Corrective Actions Advisor (2023)</t>
  </si>
  <si>
    <t>Value Creation: Prepare and issue quarterly SAPED Cost Efficiency Report.</t>
  </si>
  <si>
    <t>Alameer, Mohammed A</t>
  </si>
  <si>
    <t> Complete</t>
  </si>
  <si>
    <t>Environmental Stewardship: Zero Flaring - Assessment of current flaring</t>
  </si>
  <si>
    <t>Culture Creation: Tailor a Finance Workshop for SAPED all to spread out the financial awareness</t>
  </si>
  <si>
    <t>Khamees, Abdullah J</t>
  </si>
  <si>
    <t>Culture Creation: Explore a Finance Course to be taken by SAPED All to enhance the financial culture</t>
  </si>
  <si>
    <t>Alkhaldi, Abdullah M</t>
  </si>
  <si>
    <t>Cost Intelligent Hub: Develop best practices for SAPED contingency jobs</t>
  </si>
  <si>
    <t>Value Creation: Develop and lay down the CES foundations.</t>
  </si>
  <si>
    <t>Cost Intelligent Hub: Run a Financial Survey for SAPED All</t>
  </si>
  <si>
    <t>Value Creation: Run a Financial Survey for SAPED to identify further cost efficiency practices.</t>
  </si>
  <si>
    <t>Culture Creation: Include a main competency goal for SAPED All with 10% of 2022 overall PMP goals.</t>
  </si>
  <si>
    <t>Value Creation: Develop &amp; reap benefits of CES PM</t>
  </si>
  <si>
    <t>Value Creation: Conduct Cost Benefit Analysis (CBA) for 2022 SAOO GOSPs’</t>
  </si>
  <si>
    <t>Environmental Stewardship: Reduced Ground Water Fracturing - Tabulation</t>
  </si>
  <si>
    <t>Strategy Fulfilment: Tracking Dashboard - Implement prototype into OE system</t>
  </si>
  <si>
    <t> Closed</t>
  </si>
  <si>
    <t>Strategy Fulfilment: Tracking Dashboard - upload all action items for all strategies</t>
  </si>
  <si>
    <t>Strategy Fulfilment: Tracking Dashboard - inform SAPED Strategy</t>
  </si>
  <si>
    <t>Administrative Compliance Tools: Compliance Engine Missing Well Intervention Data</t>
  </si>
  <si>
    <t>Well Integrity Assurance: Smart Survey Validation ( Annuli Survey)</t>
  </si>
  <si>
    <t>Data Validity/Reliability: MPFM performance monitoring</t>
  </si>
  <si>
    <t>Well Integrity Assurance: Smart Survey Validation ( Temp Survey)</t>
  </si>
  <si>
    <t>Remote Assistance &amp; Virtual: Adoption of Virtual Video Conferencing in iSCOPE (2021)</t>
  </si>
  <si>
    <t>Administrative Compliance Tools: SAOO I-Field Equipment Tracking &amp; Management Dashboard</t>
  </si>
  <si>
    <t>Well Integrity Assurance: TCA Refill Tracking System (2021)</t>
  </si>
  <si>
    <t>Remote Assistance &amp; Virtual: Smart Helmet (2022)</t>
  </si>
  <si>
    <t>Production Optimization: MIDAS (2021)</t>
  </si>
  <si>
    <t>Administrative Compliance Tools: Business Value Dashboard (2021)</t>
  </si>
  <si>
    <t>Production Optimization: Well Network Modeling ( Sea Water Injection Monitoring Model )</t>
  </si>
  <si>
    <t>Well Integrity Assurance: Risk ranking (enhancement)</t>
  </si>
  <si>
    <t>Administrative Compliance Tools: Autonomous ESP (2022)</t>
  </si>
  <si>
    <t>Well Integrity Assurance: Smart Survey Validation ( SBHP Validation)</t>
  </si>
  <si>
    <t>Well Integrity Assurance: Rig less Intervention Candidate Evaluator (RICE) ( Annuli Integrity)</t>
  </si>
  <si>
    <t>Administrative Compliance Tools: Production Engineering Data Compliance Engine Frequencies ( SWIFT)</t>
  </si>
  <si>
    <t>Administrative Compliance Tools: Well Custodianship Transfer</t>
  </si>
  <si>
    <t>Well Integrity Assurance: Downhole leak detection</t>
  </si>
  <si>
    <t>Data Validity/Reliability: Advanced Real-Time Data Monitoring &amp; Quality Assurance</t>
  </si>
  <si>
    <t>Administrative Compliance Tools: WOCP Enhancement</t>
  </si>
  <si>
    <t>Administrative Compliance Tools: Production Engineering Data Compliance Engine Zero TCA</t>
  </si>
  <si>
    <t>Administrative Compliance Tools: Production Engineering Data Compliance Engine Risk Ranking</t>
  </si>
  <si>
    <t>Production Optimization: Well Network Modeling ( Kh &amp; CA PIPESIM 2021)</t>
  </si>
  <si>
    <t>Production Optimization: Well Health Index (2021)</t>
  </si>
  <si>
    <t>Administrative Compliance Tools: EWAM</t>
  </si>
  <si>
    <t>Production Optimization: Rig less Intervention Candidate Evaluator (RICE) SIS</t>
  </si>
  <si>
    <t>Remote Assistance &amp; Virtual: Installing V-SAT in UDH South Admin Building (2021)</t>
  </si>
  <si>
    <t>Administrative Compliance Tools: SWATS Authority Compliance</t>
  </si>
  <si>
    <t>Well Integrity Assurance: Smart Survey Validation ( WHIT/ WHGR Survey)</t>
  </si>
  <si>
    <t>Data Validity/Reliability: Well Operating Status Prediction (2021)</t>
  </si>
  <si>
    <t>Administrative Compliance Tools: Production Engineering Data Compliance Engine Locked Potential</t>
  </si>
  <si>
    <t>Data Validity/Reliability: ICV Data Management (data, gain,etc) (2022)</t>
  </si>
  <si>
    <t>Well Integrity Assurance: Synthetic Corrosion Log Phase-1 (2021)</t>
  </si>
  <si>
    <t>Production Optimization: Intelligent decision excellence application (iDeXA)</t>
  </si>
  <si>
    <t>Administrative Compliance Tools: SAPED MOC Dashboard v1</t>
  </si>
  <si>
    <t>Well Integrity Assurance: Rig less Intervention Candidate Evaluator (RICE) ( TCA Refiling)</t>
  </si>
  <si>
    <t>Administrative Compliance Tools: WDB Activities Automation Project</t>
  </si>
  <si>
    <t>Data Validity/Reliability: ICD Data Management (2021)</t>
  </si>
  <si>
    <t>Production Optimization: ESP Failure Prediction (2021)</t>
  </si>
  <si>
    <t>Administrative Compliance Tools: WDB Activities Automation Project Validity Change Request</t>
  </si>
  <si>
    <t>Production Optimization: (RICE) Acid Stimulation Candidate</t>
  </si>
  <si>
    <t>Well Integrity Assurance: MIT Logs Capturing</t>
  </si>
  <si>
    <t>Strategy Fulfilment: Tracking Dashboard - Finalize Tracking Formatting and prototype</t>
  </si>
  <si>
    <t>Althawaiqib, Sarah A</t>
  </si>
  <si>
    <t>Production Optimization</t>
  </si>
  <si>
    <t>Administrative Compliance Tools</t>
  </si>
  <si>
    <t>Remote Assistance &amp; Virtual</t>
  </si>
  <si>
    <t>Data Validity/Reliability</t>
  </si>
  <si>
    <t>Well Integrity Assurance</t>
  </si>
  <si>
    <t>Production &amp; Integrity</t>
  </si>
  <si>
    <t>Environmental Stewardship</t>
  </si>
  <si>
    <t>Employee Performance &amp; Engagement</t>
  </si>
  <si>
    <t>Employee Wellbeing</t>
  </si>
  <si>
    <t>Closed</t>
  </si>
  <si>
    <t>In-Progress</t>
  </si>
  <si>
    <t>Not-Started</t>
  </si>
  <si>
    <t>Completed (Not Verified)</t>
  </si>
  <si>
    <t>7.1 Cost Efficiency Strategy</t>
  </si>
  <si>
    <t>Other</t>
  </si>
  <si>
    <t>7.1 Digitization Strategy</t>
  </si>
  <si>
    <t>7.1 Re-Branding Strategy</t>
  </si>
  <si>
    <t>Project : Well IP Enhancement</t>
  </si>
  <si>
    <t>7.1 Sustainability Strategy</t>
  </si>
  <si>
    <t>7.1 People Development &amp; Engagement Strategy</t>
  </si>
  <si>
    <t>Well Integrity Assurance: Well-head tree valve Failure Prediction (2024)</t>
  </si>
  <si>
    <t>project: WOCP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</si>
</sst>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theme="1" tint="0.3499862666707357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Trebuchet MS"/>
      <family val="2"/>
    </font>
    <font>
      <sz val="11"/>
      <color theme="1" tint="0.249977111117893"/>
      <name val="Trebuchet MS"/>
      <family val="2"/>
    </font>
    <font>
      <sz val="11"/>
      <color theme="1"/>
      <name val="Trebuchet MS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center" vertical="center" wrapText="1"/>
    </xf>
    <xf numFmtId="16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1" fontId="14" fillId="7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9" fillId="2" borderId="3" xfId="1" applyFont="1" applyFill="1" applyBorder="1" applyAlignment="1">
      <alignment horizontal="center" vertical="center" wrapText="1"/>
    </xf>
    <xf numFmtId="9" fontId="13" fillId="0" borderId="0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9" fontId="11" fillId="8" borderId="3" xfId="1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vertical="center" wrapText="1"/>
    </xf>
    <xf numFmtId="1" fontId="0" fillId="9" borderId="10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1" fontId="0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0" fillId="10" borderId="0" xfId="0" applyFill="1" applyBorder="1" applyAlignment="1">
      <alignment vertical="center" wrapText="1"/>
    </xf>
    <xf numFmtId="1" fontId="0" fillId="10" borderId="0" xfId="0" applyNumberForma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16" fillId="10" borderId="0" xfId="0" applyFont="1" applyFill="1" applyBorder="1" applyAlignment="1">
      <alignment horizontal="center" vertical="center"/>
    </xf>
    <xf numFmtId="1" fontId="16" fillId="10" borderId="0" xfId="0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4" fontId="0" fillId="10" borderId="0" xfId="0" applyNumberFormat="1" applyFill="1" applyBorder="1" applyAlignment="1">
      <alignment horizontal="center" vertical="center"/>
    </xf>
    <xf numFmtId="9" fontId="13" fillId="10" borderId="0" xfId="1" applyFont="1" applyFill="1" applyBorder="1" applyAlignment="1">
      <alignment horizontal="center" vertical="center" wrapText="1"/>
    </xf>
    <xf numFmtId="0" fontId="13" fillId="10" borderId="0" xfId="0" applyFont="1" applyFill="1" applyBorder="1" applyAlignment="1">
      <alignment horizontal="center" vertical="center" wrapText="1"/>
    </xf>
    <xf numFmtId="14" fontId="13" fillId="10" borderId="0" xfId="0" applyNumberFormat="1" applyFont="1" applyFill="1" applyBorder="1" applyAlignment="1">
      <alignment horizontal="center" vertical="center" wrapText="1"/>
    </xf>
    <xf numFmtId="16" fontId="13" fillId="10" borderId="0" xfId="0" applyNumberFormat="1" applyFont="1" applyFill="1" applyBorder="1" applyAlignment="1">
      <alignment horizontal="center" vertical="center" wrapText="1"/>
    </xf>
    <xf numFmtId="0" fontId="13" fillId="10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1" fontId="0" fillId="4" borderId="0" xfId="0" applyNumberForma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9" fontId="13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14" fontId="13" fillId="4" borderId="0" xfId="0" applyNumberFormat="1" applyFont="1" applyFill="1" applyBorder="1" applyAlignment="1">
      <alignment horizontal="center" vertical="center" wrapText="1"/>
    </xf>
    <xf numFmtId="16" fontId="13" fillId="4" borderId="0" xfId="0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12" fillId="12" borderId="0" xfId="0" applyFont="1" applyFill="1"/>
    <xf numFmtId="0" fontId="18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/>
    <xf numFmtId="9" fontId="0" fillId="0" borderId="0" xfId="1" applyFont="1"/>
    <xf numFmtId="9" fontId="12" fillId="12" borderId="0" xfId="1" applyFont="1" applyFill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0" fillId="14" borderId="0" xfId="0" applyFill="1" applyAlignment="1">
      <alignment horizontal="left"/>
    </xf>
    <xf numFmtId="0" fontId="12" fillId="12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 applyFont="1"/>
    <xf numFmtId="0" fontId="0" fillId="0" borderId="0" xfId="0" applyFont="1" applyFill="1"/>
    <xf numFmtId="0" fontId="20" fillId="16" borderId="0" xfId="0" applyFont="1" applyFill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0" fillId="17" borderId="0" xfId="0" applyFill="1"/>
    <xf numFmtId="0" fontId="0" fillId="15" borderId="0" xfId="0" applyFill="1"/>
    <xf numFmtId="14" fontId="0" fillId="17" borderId="0" xfId="0" applyNumberFormat="1" applyFill="1"/>
    <xf numFmtId="14" fontId="0" fillId="15" borderId="0" xfId="0" applyNumberFormat="1" applyFill="1"/>
    <xf numFmtId="0" fontId="0" fillId="15" borderId="0" xfId="0" applyFill="1" applyAlignment="1">
      <alignment vertical="center"/>
    </xf>
    <xf numFmtId="0" fontId="2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vertical="center"/>
    </xf>
    <xf numFmtId="14" fontId="2" fillId="11" borderId="0" xfId="0" applyNumberFormat="1" applyFont="1" applyFill="1" applyAlignment="1">
      <alignment vertical="center"/>
    </xf>
    <xf numFmtId="14" fontId="0" fillId="0" borderId="0" xfId="0" applyNumberFormat="1" applyFill="1"/>
    <xf numFmtId="0" fontId="0" fillId="0" borderId="0" xfId="0" applyFill="1" applyAlignment="1">
      <alignment vertical="center"/>
    </xf>
    <xf numFmtId="0" fontId="0" fillId="18" borderId="0" xfId="0" applyFill="1" applyAlignment="1">
      <alignment vertical="center"/>
    </xf>
    <xf numFmtId="14" fontId="0" fillId="18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1" applyNumberFormat="1" applyFont="1"/>
    <xf numFmtId="0" fontId="12" fillId="0" borderId="0" xfId="0" applyFont="1" applyFill="1" applyAlignment="1">
      <alignment vertical="center"/>
    </xf>
    <xf numFmtId="14" fontId="12" fillId="0" borderId="0" xfId="0" applyNumberFormat="1" applyFont="1" applyFill="1" applyAlignment="1">
      <alignment vertical="center"/>
    </xf>
    <xf numFmtId="0" fontId="12" fillId="15" borderId="0" xfId="0" applyFont="1" applyFill="1" applyAlignment="1">
      <alignment vertical="center"/>
    </xf>
    <xf numFmtId="14" fontId="12" fillId="15" borderId="0" xfId="0" applyNumberFormat="1" applyFont="1" applyFill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11" fillId="7" borderId="0" xfId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/>
    </xf>
    <xf numFmtId="0" fontId="12" fillId="14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61"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rebuchet MS"/>
        <family val="2"/>
        <scheme val="none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name val="Trebuchet M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rebuchet MS"/>
        <family val="2"/>
        <scheme val="none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26A8AB"/>
      <color rgb="FF33CCFF"/>
      <color rgb="FFFFE2CE"/>
      <color rgb="FFF68B32"/>
      <color rgb="FF008A3E"/>
      <color rgb="FF00682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6E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8-4C2B-9F33-C0C030562882}"/>
              </c:ext>
            </c:extLst>
          </c:dPt>
          <c:dPt>
            <c:idx val="1"/>
            <c:bubble3D val="0"/>
            <c:spPr>
              <a:solidFill>
                <a:srgbClr val="FFE2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8-4C2B-9F33-C0C030562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Tracker!$B$5:$B$6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8-4C2B-9F33-C0C03056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8-406C-953C-1CD0BFB37AFB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12700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8-406C-953C-1CD0BFB37AFB}"/>
              </c:ext>
            </c:extLst>
          </c:dPt>
          <c:val>
            <c:numRef>
              <c:f>Data!$V$13:$W$13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8-406C-953C-1CD0BFB3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Data!$X$12:$X$13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Data!$Y$12:$Y$13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8-406C-953C-1CD0BFB3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2-43EE-84EA-1E0A91F1B93C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2-43EE-84EA-1E0A91F1B93C}"/>
              </c:ext>
            </c:extLst>
          </c:dPt>
          <c:val>
            <c:numRef>
              <c:f>Data!$V$17:$W$17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2-43EE-84EA-1E0A91F1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Data!$X$15:$X$16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Data!$Y$15:$Y$16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2-43EE-84EA-1E0A91F1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Re-Branding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E-4B4D-A6A2-C029427238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E-4B4D-A6A2-C029427238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DE-4B4D-A6A2-C029427238E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DE-4B4D-A6A2-C029427238E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BB-45C9-B420-620FCEFBC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Data!$Q$2:$U$2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DE-4B4D-A6A2-C02942723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Data!$M$6</c:f>
              <c:strCache>
                <c:ptCount val="1"/>
                <c:pt idx="0">
                  <c:v>Cost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E-4289-A713-49C7E913F4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E-4289-A713-49C7E913F4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E-4289-A713-49C7E913F4A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E-4289-A713-49C7E913F4A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47-4B49-8C58-B76CCEE94B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Data!$Q$6:$U$6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3E-4289-A713-49C7E913F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Data!$M$10</c:f>
              <c:strCache>
                <c:ptCount val="1"/>
                <c:pt idx="0">
                  <c:v>Sustainability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2-4074-8AD3-794E9EA4E6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2-4074-8AD3-794E9EA4E6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82-4074-8AD3-794E9EA4E63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2-4074-8AD3-794E9EA4E63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4E-48CF-97A7-BF07194E3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Data!$Q$10:$U$10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2-4074-8AD3-794E9EA4E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Data!$M$13</c:f>
              <c:strCache>
                <c:ptCount val="1"/>
                <c:pt idx="0">
                  <c:v>People development and Engagment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6-40F7-A5C7-6A8358427E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6-40F7-A5C7-6A8358427E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6-40F7-A5C7-6A8358427E5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6-40F7-A5C7-6A8358427E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Data!$Q$13:$U$13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6-40F7-A5C7-6A8358427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Data!$M$17</c:f>
              <c:strCache>
                <c:ptCount val="1"/>
                <c:pt idx="0">
                  <c:v>Digitization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9B-4675-A211-AF91B097B7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B-4675-A211-AF91B097B7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9B-4675-A211-AF91B097B70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9B-4675-A211-AF91B097B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Data!$Q$17:$U$17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B-4675-A211-AF91B097B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E-43EC-A8DF-4F0E807E4E48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12700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E-43EC-A8DF-4F0E807E4E48}"/>
              </c:ext>
            </c:extLst>
          </c:dPt>
          <c:val>
            <c:numRef>
              <c:f>Data!$V$2:$W$2</c:f>
              <c:numCache>
                <c:formatCode>0%</c:formatCode>
                <c:ptCount val="2"/>
                <c:pt idx="0">
                  <c:v>0.92982456140350878</c:v>
                </c:pt>
                <c:pt idx="1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E-43EC-A8DF-4F0E807E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Data!$X$3:$X$4</c:f>
              <c:numCache>
                <c:formatCode>General</c:formatCode>
                <c:ptCount val="2"/>
                <c:pt idx="0">
                  <c:v>0</c:v>
                </c:pt>
                <c:pt idx="1">
                  <c:v>-0.42677643549640359</c:v>
                </c:pt>
              </c:numCache>
            </c:numRef>
          </c:xVal>
          <c:yVal>
            <c:numRef>
              <c:f>Data!$Y$3:$Y$4</c:f>
              <c:numCache>
                <c:formatCode>General</c:formatCode>
                <c:ptCount val="2"/>
                <c:pt idx="0">
                  <c:v>1</c:v>
                </c:pt>
                <c:pt idx="1">
                  <c:v>0.90435716069757754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3E-43EC-A8DF-4F0E807E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SAPED Strategic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Re-Branding</a:t>
            </a:r>
            <a:r>
              <a:rPr lang="en-US" sz="1400" b="1" i="0" u="none" strike="noStrike" baseline="0"/>
              <a:t> Timeline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412678407026492"/>
          <c:y val="0.14734598886424857"/>
          <c:w val="0.61438061879679273"/>
          <c:h val="0.8238592739150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'Main Dashboard'!$J$1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'Main Dashboard'!$D$2:$D$14</c:f>
              <c:strCache>
                <c:ptCount val="13"/>
                <c:pt idx="0">
                  <c:v>Strategy Roll-out campaign</c:v>
                </c:pt>
                <c:pt idx="1">
                  <c:v>Strategy Roll-out</c:v>
                </c:pt>
                <c:pt idx="2">
                  <c:v>Develop a slogan for the outreach program </c:v>
                </c:pt>
                <c:pt idx="3">
                  <c:v>Outreach program for internally/external costumers (i.e celebrate local and international events, periodical accomplishment newsletter, strategy ordinated messages, and Re-brand Enlight )</c:v>
                </c:pt>
                <c:pt idx="4">
                  <c:v>Synergize with “People” strategy to achieve “buy-in” thru the enhancement of workplace culture</c:v>
                </c:pt>
                <c:pt idx="5">
                  <c:v>Industry exposure (Number of SAPED SPE contribution)</c:v>
                </c:pt>
                <c:pt idx="6">
                  <c:v>SAPED technical publications (Sandrose, JPT, oil &amp; gas, world oil,…etc)</c:v>
                </c:pt>
                <c:pt idx="7">
                  <c:v>Sponsorship of prestigious events (sponsor a technical OOK booth, one technical event in SAPED operational hubs, one non technical event)</c:v>
                </c:pt>
                <c:pt idx="8">
                  <c:v>Produce SAPED visual content (HSS&amp;E, technical, OE, and promoting SAPED)</c:v>
                </c:pt>
                <c:pt idx="9">
                  <c:v>Awards participating (external/internal)</c:v>
                </c:pt>
                <c:pt idx="10">
                  <c:v>Strategy committee team formation and Dashboard creation</c:v>
                </c:pt>
                <c:pt idx="11">
                  <c:v>Budgeting and utilization of strategies' related resources</c:v>
                </c:pt>
                <c:pt idx="12">
                  <c:v>Meeting with strategy owners to measure (progress %)</c:v>
                </c:pt>
              </c:strCache>
            </c:strRef>
          </c:cat>
          <c:val>
            <c:numRef>
              <c:f>'Main Dashboard'!$J$2:$J$14</c:f>
              <c:numCache>
                <c:formatCode>General</c:formatCode>
                <c:ptCount val="13"/>
                <c:pt idx="0">
                  <c:v>44197</c:v>
                </c:pt>
                <c:pt idx="1">
                  <c:v>44287</c:v>
                </c:pt>
                <c:pt idx="2">
                  <c:v>44287</c:v>
                </c:pt>
                <c:pt idx="3">
                  <c:v>44317</c:v>
                </c:pt>
                <c:pt idx="4">
                  <c:v>44378</c:v>
                </c:pt>
                <c:pt idx="5">
                  <c:v>44378</c:v>
                </c:pt>
                <c:pt idx="6">
                  <c:v>0</c:v>
                </c:pt>
                <c:pt idx="7">
                  <c:v>44378</c:v>
                </c:pt>
                <c:pt idx="8">
                  <c:v>44440</c:v>
                </c:pt>
                <c:pt idx="9">
                  <c:v>44440</c:v>
                </c:pt>
                <c:pt idx="10">
                  <c:v>44287</c:v>
                </c:pt>
                <c:pt idx="11">
                  <c:v>44378</c:v>
                </c:pt>
                <c:pt idx="12">
                  <c:v>44440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3E0-A26F-C9143E8DD36D}"/>
            </c:ext>
          </c:extLst>
        </c:ser>
        <c:ser>
          <c:idx val="2"/>
          <c:order val="2"/>
          <c:tx>
            <c:strRef>
              <c:f>'Main Dashboard'!$L$1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rgbClr val="F68B32"/>
              </a:solidFill>
            </a:ln>
            <a:effectLst/>
          </c:spPr>
          <c:invertIfNegative val="0"/>
          <c:cat>
            <c:strRef>
              <c:f>'Main Dashboard'!$D$2:$D$14</c:f>
              <c:strCache>
                <c:ptCount val="13"/>
                <c:pt idx="0">
                  <c:v>Strategy Roll-out campaign</c:v>
                </c:pt>
                <c:pt idx="1">
                  <c:v>Strategy Roll-out</c:v>
                </c:pt>
                <c:pt idx="2">
                  <c:v>Develop a slogan for the outreach program </c:v>
                </c:pt>
                <c:pt idx="3">
                  <c:v>Outreach program for internally/external costumers (i.e celebrate local and international events, periodical accomplishment newsletter, strategy ordinated messages, and Re-brand Enlight )</c:v>
                </c:pt>
                <c:pt idx="4">
                  <c:v>Synergize with “People” strategy to achieve “buy-in” thru the enhancement of workplace culture</c:v>
                </c:pt>
                <c:pt idx="5">
                  <c:v>Industry exposure (Number of SAPED SPE contribution)</c:v>
                </c:pt>
                <c:pt idx="6">
                  <c:v>SAPED technical publications (Sandrose, JPT, oil &amp; gas, world oil,…etc)</c:v>
                </c:pt>
                <c:pt idx="7">
                  <c:v>Sponsorship of prestigious events (sponsor a technical OOK booth, one technical event in SAPED operational hubs, one non technical event)</c:v>
                </c:pt>
                <c:pt idx="8">
                  <c:v>Produce SAPED visual content (HSS&amp;E, technical, OE, and promoting SAPED)</c:v>
                </c:pt>
                <c:pt idx="9">
                  <c:v>Awards participating (external/internal)</c:v>
                </c:pt>
                <c:pt idx="10">
                  <c:v>Strategy committee team formation and Dashboard creation</c:v>
                </c:pt>
                <c:pt idx="11">
                  <c:v>Budgeting and utilization of strategies' related resources</c:v>
                </c:pt>
                <c:pt idx="12">
                  <c:v>Meeting with strategy owners to measure (progress %)</c:v>
                </c:pt>
              </c:strCache>
            </c:strRef>
          </c:cat>
          <c:val>
            <c:numRef>
              <c:f>'Main Dashboard'!$L$2:$L$14</c:f>
              <c:numCache>
                <c:formatCode>General</c:formatCode>
                <c:ptCount val="13"/>
                <c:pt idx="0">
                  <c:v>334</c:v>
                </c:pt>
                <c:pt idx="1">
                  <c:v>609</c:v>
                </c:pt>
                <c:pt idx="2">
                  <c:v>30</c:v>
                </c:pt>
                <c:pt idx="3">
                  <c:v>214</c:v>
                </c:pt>
                <c:pt idx="4">
                  <c:v>153</c:v>
                </c:pt>
                <c:pt idx="5">
                  <c:v>518</c:v>
                </c:pt>
                <c:pt idx="6">
                  <c:v>0</c:v>
                </c:pt>
                <c:pt idx="7">
                  <c:v>153</c:v>
                </c:pt>
                <c:pt idx="8">
                  <c:v>181</c:v>
                </c:pt>
                <c:pt idx="9">
                  <c:v>91</c:v>
                </c:pt>
                <c:pt idx="10">
                  <c:v>306</c:v>
                </c:pt>
                <c:pt idx="11">
                  <c:v>153</c:v>
                </c:pt>
                <c:pt idx="1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1-43E0-A26F-C9143E8D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90688"/>
        <c:axId val="2100967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Dashboard'!$K$1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'Main Dashboard'!$D$2:$D$14</c15:sqref>
                        </c15:formulaRef>
                      </c:ext>
                    </c:extLst>
                    <c:strCache>
                      <c:ptCount val="13"/>
                      <c:pt idx="0">
                        <c:v>Strategy Roll-out campaign</c:v>
                      </c:pt>
                      <c:pt idx="1">
                        <c:v>Strategy Roll-out</c:v>
                      </c:pt>
                      <c:pt idx="2">
                        <c:v>Develop a slogan for the outreach program </c:v>
                      </c:pt>
                      <c:pt idx="3">
                        <c:v>Outreach program for internally/external costumers (i.e celebrate local and international events, periodical accomplishment newsletter, strategy ordinated messages, and Re-brand Enlight )</c:v>
                      </c:pt>
                      <c:pt idx="4">
                        <c:v>Synergize with “People” strategy to achieve “buy-in” thru the enhancement of workplace culture</c:v>
                      </c:pt>
                      <c:pt idx="5">
                        <c:v>Industry exposure (Number of SAPED SPE contribution)</c:v>
                      </c:pt>
                      <c:pt idx="6">
                        <c:v>SAPED technical publications (Sandrose, JPT, oil &amp; gas, world oil,…etc)</c:v>
                      </c:pt>
                      <c:pt idx="7">
                        <c:v>Sponsorship of prestigious events (sponsor a technical OOK booth, one technical event in SAPED operational hubs, one non technical event)</c:v>
                      </c:pt>
                      <c:pt idx="8">
                        <c:v>Produce SAPED visual content (HSS&amp;E, technical, OE, and promoting SAPED)</c:v>
                      </c:pt>
                      <c:pt idx="9">
                        <c:v>Awards participating (external/internal)</c:v>
                      </c:pt>
                      <c:pt idx="10">
                        <c:v>Strategy committee team formation and Dashboard creation</c:v>
                      </c:pt>
                      <c:pt idx="11">
                        <c:v>Budgeting and utilization of strategies' related resources</c:v>
                      </c:pt>
                      <c:pt idx="12">
                        <c:v>Meeting with strategy owners to measure (progress 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'Main Dashboard'!$K$2:$K$14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44531</c:v>
                      </c:pt>
                      <c:pt idx="1">
                        <c:v>44896</c:v>
                      </c:pt>
                      <c:pt idx="2">
                        <c:v>44317</c:v>
                      </c:pt>
                      <c:pt idx="3">
                        <c:v>44531</c:v>
                      </c:pt>
                      <c:pt idx="4">
                        <c:v>44531</c:v>
                      </c:pt>
                      <c:pt idx="5">
                        <c:v>44896</c:v>
                      </c:pt>
                      <c:pt idx="6">
                        <c:v>0</c:v>
                      </c:pt>
                      <c:pt idx="7">
                        <c:v>44531</c:v>
                      </c:pt>
                      <c:pt idx="8">
                        <c:v>44621</c:v>
                      </c:pt>
                      <c:pt idx="9">
                        <c:v>44531</c:v>
                      </c:pt>
                      <c:pt idx="10">
                        <c:v>44593</c:v>
                      </c:pt>
                      <c:pt idx="11">
                        <c:v>44531</c:v>
                      </c:pt>
                      <c:pt idx="12">
                        <c:v>44896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91-43E0-A26F-C9143E8DD36D}"/>
                  </c:ext>
                </c:extLst>
              </c15:ser>
            </c15:filteredBarSeries>
          </c:ext>
        </c:extLst>
      </c:barChart>
      <c:catAx>
        <c:axId val="454990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7968"/>
        <c:crosses val="autoZero"/>
        <c:auto val="1"/>
        <c:lblAlgn val="ctr"/>
        <c:lblOffset val="100"/>
        <c:noMultiLvlLbl val="0"/>
      </c:catAx>
      <c:valAx>
        <c:axId val="2100967968"/>
        <c:scaling>
          <c:orientation val="minMax"/>
          <c:max val="44555"/>
          <c:min val="4419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Strategy Fulfilment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3-43A0-9C57-92BFB83FB8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3-43A0-9C57-92BFB83FB8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3-43A0-9C57-92BFB83FB8C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33-43A0-9C57-92BFB83FB8C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C6-4A8A-B73D-4554528AEA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Data!$Q$3:$U$3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33-43A0-9C57-92BFB83FB8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Culture Shift Trigger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B-494E-9AFA-B5F2F796D2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B-494E-9AFA-B5F2F796D2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0B-494E-9AFA-B5F2F796D24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0B-494E-9AFA-B5F2F796D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Data!$Q$4:$U$4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0B-494E-9AFA-B5F2F796D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Data!$M$5</c:f>
              <c:strCache>
                <c:ptCount val="1"/>
                <c:pt idx="0">
                  <c:v>Exposure/Footprint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4-4B50-BE32-AD04316049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4-4B50-BE32-AD04316049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4-4B50-BE32-AD043160495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44-4B50-BE32-AD0431604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Data!$Q$5:$U$5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4-4B50-BE32-AD0431604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Strategy Fulfilment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5-4884-B32A-079A349A52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5-4884-B32A-079A349A52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5-4884-B32A-079A349A52C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5-4884-B32A-079A349A52C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75-4CB7-AD91-627CCCD3D6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Data!$Q$3:$U$3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25-4884-B32A-079A349A5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7-4C1A-8666-A1BE3B89924E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7-4C1A-8666-A1BE3B89924E}"/>
              </c:ext>
            </c:extLst>
          </c:dPt>
          <c:val>
            <c:numRef>
              <c:f>Data!$V$6:$W$6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7-4C1A-8666-A1BE3B89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Data!$X$6:$X$7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Data!$Y$6:$Y$7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37-4C1A-8666-A1BE3B89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Data!$M$6</c:f>
              <c:strCache>
                <c:ptCount val="1"/>
                <c:pt idx="0">
                  <c:v>Cost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C-4E97-9E34-FA45E054E8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C-4E97-9E34-FA45E054E8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C-4E97-9E34-FA45E054E8B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0C-4E97-9E34-FA45E054E8B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E-4542-B9E2-2BB5A12E7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Data!$Q$6:$U$6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0C-4E97-9E34-FA45E054E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Data!$M$8</c:f>
              <c:strCache>
                <c:ptCount val="1"/>
                <c:pt idx="0">
                  <c:v>Cost Intelligence 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6-4781-A0D1-0BBD494528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6-4781-A0D1-0BBD494528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6-4781-A0D1-0BBD4945281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6-4781-A0D1-0BBD494528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Data!$Q$8:$U$8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6-4781-A0D1-0BBD49452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'Main Dashboard'!$J$1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'Main Dashboard'!$D$2:$D$14</c:f>
              <c:strCache>
                <c:ptCount val="13"/>
                <c:pt idx="0">
                  <c:v>Strategy Roll-out campaign</c:v>
                </c:pt>
                <c:pt idx="1">
                  <c:v>Strategy Roll-out</c:v>
                </c:pt>
                <c:pt idx="2">
                  <c:v>Develop a slogan for the outreach program </c:v>
                </c:pt>
                <c:pt idx="3">
                  <c:v>Outreach program for internally/external costumers (i.e celebrate local and international events, periodical accomplishment newsletter, strategy ordinated messages, and Re-brand Enlight )</c:v>
                </c:pt>
                <c:pt idx="4">
                  <c:v>Synergize with “People” strategy to achieve “buy-in” thru the enhancement of workplace culture</c:v>
                </c:pt>
                <c:pt idx="5">
                  <c:v>Industry exposure (Number of SAPED SPE contribution)</c:v>
                </c:pt>
                <c:pt idx="6">
                  <c:v>SAPED technical publications (Sandrose, JPT, oil &amp; gas, world oil,…etc)</c:v>
                </c:pt>
                <c:pt idx="7">
                  <c:v>Sponsorship of prestigious events (sponsor a technical OOK booth, one technical event in SAPED operational hubs, one non technical event)</c:v>
                </c:pt>
                <c:pt idx="8">
                  <c:v>Produce SAPED visual content (HSS&amp;E, technical, OE, and promoting SAPED)</c:v>
                </c:pt>
                <c:pt idx="9">
                  <c:v>Awards participating (external/internal)</c:v>
                </c:pt>
                <c:pt idx="10">
                  <c:v>Strategy committee team formation and Dashboard creation</c:v>
                </c:pt>
                <c:pt idx="11">
                  <c:v>Budgeting and utilization of strategies' related resources</c:v>
                </c:pt>
                <c:pt idx="12">
                  <c:v>Meeting with strategy owners to measure (progress %)</c:v>
                </c:pt>
              </c:strCache>
            </c:strRef>
          </c:cat>
          <c:val>
            <c:numRef>
              <c:f>'Main Dashboard'!$J$2:$J$14</c:f>
              <c:numCache>
                <c:formatCode>General</c:formatCode>
                <c:ptCount val="13"/>
                <c:pt idx="0">
                  <c:v>44197</c:v>
                </c:pt>
                <c:pt idx="1">
                  <c:v>44287</c:v>
                </c:pt>
                <c:pt idx="2">
                  <c:v>44287</c:v>
                </c:pt>
                <c:pt idx="3">
                  <c:v>44317</c:v>
                </c:pt>
                <c:pt idx="4">
                  <c:v>44378</c:v>
                </c:pt>
                <c:pt idx="5">
                  <c:v>44378</c:v>
                </c:pt>
                <c:pt idx="6">
                  <c:v>0</c:v>
                </c:pt>
                <c:pt idx="7">
                  <c:v>44378</c:v>
                </c:pt>
                <c:pt idx="8">
                  <c:v>44440</c:v>
                </c:pt>
                <c:pt idx="9">
                  <c:v>44440</c:v>
                </c:pt>
                <c:pt idx="10">
                  <c:v>44287</c:v>
                </c:pt>
                <c:pt idx="11">
                  <c:v>44378</c:v>
                </c:pt>
                <c:pt idx="12">
                  <c:v>44440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765-9B38-85968B6A9D94}"/>
            </c:ext>
          </c:extLst>
        </c:ser>
        <c:ser>
          <c:idx val="2"/>
          <c:order val="2"/>
          <c:tx>
            <c:strRef>
              <c:f>'Main Dashboard'!$L$1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Dashboard'!$D$2:$D$14</c:f>
              <c:strCache>
                <c:ptCount val="13"/>
                <c:pt idx="0">
                  <c:v>Strategy Roll-out campaign</c:v>
                </c:pt>
                <c:pt idx="1">
                  <c:v>Strategy Roll-out</c:v>
                </c:pt>
                <c:pt idx="2">
                  <c:v>Develop a slogan for the outreach program </c:v>
                </c:pt>
                <c:pt idx="3">
                  <c:v>Outreach program for internally/external costumers (i.e celebrate local and international events, periodical accomplishment newsletter, strategy ordinated messages, and Re-brand Enlight )</c:v>
                </c:pt>
                <c:pt idx="4">
                  <c:v>Synergize with “People” strategy to achieve “buy-in” thru the enhancement of workplace culture</c:v>
                </c:pt>
                <c:pt idx="5">
                  <c:v>Industry exposure (Number of SAPED SPE contribution)</c:v>
                </c:pt>
                <c:pt idx="6">
                  <c:v>SAPED technical publications (Sandrose, JPT, oil &amp; gas, world oil,…etc)</c:v>
                </c:pt>
                <c:pt idx="7">
                  <c:v>Sponsorship of prestigious events (sponsor a technical OOK booth, one technical event in SAPED operational hubs, one non technical event)</c:v>
                </c:pt>
                <c:pt idx="8">
                  <c:v>Produce SAPED visual content (HSS&amp;E, technical, OE, and promoting SAPED)</c:v>
                </c:pt>
                <c:pt idx="9">
                  <c:v>Awards participating (external/internal)</c:v>
                </c:pt>
                <c:pt idx="10">
                  <c:v>Strategy committee team formation and Dashboard creation</c:v>
                </c:pt>
                <c:pt idx="11">
                  <c:v>Budgeting and utilization of strategies' related resources</c:v>
                </c:pt>
                <c:pt idx="12">
                  <c:v>Meeting with strategy owners to measure (progress %)</c:v>
                </c:pt>
              </c:strCache>
            </c:strRef>
          </c:cat>
          <c:val>
            <c:numRef>
              <c:f>'Main Dashboard'!$L$2:$L$14</c:f>
              <c:numCache>
                <c:formatCode>General</c:formatCode>
                <c:ptCount val="13"/>
                <c:pt idx="0">
                  <c:v>334</c:v>
                </c:pt>
                <c:pt idx="1">
                  <c:v>609</c:v>
                </c:pt>
                <c:pt idx="2">
                  <c:v>30</c:v>
                </c:pt>
                <c:pt idx="3">
                  <c:v>214</c:v>
                </c:pt>
                <c:pt idx="4">
                  <c:v>153</c:v>
                </c:pt>
                <c:pt idx="5">
                  <c:v>518</c:v>
                </c:pt>
                <c:pt idx="6">
                  <c:v>0</c:v>
                </c:pt>
                <c:pt idx="7">
                  <c:v>153</c:v>
                </c:pt>
                <c:pt idx="8">
                  <c:v>181</c:v>
                </c:pt>
                <c:pt idx="9">
                  <c:v>91</c:v>
                </c:pt>
                <c:pt idx="10">
                  <c:v>306</c:v>
                </c:pt>
                <c:pt idx="11">
                  <c:v>153</c:v>
                </c:pt>
                <c:pt idx="1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765-9B38-85968B6A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90688"/>
        <c:axId val="2100967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Dashboard'!$K$1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'Main Dashboard'!$D$2:$D$14</c15:sqref>
                        </c15:formulaRef>
                      </c:ext>
                    </c:extLst>
                    <c:strCache>
                      <c:ptCount val="13"/>
                      <c:pt idx="0">
                        <c:v>Strategy Roll-out campaign</c:v>
                      </c:pt>
                      <c:pt idx="1">
                        <c:v>Strategy Roll-out</c:v>
                      </c:pt>
                      <c:pt idx="2">
                        <c:v>Develop a slogan for the outreach program </c:v>
                      </c:pt>
                      <c:pt idx="3">
                        <c:v>Outreach program for internally/external costumers (i.e celebrate local and international events, periodical accomplishment newsletter, strategy ordinated messages, and Re-brand Enlight )</c:v>
                      </c:pt>
                      <c:pt idx="4">
                        <c:v>Synergize with “People” strategy to achieve “buy-in” thru the enhancement of workplace culture</c:v>
                      </c:pt>
                      <c:pt idx="5">
                        <c:v>Industry exposure (Number of SAPED SPE contribution)</c:v>
                      </c:pt>
                      <c:pt idx="6">
                        <c:v>SAPED technical publications (Sandrose, JPT, oil &amp; gas, world oil,…etc)</c:v>
                      </c:pt>
                      <c:pt idx="7">
                        <c:v>Sponsorship of prestigious events (sponsor a technical OOK booth, one technical event in SAPED operational hubs, one non technical event)</c:v>
                      </c:pt>
                      <c:pt idx="8">
                        <c:v>Produce SAPED visual content (HSS&amp;E, technical, OE, and promoting SAPED)</c:v>
                      </c:pt>
                      <c:pt idx="9">
                        <c:v>Awards participating (external/internal)</c:v>
                      </c:pt>
                      <c:pt idx="10">
                        <c:v>Strategy committee team formation and Dashboard creation</c:v>
                      </c:pt>
                      <c:pt idx="11">
                        <c:v>Budgeting and utilization of strategies' related resources</c:v>
                      </c:pt>
                      <c:pt idx="12">
                        <c:v>Meeting with strategy owners to measure (progress 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'Main Dashboard'!$K$2:$K$14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44531</c:v>
                      </c:pt>
                      <c:pt idx="1">
                        <c:v>44896</c:v>
                      </c:pt>
                      <c:pt idx="2">
                        <c:v>44317</c:v>
                      </c:pt>
                      <c:pt idx="3">
                        <c:v>44531</c:v>
                      </c:pt>
                      <c:pt idx="4">
                        <c:v>44531</c:v>
                      </c:pt>
                      <c:pt idx="5">
                        <c:v>44896</c:v>
                      </c:pt>
                      <c:pt idx="6">
                        <c:v>0</c:v>
                      </c:pt>
                      <c:pt idx="7">
                        <c:v>44531</c:v>
                      </c:pt>
                      <c:pt idx="8">
                        <c:v>44621</c:v>
                      </c:pt>
                      <c:pt idx="9">
                        <c:v>44531</c:v>
                      </c:pt>
                      <c:pt idx="10">
                        <c:v>44593</c:v>
                      </c:pt>
                      <c:pt idx="11">
                        <c:v>44531</c:v>
                      </c:pt>
                      <c:pt idx="12">
                        <c:v>44896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D61-4765-9B38-85968B6A9D94}"/>
                  </c:ext>
                </c:extLst>
              </c15:ser>
            </c15:filteredBarSeries>
          </c:ext>
        </c:extLst>
      </c:barChart>
      <c:catAx>
        <c:axId val="454990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7968"/>
        <c:crosses val="autoZero"/>
        <c:auto val="1"/>
        <c:lblAlgn val="ctr"/>
        <c:lblOffset val="100"/>
        <c:noMultiLvlLbl val="0"/>
      </c:catAx>
      <c:valAx>
        <c:axId val="2100967968"/>
        <c:scaling>
          <c:orientation val="minMax"/>
          <c:max val="44555"/>
          <c:min val="441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Data!$M$9</c:f>
              <c:strCache>
                <c:ptCount val="1"/>
                <c:pt idx="0">
                  <c:v>Culture 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F-4F9F-9A97-17A0BDEE5E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F-4F9F-9A97-17A0BDEE5E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F-4F9F-9A97-17A0BDEE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F-4F9F-9A97-17A0BDEE5EB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86-4C76-8405-1AE65C97EE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Data!$Q$9:$U$9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6F-4F9F-9A97-17A0BDEE5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Data!$M$7</c:f>
              <c:strCache>
                <c:ptCount val="1"/>
                <c:pt idx="0">
                  <c:v>Value 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4-4E9B-89FD-CF891B35ED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4-4E9B-89FD-CF891B35ED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4-4E9B-89FD-CF891B35ED4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4-4E9B-89FD-CF891B35ED4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98-4DD9-BB8A-1C13F4166F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Data!$Q$7:$U$7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54-4E9B-89FD-CF891B35ED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E-44C6-8A65-060B38C91E20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E-44C6-8A65-060B38C91E20}"/>
              </c:ext>
            </c:extLst>
          </c:dPt>
          <c:val>
            <c:numRef>
              <c:f>Data!$V$10:$W$10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4C6-8A65-060B38C9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Data!$X$9:$X$10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Data!$Y$9:$Y$10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E-44C6-8A65-060B38C9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Data!$M$10</c:f>
              <c:strCache>
                <c:ptCount val="1"/>
                <c:pt idx="0">
                  <c:v>Sustainability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7-4CF2-8E4A-D225574FB1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7-4CF2-8E4A-D225574FB1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7-4CF2-8E4A-D225574FB18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7-4CF2-8E4A-D225574FB18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A6-4DC8-B449-060B1CBA3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Data!$Q$10:$U$10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7-4CF2-8E4A-D225574FB1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Data!$M$12</c:f>
              <c:strCache>
                <c:ptCount val="1"/>
                <c:pt idx="0">
                  <c:v>Production &amp; Integrity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2-4356-98DB-F08057F1BC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2-4356-98DB-F08057F1BC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2-4356-98DB-F08057F1BCE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2-4356-98DB-F08057F1BCE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1F-4C2F-943E-A861646E68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Data!$Q$12:$U$12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2-4356-98DB-F08057F1B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Data!$M$11</c:f>
              <c:strCache>
                <c:ptCount val="1"/>
                <c:pt idx="0">
                  <c:v>Environmental Stewardship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0-4177-9D48-6AC817EBFC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0-4177-9D48-6AC817EBFC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30-4177-9D48-6AC817EBFC1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30-4177-9D48-6AC817EBFC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Data!$Q$11:$U$11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0-4177-9D48-6AC817EBF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2-4DDB-9FFB-3799E27474D8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12700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2-4DDB-9FFB-3799E27474D8}"/>
              </c:ext>
            </c:extLst>
          </c:dPt>
          <c:val>
            <c:numRef>
              <c:f>Data!$V$13:$W$13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2-4DDB-9FFB-3799E274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Data!$X$12:$X$13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Data!$Y$12:$Y$13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F2-4DDB-9FFB-3799E274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'Main Dashboard (2)'!$K$2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'Main Dashboard (2)'!$D$3:$D$22</c:f>
              <c:strCache>
                <c:ptCount val="20"/>
                <c:pt idx="0">
                  <c:v>Strategy committee team formation and Dashboard creation</c:v>
                </c:pt>
                <c:pt idx="1">
                  <c:v>Strategy committee team formation and Dashboard creation</c:v>
                </c:pt>
                <c:pt idx="2">
                  <c:v>Budgeting and utilization of strategies' related resources. </c:v>
                </c:pt>
                <c:pt idx="3">
                  <c:v>Meeting with strategy champions to track % progress</c:v>
                </c:pt>
                <c:pt idx="4">
                  <c:v>Develop SAPED Brand Identity System (SBIS)
“Diversity and legacy”</c:v>
                </c:pt>
                <c:pt idx="5">
                  <c:v>Strategy Roll-out</c:v>
                </c:pt>
                <c:pt idx="6">
                  <c:v>Outreach program for internally/external costumers (i.e celebrate local and international events, and periodical accomplishment newsletter)</c:v>
                </c:pt>
                <c:pt idx="7">
                  <c:v>Synergize with “People” strategy to achieve “buy-in” thru the enhancement of workplace culture</c:v>
                </c:pt>
                <c:pt idx="8">
                  <c:v>Produce SAPED visual content (HSS&amp;E, technical, OE, and promoting SAPED)</c:v>
                </c:pt>
                <c:pt idx="9">
                  <c:v>Produce SAPED visual content (HSS&amp;E, technical, OE, and promoting SAPED)</c:v>
                </c:pt>
                <c:pt idx="10">
                  <c:v>Awards participating (external/internal)</c:v>
                </c:pt>
                <c:pt idx="11">
                  <c:v>Industry exposure program (Public relation with stakeholders)</c:v>
                </c:pt>
                <c:pt idx="12">
                  <c:v>SAPED technical publications (Sandrose, JPT, oil &amp; gas, world oil,…etc)</c:v>
                </c:pt>
                <c:pt idx="13">
                  <c:v>SAPED technical publications (Sandrose, JPT, oil &amp; gas, world oil,…etc)</c:v>
                </c:pt>
                <c:pt idx="14">
                  <c:v>SAPED technical publications (Sandrose, JPT, oil &amp; gas, world oil,…etc)</c:v>
                </c:pt>
                <c:pt idx="15">
                  <c:v>Participation and in prestigious events
(represent SAPED in technical OOK booth, technical events in SAPED operational hubs, social events)</c:v>
                </c:pt>
                <c:pt idx="16">
                  <c:v>GOSP &amp; Equipment  Optimization </c:v>
                </c:pt>
                <c:pt idx="17">
                  <c:v>WO Optimization </c:v>
                </c:pt>
                <c:pt idx="18">
                  <c:v>Invoice/Non-invoice Optimization </c:v>
                </c:pt>
                <c:pt idx="19">
                  <c:v>Invoice/Non-invoice Optimization </c:v>
                </c:pt>
              </c:strCache>
            </c:strRef>
          </c:cat>
          <c:val>
            <c:numRef>
              <c:f>'Main Dashboard (2)'!$K$3:$K$22</c:f>
              <c:numCache>
                <c:formatCode>m/d/yyyy</c:formatCode>
                <c:ptCount val="20"/>
                <c:pt idx="0">
                  <c:v>44357</c:v>
                </c:pt>
                <c:pt idx="1">
                  <c:v>44323</c:v>
                </c:pt>
                <c:pt idx="2">
                  <c:v>44355</c:v>
                </c:pt>
                <c:pt idx="3">
                  <c:v>44357</c:v>
                </c:pt>
                <c:pt idx="4">
                  <c:v>44364</c:v>
                </c:pt>
                <c:pt idx="5">
                  <c:v>44409</c:v>
                </c:pt>
                <c:pt idx="6">
                  <c:v>44423</c:v>
                </c:pt>
                <c:pt idx="7">
                  <c:v>44348</c:v>
                </c:pt>
                <c:pt idx="16">
                  <c:v>44409</c:v>
                </c:pt>
                <c:pt idx="17">
                  <c:v>44470</c:v>
                </c:pt>
                <c:pt idx="18">
                  <c:v>44562</c:v>
                </c:pt>
                <c:pt idx="19">
                  <c:v>44562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0-4BAC-BB92-80CFFFD1EE3D}"/>
            </c:ext>
          </c:extLst>
        </c:ser>
        <c:ser>
          <c:idx val="2"/>
          <c:order val="2"/>
          <c:tx>
            <c:strRef>
              <c:f>'Main Dashboard (2)'!$R$2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Dashboard (2)'!$D$3:$D$22</c:f>
              <c:strCache>
                <c:ptCount val="20"/>
                <c:pt idx="0">
                  <c:v>Strategy committee team formation and Dashboard creation</c:v>
                </c:pt>
                <c:pt idx="1">
                  <c:v>Strategy committee team formation and Dashboard creation</c:v>
                </c:pt>
                <c:pt idx="2">
                  <c:v>Budgeting and utilization of strategies' related resources. </c:v>
                </c:pt>
                <c:pt idx="3">
                  <c:v>Meeting with strategy champions to track % progress</c:v>
                </c:pt>
                <c:pt idx="4">
                  <c:v>Develop SAPED Brand Identity System (SBIS)
“Diversity and legacy”</c:v>
                </c:pt>
                <c:pt idx="5">
                  <c:v>Strategy Roll-out</c:v>
                </c:pt>
                <c:pt idx="6">
                  <c:v>Outreach program for internally/external costumers (i.e celebrate local and international events, and periodical accomplishment newsletter)</c:v>
                </c:pt>
                <c:pt idx="7">
                  <c:v>Synergize with “People” strategy to achieve “buy-in” thru the enhancement of workplace culture</c:v>
                </c:pt>
                <c:pt idx="8">
                  <c:v>Produce SAPED visual content (HSS&amp;E, technical, OE, and promoting SAPED)</c:v>
                </c:pt>
                <c:pt idx="9">
                  <c:v>Produce SAPED visual content (HSS&amp;E, technical, OE, and promoting SAPED)</c:v>
                </c:pt>
                <c:pt idx="10">
                  <c:v>Awards participating (external/internal)</c:v>
                </c:pt>
                <c:pt idx="11">
                  <c:v>Industry exposure program (Public relation with stakeholders)</c:v>
                </c:pt>
                <c:pt idx="12">
                  <c:v>SAPED technical publications (Sandrose, JPT, oil &amp; gas, world oil,…etc)</c:v>
                </c:pt>
                <c:pt idx="13">
                  <c:v>SAPED technical publications (Sandrose, JPT, oil &amp; gas, world oil,…etc)</c:v>
                </c:pt>
                <c:pt idx="14">
                  <c:v>SAPED technical publications (Sandrose, JPT, oil &amp; gas, world oil,…etc)</c:v>
                </c:pt>
                <c:pt idx="15">
                  <c:v>Participation and in prestigious events
(represent SAPED in technical OOK booth, technical events in SAPED operational hubs, social events)</c:v>
                </c:pt>
                <c:pt idx="16">
                  <c:v>GOSP &amp; Equipment  Optimization </c:v>
                </c:pt>
                <c:pt idx="17">
                  <c:v>WO Optimization </c:v>
                </c:pt>
                <c:pt idx="18">
                  <c:v>Invoice/Non-invoice Optimization </c:v>
                </c:pt>
                <c:pt idx="19">
                  <c:v>Invoice/Non-invoice Optimization </c:v>
                </c:pt>
              </c:strCache>
            </c:strRef>
          </c:cat>
          <c:val>
            <c:numRef>
              <c:f>'Main Dashboard (2)'!$R$3:$R$22</c:f>
              <c:numCache>
                <c:formatCode>General</c:formatCode>
                <c:ptCount val="20"/>
                <c:pt idx="0">
                  <c:v>168</c:v>
                </c:pt>
                <c:pt idx="1">
                  <c:v>176</c:v>
                </c:pt>
                <c:pt idx="2">
                  <c:v>13</c:v>
                </c:pt>
                <c:pt idx="3">
                  <c:v>49</c:v>
                </c:pt>
                <c:pt idx="4">
                  <c:v>135</c:v>
                </c:pt>
                <c:pt idx="5">
                  <c:v>121</c:v>
                </c:pt>
                <c:pt idx="6">
                  <c:v>46</c:v>
                </c:pt>
                <c:pt idx="7">
                  <c:v>212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0-4BAC-BB92-80CFFFD1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90688"/>
        <c:axId val="2100967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Dashboard (2)'!$L$2</c15:sqref>
                        </c15:formulaRef>
                      </c:ext>
                    </c:extLst>
                    <c:strCache>
                      <c:ptCount val="1"/>
                      <c:pt idx="0">
                        <c:v>Expected Completion Date (ETC)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'Main Dashboard (2)'!$D$3:$D$22</c15:sqref>
                        </c15:formulaRef>
                      </c:ext>
                    </c:extLst>
                    <c:strCache>
                      <c:ptCount val="20"/>
                      <c:pt idx="0">
                        <c:v>Strategy committee team formation and Dashboard creation</c:v>
                      </c:pt>
                      <c:pt idx="1">
                        <c:v>Strategy committee team formation and Dashboard creation</c:v>
                      </c:pt>
                      <c:pt idx="2">
                        <c:v>Budgeting and utilization of strategies' related resources. </c:v>
                      </c:pt>
                      <c:pt idx="3">
                        <c:v>Meeting with strategy champions to track % progress</c:v>
                      </c:pt>
                      <c:pt idx="4">
                        <c:v>Develop SAPED Brand Identity System (SBIS)
“Diversity and legacy”</c:v>
                      </c:pt>
                      <c:pt idx="5">
                        <c:v>Strategy Roll-out</c:v>
                      </c:pt>
                      <c:pt idx="6">
                        <c:v>Outreach program for internally/external costumers (i.e celebrate local and international events, and periodical accomplishment newsletter)</c:v>
                      </c:pt>
                      <c:pt idx="7">
                        <c:v>Synergize with “People” strategy to achieve “buy-in” thru the enhancement of workplace culture</c:v>
                      </c:pt>
                      <c:pt idx="8">
                        <c:v>Produce SAPED visual content (HSS&amp;E, technical, OE, and promoting SAPED)</c:v>
                      </c:pt>
                      <c:pt idx="9">
                        <c:v>Produce SAPED visual content (HSS&amp;E, technical, OE, and promoting SAPED)</c:v>
                      </c:pt>
                      <c:pt idx="10">
                        <c:v>Awards participating (external/internal)</c:v>
                      </c:pt>
                      <c:pt idx="11">
                        <c:v>Industry exposure program (Public relation with stakeholders)</c:v>
                      </c:pt>
                      <c:pt idx="12">
                        <c:v>SAPED technical publications (Sandrose, JPT, oil &amp; gas, world oil,…etc)</c:v>
                      </c:pt>
                      <c:pt idx="13">
                        <c:v>SAPED technical publications (Sandrose, JPT, oil &amp; gas, world oil,…etc)</c:v>
                      </c:pt>
                      <c:pt idx="14">
                        <c:v>SAPED technical publications (Sandrose, JPT, oil &amp; gas, world oil,…etc)</c:v>
                      </c:pt>
                      <c:pt idx="15">
                        <c:v>Participation and in prestigious events
(represent SAPED in technical OOK booth, technical events in SAPED operational hubs, social events)</c:v>
                      </c:pt>
                      <c:pt idx="16">
                        <c:v>GOSP &amp; Equipment  Optimization </c:v>
                      </c:pt>
                      <c:pt idx="17">
                        <c:v>WO Optimization </c:v>
                      </c:pt>
                      <c:pt idx="18">
                        <c:v>Invoice/Non-invoice Optimization </c:v>
                      </c:pt>
                      <c:pt idx="19">
                        <c:v>Invoice/Non-invoice Optimization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'Main Dashboard (2)'!$L$3:$L$22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0">
                        <c:v>44525</c:v>
                      </c:pt>
                      <c:pt idx="1">
                        <c:v>44499</c:v>
                      </c:pt>
                      <c:pt idx="2">
                        <c:v>44368</c:v>
                      </c:pt>
                      <c:pt idx="3">
                        <c:v>44406</c:v>
                      </c:pt>
                      <c:pt idx="4">
                        <c:v>44499</c:v>
                      </c:pt>
                      <c:pt idx="5">
                        <c:v>44530</c:v>
                      </c:pt>
                      <c:pt idx="6">
                        <c:v>44469</c:v>
                      </c:pt>
                      <c:pt idx="7">
                        <c:v>44560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44651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80-4BAC-BB92-80CFFFD1EE3D}"/>
                  </c:ext>
                </c:extLst>
              </c15:ser>
            </c15:filteredBarSeries>
          </c:ext>
        </c:extLst>
      </c:barChart>
      <c:catAx>
        <c:axId val="454990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7968"/>
        <c:crosses val="autoZero"/>
        <c:auto val="1"/>
        <c:lblAlgn val="ctr"/>
        <c:lblOffset val="100"/>
        <c:noMultiLvlLbl val="0"/>
      </c:catAx>
      <c:valAx>
        <c:axId val="2100967968"/>
        <c:scaling>
          <c:orientation val="minMax"/>
          <c:max val="44555"/>
          <c:min val="441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Data!$M$13</c:f>
              <c:strCache>
                <c:ptCount val="1"/>
                <c:pt idx="0">
                  <c:v>People development and Engagment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C3-4AC4-8190-A090765F69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C3-4AC4-8190-A090765F69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C3-4AC4-8190-A090765F69C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C3-4AC4-8190-A090765F6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Data!$Q$13:$U$13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C3-4AC4-8190-A090765F6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Data!$M$15</c:f>
              <c:strCache>
                <c:ptCount val="1"/>
                <c:pt idx="0">
                  <c:v>T&amp;D Administration &amp; Oversigh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B-4D1A-8939-27087B1FA1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B-4D1A-8939-27087B1FA1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8B-4D1A-8939-27087B1FA1C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8B-4D1A-8939-27087B1FA1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Data!$Q$15:$U$15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8B-4D1A-8939-27087B1FA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Data!$M$16</c:f>
              <c:strCache>
                <c:ptCount val="1"/>
                <c:pt idx="0">
                  <c:v>Employee Performance &amp; Engagement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E-4AEB-BF22-42C4D4C3C9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E-4AEB-BF22-42C4D4C3C9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E-4AEB-BF22-42C4D4C3C98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E-4AEB-BF22-42C4D4C3C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Data!$Q$16:$U$16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E-4AEB-BF22-42C4D4C3C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Data!$M$14</c:f>
              <c:strCache>
                <c:ptCount val="1"/>
                <c:pt idx="0">
                  <c:v>Employee Wellbeing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09-4E8F-BC1C-02121F48A6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09-4E8F-BC1C-02121F48A6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09-4E8F-BC1C-02121F48A6D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09-4E8F-BC1C-02121F48A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Data!$Q$14:$U$14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09-4E8F-BC1C-02121F48A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A-468E-9F1E-B35EDE96F1D8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A-468E-9F1E-B35EDE96F1D8}"/>
              </c:ext>
            </c:extLst>
          </c:dPt>
          <c:val>
            <c:numRef>
              <c:f>Data!$V$17:$W$17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A-468E-9F1E-B35EDE9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Data!$X$15:$X$16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Data!$Y$15:$Y$16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A-468E-9F1E-B35EDE9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Data!$M$17</c:f>
              <c:strCache>
                <c:ptCount val="1"/>
                <c:pt idx="0">
                  <c:v>Digitization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C-4EFD-9CC1-3A07AFDBB3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C-4EFD-9CC1-3A07AFDBB3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C-4EFD-9CC1-3A07AFDBB3F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C-4EFD-9CC1-3A07AFDBB3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Data!$Q$17:$U$17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C-4EFD-9CC1-3A07AFDBB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</c:f>
              <c:strCache>
                <c:ptCount val="1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4-422E-8322-3CBD5316A7D7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12700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4-422E-8322-3CBD5316A7D7}"/>
              </c:ext>
            </c:extLst>
          </c:dPt>
          <c:val>
            <c:numRef>
              <c:f>Data!$V$23:$W$23</c:f>
              <c:numCache>
                <c:formatCode>0%</c:formatCode>
                <c:ptCount val="2"/>
                <c:pt idx="0">
                  <c:v>0.98596491228070171</c:v>
                </c:pt>
                <c:pt idx="1">
                  <c:v>1.4035087719298244E-2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4-422E-8322-3CBD531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Data!$X$18:$X$19</c:f>
              <c:numCache>
                <c:formatCode>General</c:formatCode>
                <c:ptCount val="2"/>
                <c:pt idx="0">
                  <c:v>0</c:v>
                </c:pt>
                <c:pt idx="1">
                  <c:v>-8.8070804661626714E-2</c:v>
                </c:pt>
              </c:numCache>
            </c:numRef>
          </c:xVal>
          <c:yVal>
            <c:numRef>
              <c:f>Data!$Y$18:$Y$19</c:f>
              <c:numCache>
                <c:formatCode>General</c:formatCode>
                <c:ptCount val="2"/>
                <c:pt idx="0">
                  <c:v>1</c:v>
                </c:pt>
                <c:pt idx="1">
                  <c:v>0.99611421702847591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F4-422E-8322-3CBD531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Data!$M$19</c:f>
              <c:strCache>
                <c:ptCount val="1"/>
                <c:pt idx="0">
                  <c:v>Administrative Compliance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C-4772-A314-D1A7F2BC02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C-4772-A314-D1A7F2BC02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DC-4772-A314-D1A7F2BC026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DC-4772-A314-D1A7F2BC0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Data!$Q$19:$U$19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C-4772-A314-D1A7F2BC0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Data!$M$20</c:f>
              <c:strCache>
                <c:ptCount val="1"/>
                <c:pt idx="0">
                  <c:v>Remote Assistance &amp; Virtual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C-41B2-8D8D-073BFB54C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C-41B2-8D8D-073BFB54CE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C-41B2-8D8D-073BFB54CE9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C-41B2-8D8D-073BFB54C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Data!$Q$20:$U$20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C-41B2-8D8D-073BFB54C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Data!$M$18</c:f>
              <c:strCache>
                <c:ptCount val="1"/>
                <c:pt idx="0">
                  <c:v>Production Optimization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2-495C-B4B4-FDE186B26D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2-495C-B4B4-FDE186B26D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72-495C-B4B4-FDE186B26D7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72-495C-B4B4-FDE186B26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Data!$Q$18:$U$18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72-495C-B4B4-FDE186B26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Data!$M$21</c:f>
              <c:strCache>
                <c:ptCount val="1"/>
                <c:pt idx="0">
                  <c:v>Data Validity/Reliability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B-46BF-9AF6-154707A443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B-46BF-9AF6-154707A443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B-46BF-9AF6-154707A443B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B-46BF-9AF6-154707A44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Data!$Q$21:$U$21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CB-46BF-9AF6-154707A44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Data!$M$22</c:f>
              <c:strCache>
                <c:ptCount val="1"/>
                <c:pt idx="0">
                  <c:v>Well Integrity Assurance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6-4A9D-8603-EE09D4CF1E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F6-4A9D-8603-EE09D4CF1E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F6-4A9D-8603-EE09D4CF1E1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F6-4A9D-8603-EE09D4CF1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Data!$Q$22:$U$22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6-4A9D-8603-EE09D4CF1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A8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F-4AE6-B3CF-7D23028FE0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F-4AE6-B3CF-7D23028FE0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1F-4AE6-B3CF-7D23028FE0F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1F-4AE6-B3CF-7D23028FE0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8D-4480-BA6C-BCC60BCC7E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Data!$Q$1:$U$1</c:f>
              <c:strCache>
                <c:ptCount val="5"/>
                <c:pt idx="0">
                  <c:v>Closed</c:v>
                </c:pt>
                <c:pt idx="1">
                  <c:v>Completed (Not Verified)</c:v>
                </c:pt>
                <c:pt idx="2">
                  <c:v>In-Progress</c:v>
                </c:pt>
                <c:pt idx="3">
                  <c:v>Not-Started</c:v>
                </c:pt>
                <c:pt idx="4">
                  <c:v>Overdue</c:v>
                </c:pt>
              </c:strCache>
            </c:strRef>
          </c:cat>
          <c:val>
            <c:numRef>
              <c:f>Data!$Q$23:$U$23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F-4AE6-B3CF-7D23028FE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4633327"/>
        <c:axId val="1525603087"/>
      </c:barChart>
      <c:catAx>
        <c:axId val="126463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25603087"/>
        <c:crosses val="autoZero"/>
        <c:auto val="1"/>
        <c:lblAlgn val="ctr"/>
        <c:lblOffset val="100"/>
        <c:noMultiLvlLbl val="0"/>
      </c:catAx>
      <c:valAx>
        <c:axId val="15256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63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2D-4F9F-9FF4-4097AB0128B6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12700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D-4F9F-9FF4-4097AB0128B6}"/>
              </c:ext>
            </c:extLst>
          </c:dPt>
          <c:val>
            <c:numRef>
              <c:f>Data!$V$2:$W$2</c:f>
              <c:numCache>
                <c:formatCode>0%</c:formatCode>
                <c:ptCount val="2"/>
                <c:pt idx="0">
                  <c:v>0.92982456140350878</c:v>
                </c:pt>
                <c:pt idx="1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2D-4F9F-9FF4-4097AB0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Data!$X$3:$X$4</c:f>
              <c:numCache>
                <c:formatCode>General</c:formatCode>
                <c:ptCount val="2"/>
                <c:pt idx="0">
                  <c:v>0</c:v>
                </c:pt>
                <c:pt idx="1">
                  <c:v>-0.42677643549640359</c:v>
                </c:pt>
              </c:numCache>
            </c:numRef>
          </c:xVal>
          <c:yVal>
            <c:numRef>
              <c:f>Data!$Y$3:$Y$4</c:f>
              <c:numCache>
                <c:formatCode>General</c:formatCode>
                <c:ptCount val="2"/>
                <c:pt idx="0">
                  <c:v>1</c:v>
                </c:pt>
                <c:pt idx="1">
                  <c:v>0.90435716069757754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2D-4F9F-9FF4-4097AB0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0-422E-A383-A88DE2DB9A8E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0-422E-A383-A88DE2DB9A8E}"/>
              </c:ext>
            </c:extLst>
          </c:dPt>
          <c:val>
            <c:numRef>
              <c:f>Data!$V$6:$W$6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0-422E-A383-A88DE2DB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Data!$X$6:$X$7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Data!$Y$6:$Y$7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0-422E-A383-A88DE2DB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Data!$V$1:$W$1</c:f>
              <c:strCache>
                <c:ptCount val="2"/>
                <c:pt idx="0">
                  <c:v>Fill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D-45A0-B0E5-0FB770E276C9}"/>
              </c:ext>
            </c:extLst>
          </c:dPt>
          <c:dPt>
            <c:idx val="1"/>
            <c:bubble3D val="0"/>
            <c:spPr>
              <a:solidFill>
                <a:srgbClr val="26A8AB"/>
              </a:solidFill>
              <a:ln w="28575">
                <a:solidFill>
                  <a:srgbClr val="26A8A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D-45A0-B0E5-0FB770E276C9}"/>
              </c:ext>
            </c:extLst>
          </c:dPt>
          <c:val>
            <c:numRef>
              <c:f>Data!$V$10:$W$10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D-45A0-B0E5-0FB770E2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Data!$X$1:$Y$1</c:f>
              <c:strCache>
                <c:ptCount val="2"/>
                <c:pt idx="0">
                  <c:v>End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26A8AB"/>
              </a:solidFill>
              <a:ln w="9525">
                <a:solidFill>
                  <a:srgbClr val="26A8AB"/>
                </a:solidFill>
              </a:ln>
              <a:effectLst/>
            </c:spPr>
          </c:marker>
          <c:xVal>
            <c:numRef>
              <c:f>Data!$X$9:$X$10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Data!$Y$9:$Y$10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D-45A0-B0E5-0FB770E2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6175"/>
        <c:axId val="1525487855"/>
      </c:scatterChart>
      <c:valAx>
        <c:axId val="152548785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525496175"/>
        <c:crosses val="autoZero"/>
        <c:crossBetween val="midCat"/>
      </c:valAx>
      <c:valAx>
        <c:axId val="1525496175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525487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_xlchart.v1.2</cx:f>
      </cx:numDim>
    </cx:data>
  </cx:chartData>
  <cx:chart>
    <cx:title pos="t" align="ctr" overlay="0">
      <cx:tx>
        <cx:txData>
          <cx:v>SAPED Strategies Tracker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SAPED Strategies Tracker</a:t>
          </a:r>
        </a:p>
      </cx:txPr>
    </cx:title>
    <cx:plotArea>
      <cx:plotAreaRegion>
        <cx:series layoutId="sunburst" uniqueId="{1D981900-575B-4C07-BF1C-E5FDC074F899}">
          <cx:tx>
            <cx:txData>
              <cx:f>_xlchart.v1.0</cx:f>
              <cx:v>Strategy 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O$90" max="7" min="1" page="10"/>
</file>

<file path=xl/ctrlProps/ctrlProp2.xml><?xml version="1.0" encoding="utf-8"?>
<formControlPr xmlns="http://schemas.microsoft.com/office/spreadsheetml/2009/9/main" objectType="Scroll" dx="22" fmlaLink="$AO$90" max="2" min="1" page="10"/>
</file>

<file path=xl/ctrlProps/ctrlProp3.xml><?xml version="1.0" encoding="utf-8"?>
<formControlPr xmlns="http://schemas.microsoft.com/office/spreadsheetml/2009/9/main" objectType="Scroll" dx="22" fmlaLink="$AO$90" max="63" min="1" page="10"/>
</file>

<file path=xl/ctrlProps/ctrlProp4.xml><?xml version="1.0" encoding="utf-8"?>
<formControlPr xmlns="http://schemas.microsoft.com/office/spreadsheetml/2009/9/main" objectType="Scroll" dx="22" fmlaLink="$AO$90" max="11" min="1" page="10"/>
</file>

<file path=xl/ctrlProps/ctrlProp5.xml><?xml version="1.0" encoding="utf-8"?>
<formControlPr xmlns="http://schemas.microsoft.com/office/spreadsheetml/2009/9/main" objectType="Scroll" dx="22" fmlaLink="$AO$90" max="12" min="1" page="10"/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13" Type="http://schemas.openxmlformats.org/officeDocument/2006/relationships/image" Target="../media/image13.png"/><Relationship Id="rId18" Type="http://schemas.openxmlformats.org/officeDocument/2006/relationships/chart" Target="../charts/chart20.xml"/><Relationship Id="rId3" Type="http://schemas.openxmlformats.org/officeDocument/2006/relationships/image" Target="../media/image2.png"/><Relationship Id="rId21" Type="http://schemas.openxmlformats.org/officeDocument/2006/relationships/chart" Target="../charts/chart23.xml"/><Relationship Id="rId7" Type="http://schemas.openxmlformats.org/officeDocument/2006/relationships/image" Target="../media/image12.png"/><Relationship Id="rId12" Type="http://schemas.microsoft.com/office/2007/relationships/hdphoto" Target="../media/hdphoto5.wdp"/><Relationship Id="rId17" Type="http://schemas.openxmlformats.org/officeDocument/2006/relationships/chart" Target="../charts/chart19.xml"/><Relationship Id="rId2" Type="http://schemas.openxmlformats.org/officeDocument/2006/relationships/image" Target="../media/image1.png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image" Target="../media/image1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chart" Target="../charts/chart17.xml"/><Relationship Id="rId10" Type="http://schemas.microsoft.com/office/2007/relationships/hdphoto" Target="../media/hdphoto4.wdp"/><Relationship Id="rId19" Type="http://schemas.openxmlformats.org/officeDocument/2006/relationships/chart" Target="../charts/chart21.xml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microsoft.com/office/2007/relationships/hdphoto" Target="../media/hdphoto8.wdp"/><Relationship Id="rId2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microsoft.com/office/2007/relationships/hdphoto" Target="../media/hdphoto8.wdp"/><Relationship Id="rId18" Type="http://schemas.openxmlformats.org/officeDocument/2006/relationships/chart" Target="../charts/chart29.xml"/><Relationship Id="rId3" Type="http://schemas.microsoft.com/office/2007/relationships/hdphoto" Target="../media/hdphoto1.wdp"/><Relationship Id="rId21" Type="http://schemas.openxmlformats.org/officeDocument/2006/relationships/chart" Target="../charts/chart32.xml"/><Relationship Id="rId7" Type="http://schemas.microsoft.com/office/2007/relationships/hdphoto" Target="../media/hdphoto7.wdp"/><Relationship Id="rId12" Type="http://schemas.openxmlformats.org/officeDocument/2006/relationships/image" Target="../media/image13.png"/><Relationship Id="rId17" Type="http://schemas.openxmlformats.org/officeDocument/2006/relationships/chart" Target="../charts/chart28.xml"/><Relationship Id="rId2" Type="http://schemas.openxmlformats.org/officeDocument/2006/relationships/image" Target="../media/image2.png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openxmlformats.org/officeDocument/2006/relationships/chart" Target="../charts/chart26.xml"/><Relationship Id="rId10" Type="http://schemas.openxmlformats.org/officeDocument/2006/relationships/image" Target="../media/image7.png"/><Relationship Id="rId19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microsoft.com/office/2007/relationships/hdphoto" Target="../media/hdphoto4.wdp"/><Relationship Id="rId14" Type="http://schemas.openxmlformats.org/officeDocument/2006/relationships/chart" Target="../charts/chart25.xml"/><Relationship Id="rId22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3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13" Type="http://schemas.openxmlformats.org/officeDocument/2006/relationships/image" Target="../media/image13.png"/><Relationship Id="rId18" Type="http://schemas.openxmlformats.org/officeDocument/2006/relationships/chart" Target="../charts/chart36.xml"/><Relationship Id="rId3" Type="http://schemas.openxmlformats.org/officeDocument/2006/relationships/image" Target="../media/image2.png"/><Relationship Id="rId7" Type="http://schemas.openxmlformats.org/officeDocument/2006/relationships/image" Target="../media/image12.png"/><Relationship Id="rId12" Type="http://schemas.microsoft.com/office/2007/relationships/hdphoto" Target="../media/hdphoto5.wdp"/><Relationship Id="rId17" Type="http://schemas.openxmlformats.org/officeDocument/2006/relationships/chart" Target="../charts/chart35.xml"/><Relationship Id="rId2" Type="http://schemas.openxmlformats.org/officeDocument/2006/relationships/image" Target="../media/image1.png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image" Target="../media/image1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chart" Target="../charts/chart33.xml"/><Relationship Id="rId10" Type="http://schemas.microsoft.com/office/2007/relationships/hdphoto" Target="../media/hdphoto4.wdp"/><Relationship Id="rId19" Type="http://schemas.openxmlformats.org/officeDocument/2006/relationships/chart" Target="../charts/chart37.xml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microsoft.com/office/2007/relationships/hdphoto" Target="../media/hdphoto8.wdp"/></Relationships>
</file>

<file path=xl/drawings/_rels/drawing27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13" Type="http://schemas.openxmlformats.org/officeDocument/2006/relationships/image" Target="../media/image13.png"/><Relationship Id="rId18" Type="http://schemas.openxmlformats.org/officeDocument/2006/relationships/chart" Target="../charts/chart42.xml"/><Relationship Id="rId3" Type="http://schemas.openxmlformats.org/officeDocument/2006/relationships/image" Target="../media/image2.png"/><Relationship Id="rId21" Type="http://schemas.openxmlformats.org/officeDocument/2006/relationships/chart" Target="../charts/chart45.xml"/><Relationship Id="rId7" Type="http://schemas.openxmlformats.org/officeDocument/2006/relationships/image" Target="../media/image12.png"/><Relationship Id="rId12" Type="http://schemas.microsoft.com/office/2007/relationships/hdphoto" Target="../media/hdphoto5.wdp"/><Relationship Id="rId17" Type="http://schemas.openxmlformats.org/officeDocument/2006/relationships/chart" Target="../charts/chart41.xml"/><Relationship Id="rId2" Type="http://schemas.openxmlformats.org/officeDocument/2006/relationships/image" Target="../media/image1.png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image" Target="../media/image1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chart" Target="../charts/chart39.xml"/><Relationship Id="rId10" Type="http://schemas.microsoft.com/office/2007/relationships/hdphoto" Target="../media/hdphoto4.wdp"/><Relationship Id="rId19" Type="http://schemas.openxmlformats.org/officeDocument/2006/relationships/chart" Target="../charts/chart43.xml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microsoft.com/office/2007/relationships/hdphoto" Target="../media/hdphoto8.wdp"/><Relationship Id="rId2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2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13" Type="http://schemas.openxmlformats.org/officeDocument/2006/relationships/image" Target="../media/image13.png"/><Relationship Id="rId18" Type="http://schemas.openxmlformats.org/officeDocument/2006/relationships/chart" Target="../charts/chart50.xml"/><Relationship Id="rId3" Type="http://schemas.openxmlformats.org/officeDocument/2006/relationships/image" Target="../media/image2.png"/><Relationship Id="rId21" Type="http://schemas.openxmlformats.org/officeDocument/2006/relationships/chart" Target="../charts/chart53.xml"/><Relationship Id="rId7" Type="http://schemas.openxmlformats.org/officeDocument/2006/relationships/image" Target="../media/image12.png"/><Relationship Id="rId12" Type="http://schemas.microsoft.com/office/2007/relationships/hdphoto" Target="../media/hdphoto5.wdp"/><Relationship Id="rId17" Type="http://schemas.openxmlformats.org/officeDocument/2006/relationships/chart" Target="../charts/chart49.xml"/><Relationship Id="rId2" Type="http://schemas.openxmlformats.org/officeDocument/2006/relationships/image" Target="../media/image1.png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image" Target="../media/image1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24" Type="http://schemas.openxmlformats.org/officeDocument/2006/relationships/chart" Target="../charts/chart56.xml"/><Relationship Id="rId5" Type="http://schemas.openxmlformats.org/officeDocument/2006/relationships/image" Target="../media/image4.png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microsoft.com/office/2007/relationships/hdphoto" Target="../media/hdphoto4.wdp"/><Relationship Id="rId19" Type="http://schemas.openxmlformats.org/officeDocument/2006/relationships/chart" Target="../charts/chart51.xml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microsoft.com/office/2007/relationships/hdphoto" Target="../media/hdphoto8.wdp"/><Relationship Id="rId22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8.png"/><Relationship Id="rId18" Type="http://schemas.openxmlformats.org/officeDocument/2006/relationships/chart" Target="../charts/chart8.xml"/><Relationship Id="rId26" Type="http://schemas.openxmlformats.org/officeDocument/2006/relationships/chart" Target="../charts/chart16.xml"/><Relationship Id="rId3" Type="http://schemas.microsoft.com/office/2007/relationships/hdphoto" Target="../media/hdphoto1.wdp"/><Relationship Id="rId21" Type="http://schemas.openxmlformats.org/officeDocument/2006/relationships/chart" Target="../charts/chart11.xml"/><Relationship Id="rId7" Type="http://schemas.openxmlformats.org/officeDocument/2006/relationships/image" Target="../media/image5.png"/><Relationship Id="rId12" Type="http://schemas.microsoft.com/office/2007/relationships/hdphoto" Target="../media/hdphoto5.wdp"/><Relationship Id="rId17" Type="http://schemas.openxmlformats.org/officeDocument/2006/relationships/chart" Target="../charts/chart7.xml"/><Relationship Id="rId25" Type="http://schemas.openxmlformats.org/officeDocument/2006/relationships/chart" Target="../charts/chart15.xml"/><Relationship Id="rId2" Type="http://schemas.openxmlformats.org/officeDocument/2006/relationships/image" Target="../media/image2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24" Type="http://schemas.openxmlformats.org/officeDocument/2006/relationships/chart" Target="../charts/chart14.xml"/><Relationship Id="rId5" Type="http://schemas.openxmlformats.org/officeDocument/2006/relationships/image" Target="../media/image4.png"/><Relationship Id="rId15" Type="http://schemas.openxmlformats.org/officeDocument/2006/relationships/chart" Target="../charts/chart5.xml"/><Relationship Id="rId23" Type="http://schemas.openxmlformats.org/officeDocument/2006/relationships/chart" Target="../charts/chart13.xml"/><Relationship Id="rId28" Type="http://schemas.openxmlformats.org/officeDocument/2006/relationships/image" Target="../media/image10.png"/><Relationship Id="rId10" Type="http://schemas.microsoft.com/office/2007/relationships/hdphoto" Target="../media/hdphoto4.wdp"/><Relationship Id="rId19" Type="http://schemas.openxmlformats.org/officeDocument/2006/relationships/chart" Target="../charts/chart9.xml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microsoft.com/office/2007/relationships/hdphoto" Target="../media/hdphoto6.wdp"/><Relationship Id="rId22" Type="http://schemas.openxmlformats.org/officeDocument/2006/relationships/chart" Target="../charts/chart12.xml"/><Relationship Id="rId27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2981324</xdr:colOff>
      <xdr:row>2</xdr:row>
      <xdr:rowOff>85724</xdr:rowOff>
    </xdr:from>
    <xdr:to>
      <xdr:col>1</xdr:col>
      <xdr:colOff>2990849</xdr:colOff>
      <xdr:row>7</xdr:row>
      <xdr:rowOff>457199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112059</xdr:rowOff>
    </xdr:from>
    <xdr:to>
      <xdr:col>11</xdr:col>
      <xdr:colOff>102454</xdr:colOff>
      <xdr:row>37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059"/>
              <a:ext cx="11570554" cy="9637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1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34ECEB59-E20D-4A7B-B82E-65527B285306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13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7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0F9BEC3E-7D34-4EE2-9344-0925C6FDF0EA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0.37265</cdr:x>
      <cdr:y>0.40349</cdr:y>
    </cdr:from>
    <cdr:to>
      <cdr:x>0.64354</cdr:x>
      <cdr:y>0.58098</cdr:y>
    </cdr:to>
    <cdr:sp macro="" textlink="Data!$P$1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18722" y="1019632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705A2E7B-DF85-4761-AB5A-CEF172C622CD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723899</xdr:colOff>
      <xdr:row>36</xdr:row>
      <xdr:rowOff>130627</xdr:rowOff>
    </xdr:from>
    <xdr:to>
      <xdr:col>16</xdr:col>
      <xdr:colOff>190499</xdr:colOff>
      <xdr:row>56</xdr:row>
      <xdr:rowOff>3627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B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3185" y="6988627"/>
          <a:ext cx="25905278" cy="5030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27432000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57</xdr:row>
      <xdr:rowOff>174625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0" y="470861"/>
          <a:ext cx="2855119" cy="11768764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2867024" y="470862"/>
          <a:ext cx="24564976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100585" cy="373136"/>
        </a:xfrm>
        <a:prstGeom prst="rect">
          <a:avLst/>
        </a:prstGeom>
      </xdr:spPr>
    </xdr:pic>
    <xdr:clientData/>
  </xdr:twoCellAnchor>
  <xdr:twoCellAnchor>
    <xdr:from>
      <xdr:col>0</xdr:col>
      <xdr:colOff>271425</xdr:colOff>
      <xdr:row>12</xdr:row>
      <xdr:rowOff>127267</xdr:rowOff>
    </xdr:from>
    <xdr:to>
      <xdr:col>5</xdr:col>
      <xdr:colOff>71437</xdr:colOff>
      <xdr:row>15</xdr:row>
      <xdr:rowOff>155138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271425" y="2413267"/>
          <a:ext cx="2848012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 flipH="1">
          <a:off x="1" y="1154088"/>
          <a:ext cx="287893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654048" y="1824200"/>
          <a:ext cx="134577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357336</xdr:colOff>
      <xdr:row>12</xdr:row>
      <xdr:rowOff>183593</xdr:rowOff>
    </xdr:from>
    <xdr:to>
      <xdr:col>1</xdr:col>
      <xdr:colOff>212075</xdr:colOff>
      <xdr:row>15</xdr:row>
      <xdr:rowOff>77082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57336" y="2469593"/>
          <a:ext cx="464339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38366" cy="339575"/>
        </a:xfrm>
        <a:prstGeom prst="rect">
          <a:avLst/>
        </a:prstGeom>
      </xdr:spPr>
    </xdr:pic>
    <xdr:clientData/>
  </xdr:twoCellAnchor>
  <xdr:twoCellAnchor editAs="absolute">
    <xdr:from>
      <xdr:col>4</xdr:col>
      <xdr:colOff>774700</xdr:colOff>
      <xdr:row>40</xdr:row>
      <xdr:rowOff>160540</xdr:rowOff>
    </xdr:from>
    <xdr:to>
      <xdr:col>16</xdr:col>
      <xdr:colOff>177800</xdr:colOff>
      <xdr:row>40</xdr:row>
      <xdr:rowOff>160540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>
          <a:cxnSpLocks/>
        </xdr:cNvCxnSpPr>
      </xdr:nvCxnSpPr>
      <xdr:spPr>
        <a:xfrm flipH="1">
          <a:off x="3213100" y="7780540"/>
          <a:ext cx="258699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38</xdr:row>
      <xdr:rowOff>106584</xdr:rowOff>
    </xdr:from>
    <xdr:to>
      <xdr:col>10</xdr:col>
      <xdr:colOff>165758</xdr:colOff>
      <xdr:row>40</xdr:row>
      <xdr:rowOff>140533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/>
      </xdr:nvSpPr>
      <xdr:spPr>
        <a:xfrm>
          <a:off x="3833462" y="7345584"/>
          <a:ext cx="207162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Action Plan</a:t>
          </a:r>
        </a:p>
      </xdr:txBody>
    </xdr:sp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/>
      </xdr:nvSpPr>
      <xdr:spPr>
        <a:xfrm>
          <a:off x="850791" y="2567401"/>
          <a:ext cx="1263759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817833" y="3172408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/>
      </xdr:nvSpPr>
      <xdr:spPr>
        <a:xfrm>
          <a:off x="797959" y="3768010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/>
      </xdr:nvSpPr>
      <xdr:spPr>
        <a:xfrm>
          <a:off x="817832" y="4282361"/>
          <a:ext cx="169200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803620" y="4958804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322152" y="107518"/>
          <a:ext cx="5769659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11944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61976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50100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4102101</xdr:colOff>
      <xdr:row>8</xdr:row>
      <xdr:rowOff>100950</xdr:rowOff>
    </xdr:from>
    <xdr:to>
      <xdr:col>8</xdr:col>
      <xdr:colOff>5295901</xdr:colOff>
      <xdr:row>35</xdr:row>
      <xdr:rowOff>127000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8978901" y="1624950"/>
          <a:ext cx="10045700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4</xdr:col>
      <xdr:colOff>835818</xdr:colOff>
      <xdr:row>8</xdr:row>
      <xdr:rowOff>100949</xdr:rowOff>
    </xdr:from>
    <xdr:to>
      <xdr:col>7</xdr:col>
      <xdr:colOff>3920394</xdr:colOff>
      <xdr:row>35</xdr:row>
      <xdr:rowOff>126999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3274218" y="1624949"/>
          <a:ext cx="5522976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7</xdr:col>
      <xdr:colOff>4102100</xdr:colOff>
      <xdr:row>11</xdr:row>
      <xdr:rowOff>177131</xdr:rowOff>
    </xdr:from>
    <xdr:to>
      <xdr:col>8</xdr:col>
      <xdr:colOff>5295900</xdr:colOff>
      <xdr:row>11</xdr:row>
      <xdr:rowOff>177131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 flipH="1">
          <a:off x="8978900" y="2272631"/>
          <a:ext cx="100457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5301768</xdr:colOff>
      <xdr:row>9</xdr:row>
      <xdr:rowOff>123176</xdr:rowOff>
    </xdr:from>
    <xdr:to>
      <xdr:col>7</xdr:col>
      <xdr:colOff>7785100</xdr:colOff>
      <xdr:row>11</xdr:row>
      <xdr:rowOff>157125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10178568" y="1837676"/>
          <a:ext cx="24833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Sub-Strategies</a:t>
          </a:r>
          <a:r>
            <a:rPr lang="en-US" sz="1200" b="1" cap="none" spc="0" baseline="0">
              <a:ln w="0"/>
              <a:solidFill>
                <a:srgbClr val="26A8AB"/>
              </a:solidFill>
              <a:latin typeface="Trebuchet MS" panose="020B0603020202020204" pitchFamily="34" charset="0"/>
            </a:rPr>
            <a:t> Progress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4</xdr:col>
      <xdr:colOff>800102</xdr:colOff>
      <xdr:row>11</xdr:row>
      <xdr:rowOff>177131</xdr:rowOff>
    </xdr:from>
    <xdr:to>
      <xdr:col>7</xdr:col>
      <xdr:colOff>3924300</xdr:colOff>
      <xdr:row>11</xdr:row>
      <xdr:rowOff>177131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>
          <a:cxnSpLocks/>
        </xdr:cNvCxnSpPr>
      </xdr:nvCxnSpPr>
      <xdr:spPr>
        <a:xfrm flipH="1">
          <a:off x="3238502" y="2272631"/>
          <a:ext cx="5562598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385984</xdr:colOff>
      <xdr:row>9</xdr:row>
      <xdr:rowOff>123176</xdr:rowOff>
    </xdr:from>
    <xdr:to>
      <xdr:col>7</xdr:col>
      <xdr:colOff>1522424</xdr:colOff>
      <xdr:row>11</xdr:row>
      <xdr:rowOff>157125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3992784" y="1837676"/>
          <a:ext cx="240644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Overall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8191500</xdr:colOff>
      <xdr:row>15</xdr:row>
      <xdr:rowOff>127000</xdr:rowOff>
    </xdr:from>
    <xdr:to>
      <xdr:col>8</xdr:col>
      <xdr:colOff>1259840</xdr:colOff>
      <xdr:row>25</xdr:row>
      <xdr:rowOff>142240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SpPr/>
      </xdr:nvSpPr>
      <xdr:spPr>
        <a:xfrm>
          <a:off x="13068300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8</xdr:col>
      <xdr:colOff>2298700</xdr:colOff>
      <xdr:row>15</xdr:row>
      <xdr:rowOff>127000</xdr:rowOff>
    </xdr:from>
    <xdr:to>
      <xdr:col>8</xdr:col>
      <xdr:colOff>4218940</xdr:colOff>
      <xdr:row>25</xdr:row>
      <xdr:rowOff>142240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SpPr/>
      </xdr:nvSpPr>
      <xdr:spPr>
        <a:xfrm>
          <a:off x="16027400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6</xdr:col>
      <xdr:colOff>729914</xdr:colOff>
      <xdr:row>14</xdr:row>
      <xdr:rowOff>33347</xdr:rowOff>
    </xdr:from>
    <xdr:to>
      <xdr:col>7</xdr:col>
      <xdr:colOff>2562682</xdr:colOff>
      <xdr:row>27</xdr:row>
      <xdr:rowOff>83878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7</xdr:col>
      <xdr:colOff>7634289</xdr:colOff>
      <xdr:row>14</xdr:row>
      <xdr:rowOff>17607</xdr:rowOff>
    </xdr:from>
    <xdr:to>
      <xdr:col>8</xdr:col>
      <xdr:colOff>1770857</xdr:colOff>
      <xdr:row>27</xdr:row>
      <xdr:rowOff>68138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8</xdr:col>
      <xdr:colOff>1762350</xdr:colOff>
      <xdr:row>14</xdr:row>
      <xdr:rowOff>17606</xdr:rowOff>
    </xdr:from>
    <xdr:to>
      <xdr:col>8</xdr:col>
      <xdr:colOff>4750818</xdr:colOff>
      <xdr:row>27</xdr:row>
      <xdr:rowOff>68137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7</xdr:col>
      <xdr:colOff>5187468</xdr:colOff>
      <xdr:row>12</xdr:row>
      <xdr:rowOff>148576</xdr:rowOff>
    </xdr:from>
    <xdr:to>
      <xdr:col>7</xdr:col>
      <xdr:colOff>7048500</xdr:colOff>
      <xdr:row>14</xdr:row>
      <xdr:rowOff>182525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/>
      </xdr:nvSpPr>
      <xdr:spPr>
        <a:xfrm>
          <a:off x="10064268" y="2434576"/>
          <a:ext cx="18610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Strategy Fulfilment</a:t>
          </a:r>
        </a:p>
      </xdr:txBody>
    </xdr:sp>
    <xdr:clientData/>
  </xdr:twoCellAnchor>
  <xdr:twoCellAnchor editAs="absolute">
    <xdr:from>
      <xdr:col>7</xdr:col>
      <xdr:colOff>8191015</xdr:colOff>
      <xdr:row>12</xdr:row>
      <xdr:rowOff>148576</xdr:rowOff>
    </xdr:from>
    <xdr:to>
      <xdr:col>8</xdr:col>
      <xdr:colOff>1200147</xdr:colOff>
      <xdr:row>14</xdr:row>
      <xdr:rowOff>182525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13067815" y="2434576"/>
          <a:ext cx="18610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Culture Shift Trigger</a:t>
          </a:r>
        </a:p>
      </xdr:txBody>
    </xdr:sp>
    <xdr:clientData/>
  </xdr:twoCellAnchor>
  <xdr:twoCellAnchor editAs="absolute">
    <xdr:from>
      <xdr:col>8</xdr:col>
      <xdr:colOff>2280975</xdr:colOff>
      <xdr:row>12</xdr:row>
      <xdr:rowOff>161276</xdr:rowOff>
    </xdr:from>
    <xdr:to>
      <xdr:col>8</xdr:col>
      <xdr:colOff>4142008</xdr:colOff>
      <xdr:row>15</xdr:row>
      <xdr:rowOff>4725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/>
      </xdr:nvSpPr>
      <xdr:spPr>
        <a:xfrm>
          <a:off x="16009675" y="2447276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Exposure/Footprint</a:t>
          </a:r>
        </a:p>
      </xdr:txBody>
    </xdr:sp>
    <xdr:clientData/>
  </xdr:twoCellAnchor>
  <xdr:twoCellAnchor editAs="absolute">
    <xdr:from>
      <xdr:col>6</xdr:col>
      <xdr:colOff>911679</xdr:colOff>
      <xdr:row>12</xdr:row>
      <xdr:rowOff>166263</xdr:rowOff>
    </xdr:from>
    <xdr:to>
      <xdr:col>7</xdr:col>
      <xdr:colOff>2207078</xdr:colOff>
      <xdr:row>15</xdr:row>
      <xdr:rowOff>9712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/>
      </xdr:nvSpPr>
      <xdr:spPr>
        <a:xfrm>
          <a:off x="4531179" y="2452263"/>
          <a:ext cx="256086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Re-Branding Overall</a:t>
          </a:r>
          <a:r>
            <a:rPr lang="en-US" sz="12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 Status</a:t>
          </a:r>
          <a:endParaRPr lang="en-US" sz="1200" b="1" cap="none" spc="0">
            <a:ln w="0"/>
            <a:solidFill>
              <a:schemeClr val="tx1">
                <a:lumMod val="50000"/>
                <a:lumOff val="50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6</xdr:col>
      <xdr:colOff>435429</xdr:colOff>
      <xdr:row>27</xdr:row>
      <xdr:rowOff>65572</xdr:rowOff>
    </xdr:from>
    <xdr:to>
      <xdr:col>7</xdr:col>
      <xdr:colOff>2789465</xdr:colOff>
      <xdr:row>33</xdr:row>
      <xdr:rowOff>65571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7</xdr:col>
      <xdr:colOff>8105321</xdr:colOff>
      <xdr:row>26</xdr:row>
      <xdr:rowOff>141772</xdr:rowOff>
    </xdr:from>
    <xdr:to>
      <xdr:col>8</xdr:col>
      <xdr:colOff>1277825</xdr:colOff>
      <xdr:row>32</xdr:row>
      <xdr:rowOff>141771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2236100</xdr:colOff>
      <xdr:row>26</xdr:row>
      <xdr:rowOff>141772</xdr:rowOff>
    </xdr:from>
    <xdr:to>
      <xdr:col>8</xdr:col>
      <xdr:colOff>4257783</xdr:colOff>
      <xdr:row>32</xdr:row>
      <xdr:rowOff>141771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7</xdr:col>
      <xdr:colOff>5181600</xdr:colOff>
      <xdr:row>15</xdr:row>
      <xdr:rowOff>114300</xdr:rowOff>
    </xdr:from>
    <xdr:to>
      <xdr:col>7</xdr:col>
      <xdr:colOff>7101840</xdr:colOff>
      <xdr:row>25</xdr:row>
      <xdr:rowOff>129540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SpPr/>
      </xdr:nvSpPr>
      <xdr:spPr>
        <a:xfrm>
          <a:off x="10058400" y="29718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4673600</xdr:colOff>
      <xdr:row>14</xdr:row>
      <xdr:rowOff>24750</xdr:rowOff>
    </xdr:from>
    <xdr:to>
      <xdr:col>7</xdr:col>
      <xdr:colOff>7662068</xdr:colOff>
      <xdr:row>27</xdr:row>
      <xdr:rowOff>75281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5142930</xdr:colOff>
      <xdr:row>26</xdr:row>
      <xdr:rowOff>145875</xdr:rowOff>
    </xdr:from>
    <xdr:to>
      <xdr:col>7</xdr:col>
      <xdr:colOff>7167334</xdr:colOff>
      <xdr:row>32</xdr:row>
      <xdr:rowOff>145874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B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41</xdr:row>
          <xdr:rowOff>180975</xdr:rowOff>
        </xdr:from>
        <xdr:to>
          <xdr:col>15</xdr:col>
          <xdr:colOff>295275</xdr:colOff>
          <xdr:row>52</xdr:row>
          <xdr:rowOff>200025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B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5473700</xdr:colOff>
      <xdr:row>8</xdr:row>
      <xdr:rowOff>101600</xdr:rowOff>
    </xdr:from>
    <xdr:to>
      <xdr:col>16</xdr:col>
      <xdr:colOff>177800</xdr:colOff>
      <xdr:row>35</xdr:row>
      <xdr:rowOff>127650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00000000-0008-0000-0B00-000055000000}"/>
            </a:ext>
          </a:extLst>
        </xdr:cNvPr>
        <xdr:cNvSpPr/>
      </xdr:nvSpPr>
      <xdr:spPr>
        <a:xfrm>
          <a:off x="19202400" y="1625600"/>
          <a:ext cx="9880600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5435600</xdr:colOff>
      <xdr:row>11</xdr:row>
      <xdr:rowOff>177782</xdr:rowOff>
    </xdr:from>
    <xdr:to>
      <xdr:col>16</xdr:col>
      <xdr:colOff>177800</xdr:colOff>
      <xdr:row>11</xdr:row>
      <xdr:rowOff>177782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B00-000056000000}"/>
            </a:ext>
          </a:extLst>
        </xdr:cNvPr>
        <xdr:cNvCxnSpPr>
          <a:cxnSpLocks/>
        </xdr:cNvCxnSpPr>
      </xdr:nvCxnSpPr>
      <xdr:spPr>
        <a:xfrm flipH="1">
          <a:off x="19164300" y="2273282"/>
          <a:ext cx="99187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5681882</xdr:colOff>
      <xdr:row>9</xdr:row>
      <xdr:rowOff>123827</xdr:rowOff>
    </xdr:from>
    <xdr:to>
      <xdr:col>9</xdr:col>
      <xdr:colOff>442922</xdr:colOff>
      <xdr:row>11</xdr:row>
      <xdr:rowOff>157776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B00-000057000000}"/>
            </a:ext>
          </a:extLst>
        </xdr:cNvPr>
        <xdr:cNvSpPr/>
      </xdr:nvSpPr>
      <xdr:spPr>
        <a:xfrm>
          <a:off x="19410582" y="1838327"/>
          <a:ext cx="240644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Timeline/Roadmap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9</xdr:row>
      <xdr:rowOff>0</xdr:rowOff>
    </xdr:from>
    <xdr:to>
      <xdr:col>4</xdr:col>
      <xdr:colOff>435428</xdr:colOff>
      <xdr:row>11</xdr:row>
      <xdr:rowOff>122464</xdr:rowOff>
    </xdr:to>
    <xdr:sp macro="[0]!Rectangle97_Click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B00-000062000000}"/>
            </a:ext>
          </a:extLst>
        </xdr:cNvPr>
        <xdr:cNvSpPr/>
      </xdr:nvSpPr>
      <xdr:spPr>
        <a:xfrm>
          <a:off x="381000" y="1714500"/>
          <a:ext cx="2503714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244929</xdr:colOff>
      <xdr:row>15</xdr:row>
      <xdr:rowOff>130682</xdr:rowOff>
    </xdr:from>
    <xdr:to>
      <xdr:col>4</xdr:col>
      <xdr:colOff>408215</xdr:colOff>
      <xdr:row>18</xdr:row>
      <xdr:rowOff>144289</xdr:rowOff>
    </xdr:to>
    <xdr:sp macro="[0]!Rectangle46_Click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B00-000064000000}"/>
            </a:ext>
          </a:extLst>
        </xdr:cNvPr>
        <xdr:cNvSpPr/>
      </xdr:nvSpPr>
      <xdr:spPr>
        <a:xfrm>
          <a:off x="244929" y="2988182"/>
          <a:ext cx="2612572" cy="5851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19</xdr:row>
      <xdr:rowOff>0</xdr:rowOff>
    </xdr:from>
    <xdr:to>
      <xdr:col>4</xdr:col>
      <xdr:colOff>421821</xdr:colOff>
      <xdr:row>22</xdr:row>
      <xdr:rowOff>0</xdr:rowOff>
    </xdr:to>
    <xdr:sp macro="[0]!Rectangle33_Click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/>
      </xdr:nvSpPr>
      <xdr:spPr>
        <a:xfrm>
          <a:off x="299357" y="3619500"/>
          <a:ext cx="25717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285750</xdr:colOff>
      <xdr:row>21</xdr:row>
      <xdr:rowOff>176893</xdr:rowOff>
    </xdr:from>
    <xdr:to>
      <xdr:col>4</xdr:col>
      <xdr:colOff>408214</xdr:colOff>
      <xdr:row>25</xdr:row>
      <xdr:rowOff>40821</xdr:rowOff>
    </xdr:to>
    <xdr:sp macro="[0]!Sustainability_Rectangle53_Click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/>
      </xdr:nvSpPr>
      <xdr:spPr>
        <a:xfrm>
          <a:off x="285750" y="4177393"/>
          <a:ext cx="257175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25</xdr:row>
      <xdr:rowOff>40822</xdr:rowOff>
    </xdr:from>
    <xdr:to>
      <xdr:col>4</xdr:col>
      <xdr:colOff>394607</xdr:colOff>
      <xdr:row>28</xdr:row>
      <xdr:rowOff>54430</xdr:rowOff>
    </xdr:to>
    <xdr:sp macro="[0]!Rectangle56_Click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/>
      </xdr:nvSpPr>
      <xdr:spPr>
        <a:xfrm>
          <a:off x="299357" y="4803322"/>
          <a:ext cx="2544536" cy="585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0.40636</cdr:x>
      <cdr:y>0.40349</cdr:y>
    </cdr:from>
    <cdr:to>
      <cdr:x>0.60982</cdr:x>
      <cdr:y>0.58098</cdr:y>
    </cdr:to>
    <cdr:sp macro="" textlink="Data!$P$2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58998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E03C5F2F-10A0-49BD-A2F6-1A9F15D6AA59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7%</a:t>
          </a:fld>
          <a:endParaRPr lang="en-US" sz="28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0.40237</cdr:x>
      <cdr:y>0.40349</cdr:y>
    </cdr:from>
    <cdr:to>
      <cdr:x>0.61382</cdr:x>
      <cdr:y>0.58098</cdr:y>
    </cdr:to>
    <cdr:sp macro="" textlink="Data!$P$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95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109D41AF-1ADB-437B-BC94-CCE00C25ABAB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0.40263</cdr:x>
      <cdr:y>0.40349</cdr:y>
    </cdr:from>
    <cdr:to>
      <cdr:x>0.61356</cdr:x>
      <cdr:y>0.58098</cdr:y>
    </cdr:to>
    <cdr:sp macro="" textlink="Data!$P$5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03243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EE04058B-1A41-4ABD-8347-90C8B32D7E03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0.36809</cdr:x>
      <cdr:y>0.39954</cdr:y>
    </cdr:from>
    <cdr:to>
      <cdr:x>0.64021</cdr:x>
      <cdr:y>0.57703</cdr:y>
    </cdr:to>
    <cdr:sp macro="" textlink="Data!$P$3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00019" y="1009650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B8C16328-DD47-4CDB-BD31-252D7BA0275F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13%</a:t>
          </a:fld>
          <a:endParaRPr lang="en-US" sz="857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0"/>
          <a:ext cx="46558200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57</xdr:row>
      <xdr:rowOff>174625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0" y="470861"/>
          <a:ext cx="2855119" cy="11924339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271425</xdr:colOff>
      <xdr:row>15</xdr:row>
      <xdr:rowOff>168086</xdr:rowOff>
    </xdr:from>
    <xdr:to>
      <xdr:col>5</xdr:col>
      <xdr:colOff>71437</xdr:colOff>
      <xdr:row>19</xdr:row>
      <xdr:rowOff>5457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271425" y="3025586"/>
          <a:ext cx="3174583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2867024" y="470862"/>
          <a:ext cx="43691176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100585" cy="373136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H="1">
          <a:off x="1" y="1154088"/>
          <a:ext cx="287893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654048" y="1824200"/>
          <a:ext cx="134577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357336</xdr:colOff>
      <xdr:row>16</xdr:row>
      <xdr:rowOff>33912</xdr:rowOff>
    </xdr:from>
    <xdr:to>
      <xdr:col>1</xdr:col>
      <xdr:colOff>212075</xdr:colOff>
      <xdr:row>18</xdr:row>
      <xdr:rowOff>117901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57336" y="3081912"/>
          <a:ext cx="467060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38366" cy="339575"/>
        </a:xfrm>
        <a:prstGeom prst="rect">
          <a:avLst/>
        </a:prstGeom>
      </xdr:spPr>
    </xdr:pic>
    <xdr:clientData/>
  </xdr:twoCellAnchor>
  <xdr:twoCellAnchor editAs="absolute">
    <xdr:from>
      <xdr:col>4</xdr:col>
      <xdr:colOff>774700</xdr:colOff>
      <xdr:row>40</xdr:row>
      <xdr:rowOff>160540</xdr:rowOff>
    </xdr:from>
    <xdr:to>
      <xdr:col>16</xdr:col>
      <xdr:colOff>177800</xdr:colOff>
      <xdr:row>40</xdr:row>
      <xdr:rowOff>160540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>
          <a:cxnSpLocks/>
        </xdr:cNvCxnSpPr>
      </xdr:nvCxnSpPr>
      <xdr:spPr>
        <a:xfrm flipH="1">
          <a:off x="3213100" y="7780540"/>
          <a:ext cx="258445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38</xdr:row>
      <xdr:rowOff>106584</xdr:rowOff>
    </xdr:from>
    <xdr:to>
      <xdr:col>10</xdr:col>
      <xdr:colOff>165758</xdr:colOff>
      <xdr:row>40</xdr:row>
      <xdr:rowOff>140533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827112" y="7345584"/>
          <a:ext cx="207035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Action Plan</a:t>
          </a:r>
        </a:p>
      </xdr:txBody>
    </xdr:sp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850791" y="2567401"/>
          <a:ext cx="1263759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817833" y="3172408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tx1">
                  <a:lumMod val="75000"/>
                  <a:lumOff val="25000"/>
                </a:schemeClr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tx1">
                <a:lumMod val="75000"/>
                <a:lumOff val="25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797959" y="3768010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817832" y="4282361"/>
          <a:ext cx="169200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803620" y="4958804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22152" y="107518"/>
          <a:ext cx="21638309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11944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61976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50100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4102101</xdr:colOff>
      <xdr:row>8</xdr:row>
      <xdr:rowOff>100950</xdr:rowOff>
    </xdr:from>
    <xdr:to>
      <xdr:col>8</xdr:col>
      <xdr:colOff>5295901</xdr:colOff>
      <xdr:row>35</xdr:row>
      <xdr:rowOff>127000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/>
      </xdr:nvSpPr>
      <xdr:spPr>
        <a:xfrm>
          <a:off x="8969376" y="1624950"/>
          <a:ext cx="10042525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4</xdr:col>
      <xdr:colOff>835818</xdr:colOff>
      <xdr:row>8</xdr:row>
      <xdr:rowOff>100949</xdr:rowOff>
    </xdr:from>
    <xdr:to>
      <xdr:col>7</xdr:col>
      <xdr:colOff>3920394</xdr:colOff>
      <xdr:row>35</xdr:row>
      <xdr:rowOff>126999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/>
      </xdr:nvSpPr>
      <xdr:spPr>
        <a:xfrm>
          <a:off x="3274218" y="1624949"/>
          <a:ext cx="551345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7</xdr:col>
      <xdr:colOff>4102100</xdr:colOff>
      <xdr:row>11</xdr:row>
      <xdr:rowOff>177131</xdr:rowOff>
    </xdr:from>
    <xdr:to>
      <xdr:col>8</xdr:col>
      <xdr:colOff>5295900</xdr:colOff>
      <xdr:row>11</xdr:row>
      <xdr:rowOff>177131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 flipH="1">
          <a:off x="8969375" y="2272631"/>
          <a:ext cx="10042525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5301768</xdr:colOff>
      <xdr:row>9</xdr:row>
      <xdr:rowOff>123176</xdr:rowOff>
    </xdr:from>
    <xdr:to>
      <xdr:col>7</xdr:col>
      <xdr:colOff>7785100</xdr:colOff>
      <xdr:row>11</xdr:row>
      <xdr:rowOff>157125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/>
      </xdr:nvSpPr>
      <xdr:spPr>
        <a:xfrm>
          <a:off x="10169043" y="1837676"/>
          <a:ext cx="24833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Sub-Strategies</a:t>
          </a:r>
          <a:r>
            <a:rPr lang="en-US" sz="1200" b="1" cap="none" spc="0" baseline="0">
              <a:ln w="0"/>
              <a:solidFill>
                <a:srgbClr val="26A8AB"/>
              </a:solidFill>
              <a:latin typeface="Trebuchet MS" panose="020B0603020202020204" pitchFamily="34" charset="0"/>
            </a:rPr>
            <a:t> Progress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4</xdr:col>
      <xdr:colOff>800102</xdr:colOff>
      <xdr:row>11</xdr:row>
      <xdr:rowOff>177131</xdr:rowOff>
    </xdr:from>
    <xdr:to>
      <xdr:col>7</xdr:col>
      <xdr:colOff>3924300</xdr:colOff>
      <xdr:row>11</xdr:row>
      <xdr:rowOff>177131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>
          <a:cxnSpLocks/>
        </xdr:cNvCxnSpPr>
      </xdr:nvCxnSpPr>
      <xdr:spPr>
        <a:xfrm flipH="1">
          <a:off x="3238502" y="2272631"/>
          <a:ext cx="555307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385984</xdr:colOff>
      <xdr:row>9</xdr:row>
      <xdr:rowOff>123176</xdr:rowOff>
    </xdr:from>
    <xdr:to>
      <xdr:col>7</xdr:col>
      <xdr:colOff>1522424</xdr:colOff>
      <xdr:row>11</xdr:row>
      <xdr:rowOff>157125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/>
      </xdr:nvSpPr>
      <xdr:spPr>
        <a:xfrm>
          <a:off x="3986434" y="1837676"/>
          <a:ext cx="240326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Overall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8191500</xdr:colOff>
      <xdr:row>15</xdr:row>
      <xdr:rowOff>127000</xdr:rowOff>
    </xdr:from>
    <xdr:to>
      <xdr:col>8</xdr:col>
      <xdr:colOff>1259840</xdr:colOff>
      <xdr:row>25</xdr:row>
      <xdr:rowOff>142240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/>
      </xdr:nvSpPr>
      <xdr:spPr>
        <a:xfrm>
          <a:off x="13058775" y="2984500"/>
          <a:ext cx="1917065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8</xdr:col>
      <xdr:colOff>2298700</xdr:colOff>
      <xdr:row>15</xdr:row>
      <xdr:rowOff>127000</xdr:rowOff>
    </xdr:from>
    <xdr:to>
      <xdr:col>8</xdr:col>
      <xdr:colOff>4218940</xdr:colOff>
      <xdr:row>25</xdr:row>
      <xdr:rowOff>142240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/>
      </xdr:nvSpPr>
      <xdr:spPr>
        <a:xfrm>
          <a:off x="16014700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770504</xdr:colOff>
      <xdr:row>14</xdr:row>
      <xdr:rowOff>46521</xdr:rowOff>
    </xdr:from>
    <xdr:to>
      <xdr:col>7</xdr:col>
      <xdr:colOff>2507115</xdr:colOff>
      <xdr:row>27</xdr:row>
      <xdr:rowOff>97052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312965</xdr:colOff>
      <xdr:row>27</xdr:row>
      <xdr:rowOff>75435</xdr:rowOff>
    </xdr:from>
    <xdr:to>
      <xdr:col>7</xdr:col>
      <xdr:colOff>2843893</xdr:colOff>
      <xdr:row>33</xdr:row>
      <xdr:rowOff>75434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7</xdr:col>
      <xdr:colOff>7634289</xdr:colOff>
      <xdr:row>14</xdr:row>
      <xdr:rowOff>17607</xdr:rowOff>
    </xdr:from>
    <xdr:to>
      <xdr:col>8</xdr:col>
      <xdr:colOff>1770857</xdr:colOff>
      <xdr:row>27</xdr:row>
      <xdr:rowOff>68138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8</xdr:col>
      <xdr:colOff>1762350</xdr:colOff>
      <xdr:row>14</xdr:row>
      <xdr:rowOff>17606</xdr:rowOff>
    </xdr:from>
    <xdr:to>
      <xdr:col>8</xdr:col>
      <xdr:colOff>4750818</xdr:colOff>
      <xdr:row>27</xdr:row>
      <xdr:rowOff>68137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7</xdr:col>
      <xdr:colOff>5187468</xdr:colOff>
      <xdr:row>12</xdr:row>
      <xdr:rowOff>148576</xdr:rowOff>
    </xdr:from>
    <xdr:to>
      <xdr:col>7</xdr:col>
      <xdr:colOff>7048500</xdr:colOff>
      <xdr:row>14</xdr:row>
      <xdr:rowOff>182525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/>
      </xdr:nvSpPr>
      <xdr:spPr>
        <a:xfrm>
          <a:off x="10054743" y="2434576"/>
          <a:ext cx="18610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Value Creation</a:t>
          </a:r>
        </a:p>
      </xdr:txBody>
    </xdr:sp>
    <xdr:clientData/>
  </xdr:twoCellAnchor>
  <xdr:twoCellAnchor editAs="absolute">
    <xdr:from>
      <xdr:col>7</xdr:col>
      <xdr:colOff>8191015</xdr:colOff>
      <xdr:row>12</xdr:row>
      <xdr:rowOff>148576</xdr:rowOff>
    </xdr:from>
    <xdr:to>
      <xdr:col>8</xdr:col>
      <xdr:colOff>1200147</xdr:colOff>
      <xdr:row>14</xdr:row>
      <xdr:rowOff>182525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/>
      </xdr:nvSpPr>
      <xdr:spPr>
        <a:xfrm>
          <a:off x="13058290" y="2434576"/>
          <a:ext cx="185785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Cost Intelligence Hub</a:t>
          </a:r>
        </a:p>
      </xdr:txBody>
    </xdr:sp>
    <xdr:clientData/>
  </xdr:twoCellAnchor>
  <xdr:twoCellAnchor editAs="absolute">
    <xdr:from>
      <xdr:col>8</xdr:col>
      <xdr:colOff>2280975</xdr:colOff>
      <xdr:row>12</xdr:row>
      <xdr:rowOff>161276</xdr:rowOff>
    </xdr:from>
    <xdr:to>
      <xdr:col>8</xdr:col>
      <xdr:colOff>4142008</xdr:colOff>
      <xdr:row>15</xdr:row>
      <xdr:rowOff>4725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/>
      </xdr:nvSpPr>
      <xdr:spPr>
        <a:xfrm>
          <a:off x="15996975" y="2447276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Culture Creation</a:t>
          </a:r>
        </a:p>
      </xdr:txBody>
    </xdr:sp>
    <xdr:clientData/>
  </xdr:twoCellAnchor>
  <xdr:twoCellAnchor editAs="absolute">
    <xdr:from>
      <xdr:col>6</xdr:col>
      <xdr:colOff>911679</xdr:colOff>
      <xdr:row>12</xdr:row>
      <xdr:rowOff>166263</xdr:rowOff>
    </xdr:from>
    <xdr:to>
      <xdr:col>7</xdr:col>
      <xdr:colOff>2207078</xdr:colOff>
      <xdr:row>15</xdr:row>
      <xdr:rowOff>9712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/>
      </xdr:nvSpPr>
      <xdr:spPr>
        <a:xfrm>
          <a:off x="4512129" y="2452263"/>
          <a:ext cx="2562224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Cost Efficiency Overall</a:t>
          </a:r>
          <a:r>
            <a:rPr lang="en-US" sz="12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 Status</a:t>
          </a:r>
          <a:endParaRPr lang="en-US" sz="1200" b="1" cap="none" spc="0">
            <a:ln w="0"/>
            <a:solidFill>
              <a:schemeClr val="tx1">
                <a:lumMod val="50000"/>
                <a:lumOff val="50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8105321</xdr:colOff>
      <xdr:row>26</xdr:row>
      <xdr:rowOff>141772</xdr:rowOff>
    </xdr:from>
    <xdr:to>
      <xdr:col>8</xdr:col>
      <xdr:colOff>1277825</xdr:colOff>
      <xdr:row>32</xdr:row>
      <xdr:rowOff>141771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8</xdr:col>
      <xdr:colOff>2236100</xdr:colOff>
      <xdr:row>26</xdr:row>
      <xdr:rowOff>141772</xdr:rowOff>
    </xdr:from>
    <xdr:to>
      <xdr:col>8</xdr:col>
      <xdr:colOff>4257783</xdr:colOff>
      <xdr:row>32</xdr:row>
      <xdr:rowOff>141771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7</xdr:col>
      <xdr:colOff>5181600</xdr:colOff>
      <xdr:row>15</xdr:row>
      <xdr:rowOff>114300</xdr:rowOff>
    </xdr:from>
    <xdr:to>
      <xdr:col>7</xdr:col>
      <xdr:colOff>7101840</xdr:colOff>
      <xdr:row>25</xdr:row>
      <xdr:rowOff>129540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/>
      </xdr:nvSpPr>
      <xdr:spPr>
        <a:xfrm>
          <a:off x="10048875" y="29718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4673600</xdr:colOff>
      <xdr:row>14</xdr:row>
      <xdr:rowOff>24750</xdr:rowOff>
    </xdr:from>
    <xdr:to>
      <xdr:col>7</xdr:col>
      <xdr:colOff>7662068</xdr:colOff>
      <xdr:row>27</xdr:row>
      <xdr:rowOff>75281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7</xdr:col>
      <xdr:colOff>5142930</xdr:colOff>
      <xdr:row>26</xdr:row>
      <xdr:rowOff>145875</xdr:rowOff>
    </xdr:from>
    <xdr:to>
      <xdr:col>7</xdr:col>
      <xdr:colOff>7167334</xdr:colOff>
      <xdr:row>32</xdr:row>
      <xdr:rowOff>145874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41</xdr:row>
          <xdr:rowOff>180975</xdr:rowOff>
        </xdr:from>
        <xdr:to>
          <xdr:col>15</xdr:col>
          <xdr:colOff>295275</xdr:colOff>
          <xdr:row>52</xdr:row>
          <xdr:rowOff>200025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5473700</xdr:colOff>
      <xdr:row>8</xdr:row>
      <xdr:rowOff>101600</xdr:rowOff>
    </xdr:from>
    <xdr:to>
      <xdr:col>16</xdr:col>
      <xdr:colOff>177800</xdr:colOff>
      <xdr:row>35</xdr:row>
      <xdr:rowOff>127650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/>
      </xdr:nvSpPr>
      <xdr:spPr>
        <a:xfrm>
          <a:off x="19189700" y="1625600"/>
          <a:ext cx="9867900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5435600</xdr:colOff>
      <xdr:row>11</xdr:row>
      <xdr:rowOff>177782</xdr:rowOff>
    </xdr:from>
    <xdr:to>
      <xdr:col>16</xdr:col>
      <xdr:colOff>177800</xdr:colOff>
      <xdr:row>11</xdr:row>
      <xdr:rowOff>177782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CxnSpPr>
          <a:cxnSpLocks/>
        </xdr:cNvCxnSpPr>
      </xdr:nvCxnSpPr>
      <xdr:spPr>
        <a:xfrm flipH="1">
          <a:off x="19151600" y="2273282"/>
          <a:ext cx="99060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5681882</xdr:colOff>
      <xdr:row>9</xdr:row>
      <xdr:rowOff>123827</xdr:rowOff>
    </xdr:from>
    <xdr:to>
      <xdr:col>9</xdr:col>
      <xdr:colOff>442922</xdr:colOff>
      <xdr:row>11</xdr:row>
      <xdr:rowOff>157776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SpPr/>
      </xdr:nvSpPr>
      <xdr:spPr>
        <a:xfrm>
          <a:off x="19397882" y="1838327"/>
          <a:ext cx="240009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Timeline/Roadmap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9</xdr:row>
      <xdr:rowOff>0</xdr:rowOff>
    </xdr:from>
    <xdr:to>
      <xdr:col>4</xdr:col>
      <xdr:colOff>435428</xdr:colOff>
      <xdr:row>11</xdr:row>
      <xdr:rowOff>122464</xdr:rowOff>
    </xdr:to>
    <xdr:sp macro="[0]!Rectangle97_Click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/>
      </xdr:nvSpPr>
      <xdr:spPr>
        <a:xfrm>
          <a:off x="381000" y="1714500"/>
          <a:ext cx="2492828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299358</xdr:colOff>
      <xdr:row>15</xdr:row>
      <xdr:rowOff>176893</xdr:rowOff>
    </xdr:from>
    <xdr:to>
      <xdr:col>4</xdr:col>
      <xdr:colOff>462644</xdr:colOff>
      <xdr:row>19</xdr:row>
      <xdr:rowOff>0</xdr:rowOff>
    </xdr:to>
    <xdr:sp macro="[0]!Rectangle46_Click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/>
      </xdr:nvSpPr>
      <xdr:spPr>
        <a:xfrm>
          <a:off x="299358" y="3034393"/>
          <a:ext cx="2612572" cy="5851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285750</xdr:colOff>
      <xdr:row>12</xdr:row>
      <xdr:rowOff>122464</xdr:rowOff>
    </xdr:from>
    <xdr:to>
      <xdr:col>4</xdr:col>
      <xdr:colOff>435428</xdr:colOff>
      <xdr:row>15</xdr:row>
      <xdr:rowOff>176893</xdr:rowOff>
    </xdr:to>
    <xdr:sp macro="[0]!Rectangle53_Click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SpPr/>
      </xdr:nvSpPr>
      <xdr:spPr>
        <a:xfrm>
          <a:off x="285750" y="2408464"/>
          <a:ext cx="2598964" cy="6259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285750</xdr:colOff>
      <xdr:row>18</xdr:row>
      <xdr:rowOff>176893</xdr:rowOff>
    </xdr:from>
    <xdr:to>
      <xdr:col>4</xdr:col>
      <xdr:colOff>408214</xdr:colOff>
      <xdr:row>21</xdr:row>
      <xdr:rowOff>176893</xdr:rowOff>
    </xdr:to>
    <xdr:sp macro="[0]!Rectangle33_Click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/>
      </xdr:nvSpPr>
      <xdr:spPr>
        <a:xfrm>
          <a:off x="285750" y="3605893"/>
          <a:ext cx="25717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734784</xdr:colOff>
      <xdr:row>36</xdr:row>
      <xdr:rowOff>95251</xdr:rowOff>
    </xdr:from>
    <xdr:to>
      <xdr:col>16</xdr:col>
      <xdr:colOff>176892</xdr:colOff>
      <xdr:row>55</xdr:row>
      <xdr:rowOff>14285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070" y="6953251"/>
          <a:ext cx="25880786" cy="4885641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22</xdr:row>
      <xdr:rowOff>0</xdr:rowOff>
    </xdr:from>
    <xdr:to>
      <xdr:col>4</xdr:col>
      <xdr:colOff>408214</xdr:colOff>
      <xdr:row>25</xdr:row>
      <xdr:rowOff>54428</xdr:rowOff>
    </xdr:to>
    <xdr:sp macro="[0]!Sustainability_Rectangle53_Click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/>
      </xdr:nvSpPr>
      <xdr:spPr>
        <a:xfrm>
          <a:off x="285750" y="4191000"/>
          <a:ext cx="257175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312964</xdr:colOff>
      <xdr:row>25</xdr:row>
      <xdr:rowOff>27214</xdr:rowOff>
    </xdr:from>
    <xdr:to>
      <xdr:col>4</xdr:col>
      <xdr:colOff>408214</xdr:colOff>
      <xdr:row>28</xdr:row>
      <xdr:rowOff>40822</xdr:rowOff>
    </xdr:to>
    <xdr:sp macro="[0]!Rectangle56_Click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/>
      </xdr:nvSpPr>
      <xdr:spPr>
        <a:xfrm>
          <a:off x="312964" y="4789714"/>
          <a:ext cx="2544536" cy="585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6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C102870F-8826-4917-A686-9FA8E73E493C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38100</xdr:rowOff>
    </xdr:from>
    <xdr:to>
      <xdr:col>16</xdr:col>
      <xdr:colOff>561975</xdr:colOff>
      <xdr:row>27</xdr:row>
      <xdr:rowOff>127181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0.40237</cdr:x>
      <cdr:y>0.40349</cdr:y>
    </cdr:from>
    <cdr:to>
      <cdr:x>0.61382</cdr:x>
      <cdr:y>0.58098</cdr:y>
    </cdr:to>
    <cdr:sp macro="" textlink="Data!$P$8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9555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0D9C1BE7-426C-4FBE-834D-EA55A4D51D9C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0.40263</cdr:x>
      <cdr:y>0.40349</cdr:y>
    </cdr:from>
    <cdr:to>
      <cdr:x>0.61356</cdr:x>
      <cdr:y>0.58098</cdr:y>
    </cdr:to>
    <cdr:sp macro="" textlink="Data!$P$9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03243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8A2E3EED-C6B2-4224-B03E-7DBE48945C28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0.39868</cdr:x>
      <cdr:y>0.39954</cdr:y>
    </cdr:from>
    <cdr:to>
      <cdr:x>0.60962</cdr:x>
      <cdr:y>0.57703</cdr:y>
    </cdr:to>
    <cdr:sp macro="" textlink="Data!$P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1453" y="1009650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62CDAE2D-E21B-4B0F-9EF9-CA6438766E44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723900</xdr:colOff>
      <xdr:row>36</xdr:row>
      <xdr:rowOff>68037</xdr:rowOff>
    </xdr:from>
    <xdr:to>
      <xdr:col>16</xdr:col>
      <xdr:colOff>204107</xdr:colOff>
      <xdr:row>55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3186" y="6926037"/>
          <a:ext cx="25905278" cy="50382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0" y="0"/>
          <a:ext cx="46558200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57</xdr:row>
      <xdr:rowOff>174625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0" y="470861"/>
          <a:ext cx="2855119" cy="11924339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2867024" y="470862"/>
          <a:ext cx="43691176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100585" cy="373136"/>
        </a:xfrm>
        <a:prstGeom prst="rect">
          <a:avLst/>
        </a:prstGeom>
      </xdr:spPr>
    </xdr:pic>
    <xdr:clientData/>
  </xdr:twoCellAnchor>
  <xdr:twoCellAnchor>
    <xdr:from>
      <xdr:col>0</xdr:col>
      <xdr:colOff>271425</xdr:colOff>
      <xdr:row>18</xdr:row>
      <xdr:rowOff>181686</xdr:rowOff>
    </xdr:from>
    <xdr:to>
      <xdr:col>5</xdr:col>
      <xdr:colOff>71437</xdr:colOff>
      <xdr:row>22</xdr:row>
      <xdr:rowOff>19057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271425" y="3610686"/>
          <a:ext cx="3174583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 flipH="1">
          <a:off x="1" y="1154088"/>
          <a:ext cx="287893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654048" y="1824200"/>
          <a:ext cx="134577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357336</xdr:colOff>
      <xdr:row>19</xdr:row>
      <xdr:rowOff>47512</xdr:rowOff>
    </xdr:from>
    <xdr:to>
      <xdr:col>1</xdr:col>
      <xdr:colOff>212075</xdr:colOff>
      <xdr:row>21</xdr:row>
      <xdr:rowOff>131501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357336" y="3667012"/>
          <a:ext cx="467060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38366" cy="339575"/>
        </a:xfrm>
        <a:prstGeom prst="rect">
          <a:avLst/>
        </a:prstGeom>
      </xdr:spPr>
    </xdr:pic>
    <xdr:clientData/>
  </xdr:twoCellAnchor>
  <xdr:twoCellAnchor editAs="absolute">
    <xdr:from>
      <xdr:col>4</xdr:col>
      <xdr:colOff>774700</xdr:colOff>
      <xdr:row>40</xdr:row>
      <xdr:rowOff>160540</xdr:rowOff>
    </xdr:from>
    <xdr:to>
      <xdr:col>16</xdr:col>
      <xdr:colOff>122464</xdr:colOff>
      <xdr:row>40</xdr:row>
      <xdr:rowOff>160540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>
          <a:cxnSpLocks/>
        </xdr:cNvCxnSpPr>
      </xdr:nvCxnSpPr>
      <xdr:spPr>
        <a:xfrm flipH="1">
          <a:off x="3223986" y="7780540"/>
          <a:ext cx="25772835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38</xdr:row>
      <xdr:rowOff>106584</xdr:rowOff>
    </xdr:from>
    <xdr:to>
      <xdr:col>10</xdr:col>
      <xdr:colOff>179365</xdr:colOff>
      <xdr:row>40</xdr:row>
      <xdr:rowOff>140533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3827112" y="7345584"/>
          <a:ext cx="207035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Action Plan</a:t>
          </a:r>
        </a:p>
      </xdr:txBody>
    </xdr:sp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850791" y="2567401"/>
          <a:ext cx="1263759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817833" y="3172408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797959" y="3768010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tx1">
                <a:lumMod val="65000"/>
                <a:lumOff val="35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817832" y="4282361"/>
          <a:ext cx="169200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803620" y="4958804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322152" y="107518"/>
          <a:ext cx="21638309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11944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61976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50100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4102101</xdr:colOff>
      <xdr:row>8</xdr:row>
      <xdr:rowOff>100950</xdr:rowOff>
    </xdr:from>
    <xdr:to>
      <xdr:col>8</xdr:col>
      <xdr:colOff>6463393</xdr:colOff>
      <xdr:row>35</xdr:row>
      <xdr:rowOff>127000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8987065" y="1624950"/>
          <a:ext cx="7232649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4</xdr:col>
      <xdr:colOff>835818</xdr:colOff>
      <xdr:row>8</xdr:row>
      <xdr:rowOff>100949</xdr:rowOff>
    </xdr:from>
    <xdr:to>
      <xdr:col>7</xdr:col>
      <xdr:colOff>3920394</xdr:colOff>
      <xdr:row>35</xdr:row>
      <xdr:rowOff>126999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/>
      </xdr:nvSpPr>
      <xdr:spPr>
        <a:xfrm>
          <a:off x="3274218" y="1624949"/>
          <a:ext cx="551345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7</xdr:col>
      <xdr:colOff>4102101</xdr:colOff>
      <xdr:row>11</xdr:row>
      <xdr:rowOff>177131</xdr:rowOff>
    </xdr:from>
    <xdr:to>
      <xdr:col>8</xdr:col>
      <xdr:colOff>6463393</xdr:colOff>
      <xdr:row>11</xdr:row>
      <xdr:rowOff>177131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CxnSpPr/>
      </xdr:nvCxnSpPr>
      <xdr:spPr>
        <a:xfrm flipH="1">
          <a:off x="8987065" y="2272631"/>
          <a:ext cx="7232649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4811912</xdr:colOff>
      <xdr:row>9</xdr:row>
      <xdr:rowOff>123176</xdr:rowOff>
    </xdr:from>
    <xdr:to>
      <xdr:col>8</xdr:col>
      <xdr:colOff>2423887</xdr:colOff>
      <xdr:row>11</xdr:row>
      <xdr:rowOff>157125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/>
      </xdr:nvSpPr>
      <xdr:spPr>
        <a:xfrm>
          <a:off x="9696876" y="1837676"/>
          <a:ext cx="24833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Sub-Strategies</a:t>
          </a:r>
          <a:r>
            <a:rPr lang="en-US" sz="1200" b="1" cap="none" spc="0" baseline="0">
              <a:ln w="0"/>
              <a:solidFill>
                <a:srgbClr val="26A8AB"/>
              </a:solidFill>
              <a:latin typeface="Trebuchet MS" panose="020B0603020202020204" pitchFamily="34" charset="0"/>
            </a:rPr>
            <a:t> Progress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4</xdr:col>
      <xdr:colOff>800102</xdr:colOff>
      <xdr:row>11</xdr:row>
      <xdr:rowOff>177131</xdr:rowOff>
    </xdr:from>
    <xdr:to>
      <xdr:col>7</xdr:col>
      <xdr:colOff>3924300</xdr:colOff>
      <xdr:row>11</xdr:row>
      <xdr:rowOff>177131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CxnSpPr>
          <a:cxnSpLocks/>
        </xdr:cNvCxnSpPr>
      </xdr:nvCxnSpPr>
      <xdr:spPr>
        <a:xfrm flipH="1">
          <a:off x="3238502" y="2272631"/>
          <a:ext cx="555307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385984</xdr:colOff>
      <xdr:row>9</xdr:row>
      <xdr:rowOff>123176</xdr:rowOff>
    </xdr:from>
    <xdr:to>
      <xdr:col>7</xdr:col>
      <xdr:colOff>1522424</xdr:colOff>
      <xdr:row>11</xdr:row>
      <xdr:rowOff>157125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/>
      </xdr:nvSpPr>
      <xdr:spPr>
        <a:xfrm>
          <a:off x="3986434" y="1837676"/>
          <a:ext cx="240326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Overall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8</xdr:col>
      <xdr:colOff>3320143</xdr:colOff>
      <xdr:row>15</xdr:row>
      <xdr:rowOff>127000</xdr:rowOff>
    </xdr:from>
    <xdr:to>
      <xdr:col>8</xdr:col>
      <xdr:colOff>5233126</xdr:colOff>
      <xdr:row>25</xdr:row>
      <xdr:rowOff>142240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/>
      </xdr:nvSpPr>
      <xdr:spPr>
        <a:xfrm>
          <a:off x="13058775" y="2984500"/>
          <a:ext cx="1917065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784111</xdr:colOff>
      <xdr:row>14</xdr:row>
      <xdr:rowOff>32914</xdr:rowOff>
    </xdr:from>
    <xdr:to>
      <xdr:col>7</xdr:col>
      <xdr:colOff>2520722</xdr:colOff>
      <xdr:row>27</xdr:row>
      <xdr:rowOff>83445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8</xdr:col>
      <xdr:colOff>2762932</xdr:colOff>
      <xdr:row>14</xdr:row>
      <xdr:rowOff>17607</xdr:rowOff>
    </xdr:from>
    <xdr:to>
      <xdr:col>8</xdr:col>
      <xdr:colOff>5744143</xdr:colOff>
      <xdr:row>27</xdr:row>
      <xdr:rowOff>68138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585108</xdr:colOff>
      <xdr:row>27</xdr:row>
      <xdr:rowOff>75436</xdr:rowOff>
    </xdr:from>
    <xdr:to>
      <xdr:col>7</xdr:col>
      <xdr:colOff>2789465</xdr:colOff>
      <xdr:row>33</xdr:row>
      <xdr:rowOff>75435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7</xdr:col>
      <xdr:colOff>4830537</xdr:colOff>
      <xdr:row>12</xdr:row>
      <xdr:rowOff>148576</xdr:rowOff>
    </xdr:from>
    <xdr:to>
      <xdr:col>8</xdr:col>
      <xdr:colOff>2476500</xdr:colOff>
      <xdr:row>14</xdr:row>
      <xdr:rowOff>182525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>
        <a:xfrm>
          <a:off x="9715501" y="2434576"/>
          <a:ext cx="251732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Environmental Stewardship</a:t>
          </a:r>
        </a:p>
      </xdr:txBody>
    </xdr:sp>
    <xdr:clientData/>
  </xdr:twoCellAnchor>
  <xdr:twoCellAnchor editAs="absolute">
    <xdr:from>
      <xdr:col>8</xdr:col>
      <xdr:colOff>3319658</xdr:colOff>
      <xdr:row>12</xdr:row>
      <xdr:rowOff>148576</xdr:rowOff>
    </xdr:from>
    <xdr:to>
      <xdr:col>8</xdr:col>
      <xdr:colOff>5173433</xdr:colOff>
      <xdr:row>14</xdr:row>
      <xdr:rowOff>182525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/>
      </xdr:nvSpPr>
      <xdr:spPr>
        <a:xfrm>
          <a:off x="13058290" y="2434576"/>
          <a:ext cx="185785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Production &amp; Integrity</a:t>
          </a:r>
        </a:p>
      </xdr:txBody>
    </xdr:sp>
    <xdr:clientData/>
  </xdr:twoCellAnchor>
  <xdr:twoCellAnchor editAs="absolute">
    <xdr:from>
      <xdr:col>6</xdr:col>
      <xdr:colOff>911679</xdr:colOff>
      <xdr:row>12</xdr:row>
      <xdr:rowOff>166263</xdr:rowOff>
    </xdr:from>
    <xdr:to>
      <xdr:col>7</xdr:col>
      <xdr:colOff>2207078</xdr:colOff>
      <xdr:row>15</xdr:row>
      <xdr:rowOff>9712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/>
      </xdr:nvSpPr>
      <xdr:spPr>
        <a:xfrm>
          <a:off x="4512129" y="2452263"/>
          <a:ext cx="2562224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Sustainability Overall</a:t>
          </a:r>
          <a:r>
            <a:rPr lang="en-US" sz="12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 Status</a:t>
          </a:r>
          <a:endParaRPr lang="en-US" sz="1200" b="1" cap="none" spc="0">
            <a:ln w="0"/>
            <a:solidFill>
              <a:schemeClr val="tx1">
                <a:lumMod val="50000"/>
                <a:lumOff val="50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8</xdr:col>
      <xdr:colOff>3233964</xdr:colOff>
      <xdr:row>26</xdr:row>
      <xdr:rowOff>141772</xdr:rowOff>
    </xdr:from>
    <xdr:to>
      <xdr:col>8</xdr:col>
      <xdr:colOff>5251111</xdr:colOff>
      <xdr:row>32</xdr:row>
      <xdr:rowOff>141771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8</xdr:col>
      <xdr:colOff>310243</xdr:colOff>
      <xdr:row>15</xdr:row>
      <xdr:rowOff>114300</xdr:rowOff>
    </xdr:from>
    <xdr:to>
      <xdr:col>8</xdr:col>
      <xdr:colOff>2230483</xdr:colOff>
      <xdr:row>25</xdr:row>
      <xdr:rowOff>129540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/>
      </xdr:nvSpPr>
      <xdr:spPr>
        <a:xfrm>
          <a:off x="10048875" y="29718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4673600</xdr:colOff>
      <xdr:row>14</xdr:row>
      <xdr:rowOff>24750</xdr:rowOff>
    </xdr:from>
    <xdr:to>
      <xdr:col>8</xdr:col>
      <xdr:colOff>2790711</xdr:colOff>
      <xdr:row>27</xdr:row>
      <xdr:rowOff>75281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271573</xdr:colOff>
      <xdr:row>26</xdr:row>
      <xdr:rowOff>145875</xdr:rowOff>
    </xdr:from>
    <xdr:to>
      <xdr:col>8</xdr:col>
      <xdr:colOff>2295977</xdr:colOff>
      <xdr:row>32</xdr:row>
      <xdr:rowOff>145874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41</xdr:row>
          <xdr:rowOff>180975</xdr:rowOff>
        </xdr:from>
        <xdr:to>
          <xdr:col>15</xdr:col>
          <xdr:colOff>295275</xdr:colOff>
          <xdr:row>52</xdr:row>
          <xdr:rowOff>200025</xdr:rowOff>
        </xdr:to>
        <xdr:sp macro="" textlink="">
          <xdr:nvSpPr>
            <xdr:cNvPr id="14337" name="Scroll Bar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8</xdr:col>
      <xdr:colOff>6667501</xdr:colOff>
      <xdr:row>8</xdr:row>
      <xdr:rowOff>101600</xdr:rowOff>
    </xdr:from>
    <xdr:to>
      <xdr:col>11</xdr:col>
      <xdr:colOff>368299</xdr:colOff>
      <xdr:row>35</xdr:row>
      <xdr:rowOff>127650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SpPr/>
      </xdr:nvSpPr>
      <xdr:spPr>
        <a:xfrm>
          <a:off x="16423822" y="1625600"/>
          <a:ext cx="902244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8</xdr:col>
      <xdr:colOff>6653894</xdr:colOff>
      <xdr:row>11</xdr:row>
      <xdr:rowOff>177782</xdr:rowOff>
    </xdr:from>
    <xdr:to>
      <xdr:col>11</xdr:col>
      <xdr:colOff>368300</xdr:colOff>
      <xdr:row>11</xdr:row>
      <xdr:rowOff>177782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CxnSpPr>
          <a:cxnSpLocks/>
        </xdr:cNvCxnSpPr>
      </xdr:nvCxnSpPr>
      <xdr:spPr>
        <a:xfrm flipH="1">
          <a:off x="16410215" y="2273282"/>
          <a:ext cx="9036049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7246697</xdr:colOff>
      <xdr:row>9</xdr:row>
      <xdr:rowOff>123827</xdr:rowOff>
    </xdr:from>
    <xdr:to>
      <xdr:col>8</xdr:col>
      <xdr:colOff>9641344</xdr:colOff>
      <xdr:row>11</xdr:row>
      <xdr:rowOff>157776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/>
      </xdr:nvSpPr>
      <xdr:spPr>
        <a:xfrm>
          <a:off x="17003018" y="1838327"/>
          <a:ext cx="239464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Timeline/Roadmap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9</xdr:row>
      <xdr:rowOff>0</xdr:rowOff>
    </xdr:from>
    <xdr:to>
      <xdr:col>4</xdr:col>
      <xdr:colOff>435428</xdr:colOff>
      <xdr:row>11</xdr:row>
      <xdr:rowOff>122464</xdr:rowOff>
    </xdr:to>
    <xdr:sp macro="[0]!Rectangle97_Click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/>
      </xdr:nvSpPr>
      <xdr:spPr>
        <a:xfrm>
          <a:off x="381000" y="1714500"/>
          <a:ext cx="2492828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381000</xdr:colOff>
      <xdr:row>13</xdr:row>
      <xdr:rowOff>0</xdr:rowOff>
    </xdr:from>
    <xdr:to>
      <xdr:col>4</xdr:col>
      <xdr:colOff>394607</xdr:colOff>
      <xdr:row>15</xdr:row>
      <xdr:rowOff>122464</xdr:rowOff>
    </xdr:to>
    <xdr:sp macro="[0]!Rectangle40_Click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/>
      </xdr:nvSpPr>
      <xdr:spPr>
        <a:xfrm>
          <a:off x="381000" y="2476500"/>
          <a:ext cx="2462893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367393</xdr:colOff>
      <xdr:row>15</xdr:row>
      <xdr:rowOff>108857</xdr:rowOff>
    </xdr:from>
    <xdr:to>
      <xdr:col>4</xdr:col>
      <xdr:colOff>421821</xdr:colOff>
      <xdr:row>18</xdr:row>
      <xdr:rowOff>163286</xdr:rowOff>
    </xdr:to>
    <xdr:sp macro="[0]!Sustainability_Rectangle46_Click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SpPr/>
      </xdr:nvSpPr>
      <xdr:spPr>
        <a:xfrm>
          <a:off x="367393" y="2966357"/>
          <a:ext cx="2503714" cy="6259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312964</xdr:colOff>
      <xdr:row>22</xdr:row>
      <xdr:rowOff>54429</xdr:rowOff>
    </xdr:from>
    <xdr:to>
      <xdr:col>4</xdr:col>
      <xdr:colOff>435428</xdr:colOff>
      <xdr:row>25</xdr:row>
      <xdr:rowOff>108857</xdr:rowOff>
    </xdr:to>
    <xdr:sp macro="[0]!Sustainability_Rectangle53_Click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/>
      </xdr:nvSpPr>
      <xdr:spPr>
        <a:xfrm>
          <a:off x="312964" y="4245429"/>
          <a:ext cx="257175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326571</xdr:colOff>
      <xdr:row>25</xdr:row>
      <xdr:rowOff>27214</xdr:rowOff>
    </xdr:from>
    <xdr:to>
      <xdr:col>4</xdr:col>
      <xdr:colOff>421821</xdr:colOff>
      <xdr:row>28</xdr:row>
      <xdr:rowOff>40822</xdr:rowOff>
    </xdr:to>
    <xdr:sp macro="[0]!Rectangle56_Click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/>
      </xdr:nvSpPr>
      <xdr:spPr>
        <a:xfrm>
          <a:off x="326571" y="4789714"/>
          <a:ext cx="2544536" cy="585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1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7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689F09F3-88D5-4021-8F2E-2A3BDA72CA00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0.40237</cdr:x>
      <cdr:y>0.40349</cdr:y>
    </cdr:from>
    <cdr:to>
      <cdr:x>0.61382</cdr:x>
      <cdr:y>0.58098</cdr:y>
    </cdr:to>
    <cdr:sp macro="" textlink="Data!$P$12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95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A531F07C-9166-434F-91C2-AB98B96E0434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0.39868</cdr:x>
      <cdr:y>0.39954</cdr:y>
    </cdr:from>
    <cdr:to>
      <cdr:x>0.60962</cdr:x>
      <cdr:y>0.57703</cdr:y>
    </cdr:to>
    <cdr:sp macro="" textlink="Data!$P$11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1453" y="1009650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18DA8131-F025-4795-B7D5-C02168DBDFF7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751114</xdr:colOff>
      <xdr:row>36</xdr:row>
      <xdr:rowOff>68036</xdr:rowOff>
    </xdr:from>
    <xdr:to>
      <xdr:col>16</xdr:col>
      <xdr:colOff>217714</xdr:colOff>
      <xdr:row>55</xdr:row>
      <xdr:rowOff>126093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6926036"/>
          <a:ext cx="25905278" cy="502466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0" y="0"/>
          <a:ext cx="46558200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57</xdr:row>
      <xdr:rowOff>174625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0" y="470861"/>
          <a:ext cx="2855119" cy="11924339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2867024" y="470862"/>
          <a:ext cx="43691176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100585" cy="373136"/>
        </a:xfrm>
        <a:prstGeom prst="rect">
          <a:avLst/>
        </a:prstGeom>
      </xdr:spPr>
    </xdr:pic>
    <xdr:clientData/>
  </xdr:twoCellAnchor>
  <xdr:twoCellAnchor>
    <xdr:from>
      <xdr:col>0</xdr:col>
      <xdr:colOff>271425</xdr:colOff>
      <xdr:row>22</xdr:row>
      <xdr:rowOff>32015</xdr:rowOff>
    </xdr:from>
    <xdr:to>
      <xdr:col>5</xdr:col>
      <xdr:colOff>71437</xdr:colOff>
      <xdr:row>25</xdr:row>
      <xdr:rowOff>59886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271425" y="4223015"/>
          <a:ext cx="3174583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H="1">
          <a:off x="1" y="1154088"/>
          <a:ext cx="287893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654048" y="1824200"/>
          <a:ext cx="134577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343729</xdr:colOff>
      <xdr:row>22</xdr:row>
      <xdr:rowOff>88341</xdr:rowOff>
    </xdr:from>
    <xdr:to>
      <xdr:col>1</xdr:col>
      <xdr:colOff>198468</xdr:colOff>
      <xdr:row>24</xdr:row>
      <xdr:rowOff>172330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343729" y="4279341"/>
          <a:ext cx="467060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38366" cy="339575"/>
        </a:xfrm>
        <a:prstGeom prst="rect">
          <a:avLst/>
        </a:prstGeom>
      </xdr:spPr>
    </xdr:pic>
    <xdr:clientData/>
  </xdr:twoCellAnchor>
  <xdr:twoCellAnchor editAs="absolute">
    <xdr:from>
      <xdr:col>4</xdr:col>
      <xdr:colOff>774700</xdr:colOff>
      <xdr:row>40</xdr:row>
      <xdr:rowOff>160540</xdr:rowOff>
    </xdr:from>
    <xdr:to>
      <xdr:col>16</xdr:col>
      <xdr:colOff>177800</xdr:colOff>
      <xdr:row>40</xdr:row>
      <xdr:rowOff>160540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CxnSpPr>
          <a:cxnSpLocks/>
        </xdr:cNvCxnSpPr>
      </xdr:nvCxnSpPr>
      <xdr:spPr>
        <a:xfrm flipH="1">
          <a:off x="3213100" y="7780540"/>
          <a:ext cx="258445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38</xdr:row>
      <xdr:rowOff>106584</xdr:rowOff>
    </xdr:from>
    <xdr:to>
      <xdr:col>10</xdr:col>
      <xdr:colOff>165758</xdr:colOff>
      <xdr:row>40</xdr:row>
      <xdr:rowOff>140533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3827112" y="7345584"/>
          <a:ext cx="207035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Action Plan</a:t>
          </a:r>
        </a:p>
      </xdr:txBody>
    </xdr:sp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850791" y="2567401"/>
          <a:ext cx="1263759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817833" y="3172408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797959" y="3768010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817832" y="4282361"/>
          <a:ext cx="169200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803620" y="4958804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322152" y="107518"/>
          <a:ext cx="21638309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11944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61976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50100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4102101</xdr:colOff>
      <xdr:row>8</xdr:row>
      <xdr:rowOff>100950</xdr:rowOff>
    </xdr:from>
    <xdr:to>
      <xdr:col>8</xdr:col>
      <xdr:colOff>5295901</xdr:colOff>
      <xdr:row>35</xdr:row>
      <xdr:rowOff>127000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/>
      </xdr:nvSpPr>
      <xdr:spPr>
        <a:xfrm>
          <a:off x="8969376" y="1624950"/>
          <a:ext cx="10042525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4</xdr:col>
      <xdr:colOff>835818</xdr:colOff>
      <xdr:row>8</xdr:row>
      <xdr:rowOff>100949</xdr:rowOff>
    </xdr:from>
    <xdr:to>
      <xdr:col>7</xdr:col>
      <xdr:colOff>3920394</xdr:colOff>
      <xdr:row>35</xdr:row>
      <xdr:rowOff>126999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3274218" y="1624949"/>
          <a:ext cx="551345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7</xdr:col>
      <xdr:colOff>4102100</xdr:colOff>
      <xdr:row>11</xdr:row>
      <xdr:rowOff>177131</xdr:rowOff>
    </xdr:from>
    <xdr:to>
      <xdr:col>8</xdr:col>
      <xdr:colOff>5295900</xdr:colOff>
      <xdr:row>11</xdr:row>
      <xdr:rowOff>177131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CxnSpPr/>
      </xdr:nvCxnSpPr>
      <xdr:spPr>
        <a:xfrm flipH="1">
          <a:off x="8969375" y="2272631"/>
          <a:ext cx="10042525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5301768</xdr:colOff>
      <xdr:row>9</xdr:row>
      <xdr:rowOff>123176</xdr:rowOff>
    </xdr:from>
    <xdr:to>
      <xdr:col>7</xdr:col>
      <xdr:colOff>7785100</xdr:colOff>
      <xdr:row>11</xdr:row>
      <xdr:rowOff>157125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/>
      </xdr:nvSpPr>
      <xdr:spPr>
        <a:xfrm>
          <a:off x="10169043" y="1837676"/>
          <a:ext cx="24833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Sub-Strategies</a:t>
          </a:r>
          <a:r>
            <a:rPr lang="en-US" sz="1200" b="1" cap="none" spc="0" baseline="0">
              <a:ln w="0"/>
              <a:solidFill>
                <a:srgbClr val="26A8AB"/>
              </a:solidFill>
              <a:latin typeface="Trebuchet MS" panose="020B0603020202020204" pitchFamily="34" charset="0"/>
            </a:rPr>
            <a:t> Progress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4</xdr:col>
      <xdr:colOff>800102</xdr:colOff>
      <xdr:row>11</xdr:row>
      <xdr:rowOff>177131</xdr:rowOff>
    </xdr:from>
    <xdr:to>
      <xdr:col>7</xdr:col>
      <xdr:colOff>3924300</xdr:colOff>
      <xdr:row>11</xdr:row>
      <xdr:rowOff>177131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CxnSpPr>
          <a:cxnSpLocks/>
        </xdr:cNvCxnSpPr>
      </xdr:nvCxnSpPr>
      <xdr:spPr>
        <a:xfrm flipH="1">
          <a:off x="3238502" y="2272631"/>
          <a:ext cx="555307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385984</xdr:colOff>
      <xdr:row>9</xdr:row>
      <xdr:rowOff>123176</xdr:rowOff>
    </xdr:from>
    <xdr:to>
      <xdr:col>7</xdr:col>
      <xdr:colOff>1522424</xdr:colOff>
      <xdr:row>11</xdr:row>
      <xdr:rowOff>157125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/>
      </xdr:nvSpPr>
      <xdr:spPr>
        <a:xfrm>
          <a:off x="3986434" y="1837676"/>
          <a:ext cx="240326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Overall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8191500</xdr:colOff>
      <xdr:row>15</xdr:row>
      <xdr:rowOff>127000</xdr:rowOff>
    </xdr:from>
    <xdr:to>
      <xdr:col>8</xdr:col>
      <xdr:colOff>1259840</xdr:colOff>
      <xdr:row>25</xdr:row>
      <xdr:rowOff>142240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/>
      </xdr:nvSpPr>
      <xdr:spPr>
        <a:xfrm>
          <a:off x="13058775" y="2984500"/>
          <a:ext cx="1917065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775607</xdr:colOff>
      <xdr:row>14</xdr:row>
      <xdr:rowOff>35432</xdr:rowOff>
    </xdr:from>
    <xdr:to>
      <xdr:col>7</xdr:col>
      <xdr:colOff>2512218</xdr:colOff>
      <xdr:row>27</xdr:row>
      <xdr:rowOff>85963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612321</xdr:colOff>
      <xdr:row>27</xdr:row>
      <xdr:rowOff>64346</xdr:rowOff>
    </xdr:from>
    <xdr:to>
      <xdr:col>7</xdr:col>
      <xdr:colOff>2884715</xdr:colOff>
      <xdr:row>33</xdr:row>
      <xdr:rowOff>64345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8</xdr:col>
      <xdr:colOff>2298700</xdr:colOff>
      <xdr:row>15</xdr:row>
      <xdr:rowOff>127000</xdr:rowOff>
    </xdr:from>
    <xdr:to>
      <xdr:col>8</xdr:col>
      <xdr:colOff>4218940</xdr:colOff>
      <xdr:row>25</xdr:row>
      <xdr:rowOff>142240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/>
      </xdr:nvSpPr>
      <xdr:spPr>
        <a:xfrm>
          <a:off x="16014700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7634289</xdr:colOff>
      <xdr:row>14</xdr:row>
      <xdr:rowOff>17607</xdr:rowOff>
    </xdr:from>
    <xdr:to>
      <xdr:col>8</xdr:col>
      <xdr:colOff>1770857</xdr:colOff>
      <xdr:row>27</xdr:row>
      <xdr:rowOff>68138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1762350</xdr:colOff>
      <xdr:row>14</xdr:row>
      <xdr:rowOff>17606</xdr:rowOff>
    </xdr:from>
    <xdr:to>
      <xdr:col>8</xdr:col>
      <xdr:colOff>4750818</xdr:colOff>
      <xdr:row>27</xdr:row>
      <xdr:rowOff>68137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7</xdr:col>
      <xdr:colOff>5187468</xdr:colOff>
      <xdr:row>12</xdr:row>
      <xdr:rowOff>148576</xdr:rowOff>
    </xdr:from>
    <xdr:to>
      <xdr:col>7</xdr:col>
      <xdr:colOff>7048500</xdr:colOff>
      <xdr:row>14</xdr:row>
      <xdr:rowOff>182525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/>
      </xdr:nvSpPr>
      <xdr:spPr>
        <a:xfrm>
          <a:off x="10054743" y="2434576"/>
          <a:ext cx="18610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Employee Wellbeing</a:t>
          </a:r>
        </a:p>
      </xdr:txBody>
    </xdr:sp>
    <xdr:clientData/>
  </xdr:twoCellAnchor>
  <xdr:twoCellAnchor editAs="absolute">
    <xdr:from>
      <xdr:col>7</xdr:col>
      <xdr:colOff>8191015</xdr:colOff>
      <xdr:row>12</xdr:row>
      <xdr:rowOff>148576</xdr:rowOff>
    </xdr:from>
    <xdr:to>
      <xdr:col>8</xdr:col>
      <xdr:colOff>1200147</xdr:colOff>
      <xdr:row>14</xdr:row>
      <xdr:rowOff>182525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/>
      </xdr:nvSpPr>
      <xdr:spPr>
        <a:xfrm>
          <a:off x="13058290" y="2434576"/>
          <a:ext cx="185785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T&amp;D Administration &amp; Oversigh</a:t>
          </a:r>
        </a:p>
      </xdr:txBody>
    </xdr:sp>
    <xdr:clientData/>
  </xdr:twoCellAnchor>
  <xdr:twoCellAnchor editAs="absolute">
    <xdr:from>
      <xdr:col>8</xdr:col>
      <xdr:colOff>2280975</xdr:colOff>
      <xdr:row>12</xdr:row>
      <xdr:rowOff>161276</xdr:rowOff>
    </xdr:from>
    <xdr:to>
      <xdr:col>8</xdr:col>
      <xdr:colOff>4142008</xdr:colOff>
      <xdr:row>15</xdr:row>
      <xdr:rowOff>4725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15996975" y="2447276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Employee Performance &amp; Engagement</a:t>
          </a:r>
        </a:p>
      </xdr:txBody>
    </xdr:sp>
    <xdr:clientData/>
  </xdr:twoCellAnchor>
  <xdr:twoCellAnchor editAs="absolute">
    <xdr:from>
      <xdr:col>6</xdr:col>
      <xdr:colOff>911679</xdr:colOff>
      <xdr:row>12</xdr:row>
      <xdr:rowOff>166263</xdr:rowOff>
    </xdr:from>
    <xdr:to>
      <xdr:col>7</xdr:col>
      <xdr:colOff>2207078</xdr:colOff>
      <xdr:row>15</xdr:row>
      <xdr:rowOff>9712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/>
      </xdr:nvSpPr>
      <xdr:spPr>
        <a:xfrm>
          <a:off x="4512129" y="2452263"/>
          <a:ext cx="2562224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People Development &amp; Engagement Overall</a:t>
          </a:r>
          <a:r>
            <a:rPr lang="en-US" sz="12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 Status</a:t>
          </a:r>
          <a:endParaRPr lang="en-US" sz="1200" b="1" cap="none" spc="0">
            <a:ln w="0"/>
            <a:solidFill>
              <a:schemeClr val="tx1">
                <a:lumMod val="50000"/>
                <a:lumOff val="50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8105321</xdr:colOff>
      <xdr:row>26</xdr:row>
      <xdr:rowOff>141772</xdr:rowOff>
    </xdr:from>
    <xdr:to>
      <xdr:col>8</xdr:col>
      <xdr:colOff>1277825</xdr:colOff>
      <xdr:row>32</xdr:row>
      <xdr:rowOff>141771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2236100</xdr:colOff>
      <xdr:row>26</xdr:row>
      <xdr:rowOff>141772</xdr:rowOff>
    </xdr:from>
    <xdr:to>
      <xdr:col>8</xdr:col>
      <xdr:colOff>4257783</xdr:colOff>
      <xdr:row>32</xdr:row>
      <xdr:rowOff>141771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7</xdr:col>
      <xdr:colOff>5181600</xdr:colOff>
      <xdr:row>15</xdr:row>
      <xdr:rowOff>114300</xdr:rowOff>
    </xdr:from>
    <xdr:to>
      <xdr:col>7</xdr:col>
      <xdr:colOff>7101840</xdr:colOff>
      <xdr:row>25</xdr:row>
      <xdr:rowOff>129540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10048875" y="29718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4673600</xdr:colOff>
      <xdr:row>14</xdr:row>
      <xdr:rowOff>24750</xdr:rowOff>
    </xdr:from>
    <xdr:to>
      <xdr:col>7</xdr:col>
      <xdr:colOff>7662068</xdr:colOff>
      <xdr:row>27</xdr:row>
      <xdr:rowOff>75281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5142930</xdr:colOff>
      <xdr:row>26</xdr:row>
      <xdr:rowOff>145875</xdr:rowOff>
    </xdr:from>
    <xdr:to>
      <xdr:col>7</xdr:col>
      <xdr:colOff>7167334</xdr:colOff>
      <xdr:row>32</xdr:row>
      <xdr:rowOff>145874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41</xdr:row>
          <xdr:rowOff>180975</xdr:rowOff>
        </xdr:from>
        <xdr:to>
          <xdr:col>15</xdr:col>
          <xdr:colOff>295275</xdr:colOff>
          <xdr:row>52</xdr:row>
          <xdr:rowOff>200025</xdr:rowOff>
        </xdr:to>
        <xdr:sp macro="" textlink="">
          <xdr:nvSpPr>
            <xdr:cNvPr id="15361" name="Scroll Bar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5473700</xdr:colOff>
      <xdr:row>8</xdr:row>
      <xdr:rowOff>101600</xdr:rowOff>
    </xdr:from>
    <xdr:to>
      <xdr:col>16</xdr:col>
      <xdr:colOff>177800</xdr:colOff>
      <xdr:row>35</xdr:row>
      <xdr:rowOff>127650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/>
      </xdr:nvSpPr>
      <xdr:spPr>
        <a:xfrm>
          <a:off x="19189700" y="1625600"/>
          <a:ext cx="9867900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5435600</xdr:colOff>
      <xdr:row>11</xdr:row>
      <xdr:rowOff>177782</xdr:rowOff>
    </xdr:from>
    <xdr:to>
      <xdr:col>16</xdr:col>
      <xdr:colOff>177800</xdr:colOff>
      <xdr:row>11</xdr:row>
      <xdr:rowOff>177782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CxnSpPr>
          <a:cxnSpLocks/>
        </xdr:cNvCxnSpPr>
      </xdr:nvCxnSpPr>
      <xdr:spPr>
        <a:xfrm flipH="1">
          <a:off x="19151600" y="2273282"/>
          <a:ext cx="99060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5681882</xdr:colOff>
      <xdr:row>9</xdr:row>
      <xdr:rowOff>123827</xdr:rowOff>
    </xdr:from>
    <xdr:to>
      <xdr:col>9</xdr:col>
      <xdr:colOff>442922</xdr:colOff>
      <xdr:row>11</xdr:row>
      <xdr:rowOff>157776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/>
      </xdr:nvSpPr>
      <xdr:spPr>
        <a:xfrm>
          <a:off x="19397882" y="1838327"/>
          <a:ext cx="240009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Timeline/Roadmap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9</xdr:row>
      <xdr:rowOff>0</xdr:rowOff>
    </xdr:from>
    <xdr:to>
      <xdr:col>4</xdr:col>
      <xdr:colOff>435428</xdr:colOff>
      <xdr:row>11</xdr:row>
      <xdr:rowOff>122464</xdr:rowOff>
    </xdr:to>
    <xdr:sp macro="[0]!Rectangle97_Click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/>
      </xdr:nvSpPr>
      <xdr:spPr>
        <a:xfrm>
          <a:off x="381000" y="1714500"/>
          <a:ext cx="2492828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326572</xdr:colOff>
      <xdr:row>13</xdr:row>
      <xdr:rowOff>13607</xdr:rowOff>
    </xdr:from>
    <xdr:to>
      <xdr:col>4</xdr:col>
      <xdr:colOff>340179</xdr:colOff>
      <xdr:row>15</xdr:row>
      <xdr:rowOff>136071</xdr:rowOff>
    </xdr:to>
    <xdr:sp macro="[0]!Rectangle40_Click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/>
      </xdr:nvSpPr>
      <xdr:spPr>
        <a:xfrm>
          <a:off x="326572" y="2490107"/>
          <a:ext cx="2462893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312965</xdr:colOff>
      <xdr:row>15</xdr:row>
      <xdr:rowOff>122464</xdr:rowOff>
    </xdr:from>
    <xdr:to>
      <xdr:col>4</xdr:col>
      <xdr:colOff>367393</xdr:colOff>
      <xdr:row>18</xdr:row>
      <xdr:rowOff>176893</xdr:rowOff>
    </xdr:to>
    <xdr:sp macro="[0]!Sustainability_Rectangle46_Click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/>
      </xdr:nvSpPr>
      <xdr:spPr>
        <a:xfrm>
          <a:off x="312965" y="2979964"/>
          <a:ext cx="2503714" cy="6259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19</xdr:row>
      <xdr:rowOff>0</xdr:rowOff>
    </xdr:from>
    <xdr:to>
      <xdr:col>4</xdr:col>
      <xdr:colOff>421821</xdr:colOff>
      <xdr:row>22</xdr:row>
      <xdr:rowOff>0</xdr:rowOff>
    </xdr:to>
    <xdr:sp macro="[0]!Rectangle33_Click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/>
      </xdr:nvSpPr>
      <xdr:spPr>
        <a:xfrm>
          <a:off x="299357" y="3619500"/>
          <a:ext cx="25717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25</xdr:row>
      <xdr:rowOff>40821</xdr:rowOff>
    </xdr:from>
    <xdr:to>
      <xdr:col>4</xdr:col>
      <xdr:colOff>394607</xdr:colOff>
      <xdr:row>28</xdr:row>
      <xdr:rowOff>54429</xdr:rowOff>
    </xdr:to>
    <xdr:sp macro="[0]!Rectangle56_Click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/>
      </xdr:nvSpPr>
      <xdr:spPr>
        <a:xfrm>
          <a:off x="299357" y="4803321"/>
          <a:ext cx="2544536" cy="585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13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7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1181E2DB-A1FC-44E2-8052-E61D7C086199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0.40237</cdr:x>
      <cdr:y>0.40349</cdr:y>
    </cdr:from>
    <cdr:to>
      <cdr:x>0.61382</cdr:x>
      <cdr:y>0.58098</cdr:y>
    </cdr:to>
    <cdr:sp macro="" textlink="Data!$P$15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95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BE71A05A-FE95-4EF9-8EE5-667BAC9897DC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56</xdr:row>
      <xdr:rowOff>156882</xdr:rowOff>
    </xdr:from>
    <xdr:to>
      <xdr:col>8</xdr:col>
      <xdr:colOff>525556</xdr:colOff>
      <xdr:row>81</xdr:row>
      <xdr:rowOff>55463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0.40263</cdr:x>
      <cdr:y>0.40349</cdr:y>
    </cdr:from>
    <cdr:to>
      <cdr:x>0.61356</cdr:x>
      <cdr:y>0.58098</cdr:y>
    </cdr:to>
    <cdr:sp macro="" textlink="Data!$P$16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03243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4266288C-DB59-4A21-B7E5-7787629B2419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0.39868</cdr:x>
      <cdr:y>0.39954</cdr:y>
    </cdr:from>
    <cdr:to>
      <cdr:x>0.60962</cdr:x>
      <cdr:y>0.57703</cdr:y>
    </cdr:to>
    <cdr:sp macro="" textlink="Data!$P$1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91453" y="1009650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EE0B1055-0603-4799-B624-146A0DC39FF7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737508</xdr:colOff>
      <xdr:row>36</xdr:row>
      <xdr:rowOff>149678</xdr:rowOff>
    </xdr:from>
    <xdr:to>
      <xdr:col>16</xdr:col>
      <xdr:colOff>204108</xdr:colOff>
      <xdr:row>56</xdr:row>
      <xdr:rowOff>17234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794" y="7007678"/>
          <a:ext cx="25905278" cy="502466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0" y="0"/>
          <a:ext cx="46558200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57</xdr:row>
      <xdr:rowOff>174625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0" y="470861"/>
          <a:ext cx="2855119" cy="11924339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2867024" y="470862"/>
          <a:ext cx="43691176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100585" cy="373136"/>
        </a:xfrm>
        <a:prstGeom prst="rect">
          <a:avLst/>
        </a:prstGeom>
      </xdr:spPr>
    </xdr:pic>
    <xdr:clientData/>
  </xdr:twoCellAnchor>
  <xdr:twoCellAnchor>
    <xdr:from>
      <xdr:col>0</xdr:col>
      <xdr:colOff>271425</xdr:colOff>
      <xdr:row>25</xdr:row>
      <xdr:rowOff>45621</xdr:rowOff>
    </xdr:from>
    <xdr:to>
      <xdr:col>5</xdr:col>
      <xdr:colOff>71437</xdr:colOff>
      <xdr:row>28</xdr:row>
      <xdr:rowOff>73492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271425" y="4808121"/>
          <a:ext cx="3174583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H="1">
          <a:off x="1" y="1154088"/>
          <a:ext cx="287893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654048" y="1824200"/>
          <a:ext cx="134577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330122</xdr:colOff>
      <xdr:row>25</xdr:row>
      <xdr:rowOff>101947</xdr:rowOff>
    </xdr:from>
    <xdr:to>
      <xdr:col>1</xdr:col>
      <xdr:colOff>184861</xdr:colOff>
      <xdr:row>27</xdr:row>
      <xdr:rowOff>185936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330122" y="4864447"/>
          <a:ext cx="467060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38366" cy="339575"/>
        </a:xfrm>
        <a:prstGeom prst="rect">
          <a:avLst/>
        </a:prstGeom>
      </xdr:spPr>
    </xdr:pic>
    <xdr:clientData/>
  </xdr:twoCellAnchor>
  <xdr:twoCellAnchor editAs="absolute">
    <xdr:from>
      <xdr:col>4</xdr:col>
      <xdr:colOff>774700</xdr:colOff>
      <xdr:row>40</xdr:row>
      <xdr:rowOff>160540</xdr:rowOff>
    </xdr:from>
    <xdr:to>
      <xdr:col>16</xdr:col>
      <xdr:colOff>177800</xdr:colOff>
      <xdr:row>40</xdr:row>
      <xdr:rowOff>160540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CxnSpPr>
          <a:cxnSpLocks/>
        </xdr:cNvCxnSpPr>
      </xdr:nvCxnSpPr>
      <xdr:spPr>
        <a:xfrm flipH="1">
          <a:off x="3213100" y="7780540"/>
          <a:ext cx="258445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38</xdr:row>
      <xdr:rowOff>106584</xdr:rowOff>
    </xdr:from>
    <xdr:to>
      <xdr:col>10</xdr:col>
      <xdr:colOff>165758</xdr:colOff>
      <xdr:row>40</xdr:row>
      <xdr:rowOff>140533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827112" y="7345584"/>
          <a:ext cx="207035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Action Plan</a:t>
          </a:r>
        </a:p>
      </xdr:txBody>
    </xdr:sp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850791" y="2567401"/>
          <a:ext cx="1263759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817833" y="3172408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797959" y="3768010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817832" y="4282361"/>
          <a:ext cx="169200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803620" y="4958804"/>
          <a:ext cx="1572500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tx1">
                <a:lumMod val="65000"/>
                <a:lumOff val="35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322152" y="107518"/>
          <a:ext cx="21638309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11944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61976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50100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4102101</xdr:colOff>
      <xdr:row>8</xdr:row>
      <xdr:rowOff>100950</xdr:rowOff>
    </xdr:from>
    <xdr:to>
      <xdr:col>10</xdr:col>
      <xdr:colOff>176893</xdr:colOff>
      <xdr:row>35</xdr:row>
      <xdr:rowOff>127000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8987065" y="1624950"/>
          <a:ext cx="1556022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4</xdr:col>
      <xdr:colOff>835818</xdr:colOff>
      <xdr:row>8</xdr:row>
      <xdr:rowOff>100949</xdr:rowOff>
    </xdr:from>
    <xdr:to>
      <xdr:col>7</xdr:col>
      <xdr:colOff>3920394</xdr:colOff>
      <xdr:row>35</xdr:row>
      <xdr:rowOff>126999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/>
      </xdr:nvSpPr>
      <xdr:spPr>
        <a:xfrm>
          <a:off x="3274218" y="1624949"/>
          <a:ext cx="5513451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7</xdr:col>
      <xdr:colOff>4095750</xdr:colOff>
      <xdr:row>11</xdr:row>
      <xdr:rowOff>177131</xdr:rowOff>
    </xdr:from>
    <xdr:to>
      <xdr:col>10</xdr:col>
      <xdr:colOff>182220</xdr:colOff>
      <xdr:row>11</xdr:row>
      <xdr:rowOff>177131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CxnSpPr/>
      </xdr:nvCxnSpPr>
      <xdr:spPr>
        <a:xfrm>
          <a:off x="8980714" y="2272631"/>
          <a:ext cx="15571899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5301768</xdr:colOff>
      <xdr:row>9</xdr:row>
      <xdr:rowOff>123176</xdr:rowOff>
    </xdr:from>
    <xdr:to>
      <xdr:col>7</xdr:col>
      <xdr:colOff>7785100</xdr:colOff>
      <xdr:row>11</xdr:row>
      <xdr:rowOff>157125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/>
      </xdr:nvSpPr>
      <xdr:spPr>
        <a:xfrm>
          <a:off x="10169043" y="1837676"/>
          <a:ext cx="24833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Sub-Strategies</a:t>
          </a:r>
          <a:r>
            <a:rPr lang="en-US" sz="1200" b="1" cap="none" spc="0" baseline="0">
              <a:ln w="0"/>
              <a:solidFill>
                <a:srgbClr val="26A8AB"/>
              </a:solidFill>
              <a:latin typeface="Trebuchet MS" panose="020B0603020202020204" pitchFamily="34" charset="0"/>
            </a:rPr>
            <a:t> Progress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4</xdr:col>
      <xdr:colOff>800102</xdr:colOff>
      <xdr:row>11</xdr:row>
      <xdr:rowOff>177131</xdr:rowOff>
    </xdr:from>
    <xdr:to>
      <xdr:col>7</xdr:col>
      <xdr:colOff>3924300</xdr:colOff>
      <xdr:row>11</xdr:row>
      <xdr:rowOff>177131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CxnSpPr>
          <a:cxnSpLocks/>
        </xdr:cNvCxnSpPr>
      </xdr:nvCxnSpPr>
      <xdr:spPr>
        <a:xfrm flipH="1">
          <a:off x="3238502" y="2272631"/>
          <a:ext cx="555307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385984</xdr:colOff>
      <xdr:row>9</xdr:row>
      <xdr:rowOff>123176</xdr:rowOff>
    </xdr:from>
    <xdr:to>
      <xdr:col>7</xdr:col>
      <xdr:colOff>1522424</xdr:colOff>
      <xdr:row>11</xdr:row>
      <xdr:rowOff>157125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/>
      </xdr:nvSpPr>
      <xdr:spPr>
        <a:xfrm>
          <a:off x="3986434" y="1837676"/>
          <a:ext cx="2403265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Overall Status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8191500</xdr:colOff>
      <xdr:row>15</xdr:row>
      <xdr:rowOff>127000</xdr:rowOff>
    </xdr:from>
    <xdr:to>
      <xdr:col>8</xdr:col>
      <xdr:colOff>1259840</xdr:colOff>
      <xdr:row>25</xdr:row>
      <xdr:rowOff>142240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/>
      </xdr:nvSpPr>
      <xdr:spPr>
        <a:xfrm>
          <a:off x="13058775" y="2984500"/>
          <a:ext cx="1917065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8</xdr:col>
      <xdr:colOff>2298700</xdr:colOff>
      <xdr:row>15</xdr:row>
      <xdr:rowOff>127000</xdr:rowOff>
    </xdr:from>
    <xdr:to>
      <xdr:col>8</xdr:col>
      <xdr:colOff>4218940</xdr:colOff>
      <xdr:row>25</xdr:row>
      <xdr:rowOff>142240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16014700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775607</xdr:colOff>
      <xdr:row>14</xdr:row>
      <xdr:rowOff>27214</xdr:rowOff>
    </xdr:from>
    <xdr:to>
      <xdr:col>7</xdr:col>
      <xdr:colOff>2512218</xdr:colOff>
      <xdr:row>27</xdr:row>
      <xdr:rowOff>77745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F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1200043</xdr:colOff>
      <xdr:row>27</xdr:row>
      <xdr:rowOff>69737</xdr:rowOff>
    </xdr:from>
    <xdr:to>
      <xdr:col>7</xdr:col>
      <xdr:colOff>1967147</xdr:colOff>
      <xdr:row>33</xdr:row>
      <xdr:rowOff>69736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F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7</xdr:col>
      <xdr:colOff>7634289</xdr:colOff>
      <xdr:row>14</xdr:row>
      <xdr:rowOff>17607</xdr:rowOff>
    </xdr:from>
    <xdr:to>
      <xdr:col>8</xdr:col>
      <xdr:colOff>1770857</xdr:colOff>
      <xdr:row>27</xdr:row>
      <xdr:rowOff>68138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1762350</xdr:colOff>
      <xdr:row>14</xdr:row>
      <xdr:rowOff>17606</xdr:rowOff>
    </xdr:from>
    <xdr:to>
      <xdr:col>8</xdr:col>
      <xdr:colOff>4750818</xdr:colOff>
      <xdr:row>27</xdr:row>
      <xdr:rowOff>68137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7</xdr:col>
      <xdr:colOff>5187468</xdr:colOff>
      <xdr:row>12</xdr:row>
      <xdr:rowOff>148576</xdr:rowOff>
    </xdr:from>
    <xdr:to>
      <xdr:col>7</xdr:col>
      <xdr:colOff>7048500</xdr:colOff>
      <xdr:row>14</xdr:row>
      <xdr:rowOff>182525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10054743" y="2434576"/>
          <a:ext cx="186103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Production Optimization</a:t>
          </a:r>
        </a:p>
      </xdr:txBody>
    </xdr:sp>
    <xdr:clientData/>
  </xdr:twoCellAnchor>
  <xdr:twoCellAnchor editAs="absolute">
    <xdr:from>
      <xdr:col>7</xdr:col>
      <xdr:colOff>8191015</xdr:colOff>
      <xdr:row>12</xdr:row>
      <xdr:rowOff>148576</xdr:rowOff>
    </xdr:from>
    <xdr:to>
      <xdr:col>8</xdr:col>
      <xdr:colOff>1200147</xdr:colOff>
      <xdr:row>14</xdr:row>
      <xdr:rowOff>182525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/>
      </xdr:nvSpPr>
      <xdr:spPr>
        <a:xfrm>
          <a:off x="13058290" y="2434576"/>
          <a:ext cx="185785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Administrative Compliance Tools</a:t>
          </a:r>
        </a:p>
      </xdr:txBody>
    </xdr:sp>
    <xdr:clientData/>
  </xdr:twoCellAnchor>
  <xdr:twoCellAnchor editAs="absolute">
    <xdr:from>
      <xdr:col>8</xdr:col>
      <xdr:colOff>2280975</xdr:colOff>
      <xdr:row>12</xdr:row>
      <xdr:rowOff>161276</xdr:rowOff>
    </xdr:from>
    <xdr:to>
      <xdr:col>8</xdr:col>
      <xdr:colOff>4142008</xdr:colOff>
      <xdr:row>15</xdr:row>
      <xdr:rowOff>4725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/>
      </xdr:nvSpPr>
      <xdr:spPr>
        <a:xfrm>
          <a:off x="15996975" y="2447276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Remote Assistance &amp; Virtual</a:t>
          </a:r>
        </a:p>
      </xdr:txBody>
    </xdr:sp>
    <xdr:clientData/>
  </xdr:twoCellAnchor>
  <xdr:twoCellAnchor editAs="absolute">
    <xdr:from>
      <xdr:col>6</xdr:col>
      <xdr:colOff>911679</xdr:colOff>
      <xdr:row>12</xdr:row>
      <xdr:rowOff>166263</xdr:rowOff>
    </xdr:from>
    <xdr:to>
      <xdr:col>7</xdr:col>
      <xdr:colOff>2207078</xdr:colOff>
      <xdr:row>15</xdr:row>
      <xdr:rowOff>9712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/>
      </xdr:nvSpPr>
      <xdr:spPr>
        <a:xfrm>
          <a:off x="4512129" y="2452263"/>
          <a:ext cx="2562224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Digitalization Overall</a:t>
          </a:r>
          <a:r>
            <a:rPr lang="en-US" sz="12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 Status</a:t>
          </a:r>
          <a:endParaRPr lang="en-US" sz="1200" b="1" cap="none" spc="0">
            <a:ln w="0"/>
            <a:solidFill>
              <a:schemeClr val="tx1">
                <a:lumMod val="50000"/>
                <a:lumOff val="50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7</xdr:col>
      <xdr:colOff>8105321</xdr:colOff>
      <xdr:row>26</xdr:row>
      <xdr:rowOff>141772</xdr:rowOff>
    </xdr:from>
    <xdr:to>
      <xdr:col>8</xdr:col>
      <xdr:colOff>1277825</xdr:colOff>
      <xdr:row>32</xdr:row>
      <xdr:rowOff>141771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2236100</xdr:colOff>
      <xdr:row>26</xdr:row>
      <xdr:rowOff>141772</xdr:rowOff>
    </xdr:from>
    <xdr:to>
      <xdr:col>8</xdr:col>
      <xdr:colOff>4257783</xdr:colOff>
      <xdr:row>32</xdr:row>
      <xdr:rowOff>141771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7</xdr:col>
      <xdr:colOff>5181600</xdr:colOff>
      <xdr:row>15</xdr:row>
      <xdr:rowOff>114300</xdr:rowOff>
    </xdr:from>
    <xdr:to>
      <xdr:col>7</xdr:col>
      <xdr:colOff>7101840</xdr:colOff>
      <xdr:row>25</xdr:row>
      <xdr:rowOff>129540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/>
      </xdr:nvSpPr>
      <xdr:spPr>
        <a:xfrm>
          <a:off x="10048875" y="29718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7</xdr:col>
      <xdr:colOff>4673600</xdr:colOff>
      <xdr:row>14</xdr:row>
      <xdr:rowOff>24750</xdr:rowOff>
    </xdr:from>
    <xdr:to>
      <xdr:col>7</xdr:col>
      <xdr:colOff>7662068</xdr:colOff>
      <xdr:row>27</xdr:row>
      <xdr:rowOff>75281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5142930</xdr:colOff>
      <xdr:row>26</xdr:row>
      <xdr:rowOff>145875</xdr:rowOff>
    </xdr:from>
    <xdr:to>
      <xdr:col>7</xdr:col>
      <xdr:colOff>7167334</xdr:colOff>
      <xdr:row>32</xdr:row>
      <xdr:rowOff>145874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41</xdr:row>
          <xdr:rowOff>180975</xdr:rowOff>
        </xdr:from>
        <xdr:to>
          <xdr:col>15</xdr:col>
          <xdr:colOff>295275</xdr:colOff>
          <xdr:row>52</xdr:row>
          <xdr:rowOff>200025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316577</xdr:colOff>
      <xdr:row>8</xdr:row>
      <xdr:rowOff>101600</xdr:rowOff>
    </xdr:from>
    <xdr:to>
      <xdr:col>25</xdr:col>
      <xdr:colOff>150570</xdr:colOff>
      <xdr:row>35</xdr:row>
      <xdr:rowOff>127650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/>
      </xdr:nvSpPr>
      <xdr:spPr>
        <a:xfrm>
          <a:off x="24686970" y="1625600"/>
          <a:ext cx="9862457" cy="5169550"/>
        </a:xfrm>
        <a:prstGeom prst="roundRect">
          <a:avLst>
            <a:gd name="adj" fmla="val 519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278477</xdr:colOff>
      <xdr:row>11</xdr:row>
      <xdr:rowOff>177782</xdr:rowOff>
    </xdr:from>
    <xdr:to>
      <xdr:col>25</xdr:col>
      <xdr:colOff>150570</xdr:colOff>
      <xdr:row>11</xdr:row>
      <xdr:rowOff>177782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CxnSpPr>
          <a:cxnSpLocks/>
        </xdr:cNvCxnSpPr>
      </xdr:nvCxnSpPr>
      <xdr:spPr>
        <a:xfrm flipH="1">
          <a:off x="24648870" y="2273282"/>
          <a:ext cx="9900557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524759</xdr:colOff>
      <xdr:row>9</xdr:row>
      <xdr:rowOff>123827</xdr:rowOff>
    </xdr:from>
    <xdr:to>
      <xdr:col>13</xdr:col>
      <xdr:colOff>810299</xdr:colOff>
      <xdr:row>11</xdr:row>
      <xdr:rowOff>157776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/>
      </xdr:nvSpPr>
      <xdr:spPr>
        <a:xfrm>
          <a:off x="24895152" y="1838327"/>
          <a:ext cx="239464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ln w="0"/>
              <a:solidFill>
                <a:srgbClr val="26A8AB"/>
              </a:solidFill>
              <a:latin typeface="Trebuchet MS" panose="020B0603020202020204" pitchFamily="34" charset="0"/>
            </a:rPr>
            <a:t>Timeline/Roadmap</a:t>
          </a:r>
          <a:endParaRPr lang="en-US" sz="1200" b="1" cap="none" spc="0">
            <a:ln w="0"/>
            <a:solidFill>
              <a:srgbClr val="26A8AB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9</xdr:row>
      <xdr:rowOff>0</xdr:rowOff>
    </xdr:from>
    <xdr:to>
      <xdr:col>4</xdr:col>
      <xdr:colOff>435428</xdr:colOff>
      <xdr:row>11</xdr:row>
      <xdr:rowOff>122464</xdr:rowOff>
    </xdr:to>
    <xdr:sp macro="[0]!Rectangle97_Click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/>
      </xdr:nvSpPr>
      <xdr:spPr>
        <a:xfrm>
          <a:off x="381000" y="1714500"/>
          <a:ext cx="2492828" cy="503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299358</xdr:colOff>
      <xdr:row>12</xdr:row>
      <xdr:rowOff>95251</xdr:rowOff>
    </xdr:from>
    <xdr:to>
      <xdr:col>4</xdr:col>
      <xdr:colOff>408215</xdr:colOff>
      <xdr:row>15</xdr:row>
      <xdr:rowOff>68036</xdr:rowOff>
    </xdr:to>
    <xdr:sp macro="[0]!Rectangle148_Click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/>
      </xdr:nvSpPr>
      <xdr:spPr>
        <a:xfrm>
          <a:off x="299358" y="2381251"/>
          <a:ext cx="2558143" cy="544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244929</xdr:colOff>
      <xdr:row>15</xdr:row>
      <xdr:rowOff>103469</xdr:rowOff>
    </xdr:from>
    <xdr:to>
      <xdr:col>4</xdr:col>
      <xdr:colOff>408215</xdr:colOff>
      <xdr:row>18</xdr:row>
      <xdr:rowOff>117076</xdr:rowOff>
    </xdr:to>
    <xdr:sp macro="[0]!Rectangle46_Click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/>
      </xdr:nvSpPr>
      <xdr:spPr>
        <a:xfrm>
          <a:off x="244929" y="2960969"/>
          <a:ext cx="2612572" cy="5851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258537</xdr:colOff>
      <xdr:row>18</xdr:row>
      <xdr:rowOff>136072</xdr:rowOff>
    </xdr:from>
    <xdr:to>
      <xdr:col>4</xdr:col>
      <xdr:colOff>381001</xdr:colOff>
      <xdr:row>21</xdr:row>
      <xdr:rowOff>136072</xdr:rowOff>
    </xdr:to>
    <xdr:sp macro="[0]!Rectangle33_Click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/>
      </xdr:nvSpPr>
      <xdr:spPr>
        <a:xfrm>
          <a:off x="258537" y="3565072"/>
          <a:ext cx="25717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299358</xdr:colOff>
      <xdr:row>21</xdr:row>
      <xdr:rowOff>108858</xdr:rowOff>
    </xdr:from>
    <xdr:to>
      <xdr:col>4</xdr:col>
      <xdr:colOff>421822</xdr:colOff>
      <xdr:row>24</xdr:row>
      <xdr:rowOff>163286</xdr:rowOff>
    </xdr:to>
    <xdr:sp macro="[0]!Sustainability_Rectangle53_Click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F00-000038000000}"/>
            </a:ext>
          </a:extLst>
        </xdr:cNvPr>
        <xdr:cNvSpPr/>
      </xdr:nvSpPr>
      <xdr:spPr>
        <a:xfrm>
          <a:off x="299358" y="4109358"/>
          <a:ext cx="257175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5183414</xdr:colOff>
      <xdr:row>15</xdr:row>
      <xdr:rowOff>127000</xdr:rowOff>
    </xdr:from>
    <xdr:to>
      <xdr:col>8</xdr:col>
      <xdr:colOff>7103654</xdr:colOff>
      <xdr:row>25</xdr:row>
      <xdr:rowOff>142240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F00-00003B000000}"/>
            </a:ext>
          </a:extLst>
        </xdr:cNvPr>
        <xdr:cNvSpPr/>
      </xdr:nvSpPr>
      <xdr:spPr>
        <a:xfrm>
          <a:off x="18913021" y="2984500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8</xdr:col>
      <xdr:colOff>5165689</xdr:colOff>
      <xdr:row>12</xdr:row>
      <xdr:rowOff>161276</xdr:rowOff>
    </xdr:from>
    <xdr:to>
      <xdr:col>8</xdr:col>
      <xdr:colOff>7026722</xdr:colOff>
      <xdr:row>15</xdr:row>
      <xdr:rowOff>4725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/>
      </xdr:nvSpPr>
      <xdr:spPr>
        <a:xfrm>
          <a:off x="18895296" y="2447276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Data Validity/Reliability</a:t>
          </a:r>
        </a:p>
      </xdr:txBody>
    </xdr:sp>
    <xdr:clientData/>
  </xdr:twoCellAnchor>
  <xdr:twoCellAnchor editAs="absolute">
    <xdr:from>
      <xdr:col>8</xdr:col>
      <xdr:colOff>5120814</xdr:colOff>
      <xdr:row>26</xdr:row>
      <xdr:rowOff>141772</xdr:rowOff>
    </xdr:from>
    <xdr:to>
      <xdr:col>8</xdr:col>
      <xdr:colOff>7142497</xdr:colOff>
      <xdr:row>32</xdr:row>
      <xdr:rowOff>141771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9</xdr:col>
      <xdr:colOff>464457</xdr:colOff>
      <xdr:row>15</xdr:row>
      <xdr:rowOff>116115</xdr:rowOff>
    </xdr:from>
    <xdr:to>
      <xdr:col>9</xdr:col>
      <xdr:colOff>2384697</xdr:colOff>
      <xdr:row>25</xdr:row>
      <xdr:rowOff>131355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/>
      </xdr:nvSpPr>
      <xdr:spPr>
        <a:xfrm>
          <a:off x="21827671" y="2973615"/>
          <a:ext cx="1920240" cy="1920240"/>
        </a:xfrm>
        <a:prstGeom prst="ellipse">
          <a:avLst/>
        </a:prstGeom>
        <a:solidFill>
          <a:srgbClr val="26A8AB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9</xdr:col>
      <xdr:colOff>446732</xdr:colOff>
      <xdr:row>12</xdr:row>
      <xdr:rowOff>150391</xdr:rowOff>
    </xdr:from>
    <xdr:to>
      <xdr:col>9</xdr:col>
      <xdr:colOff>2307765</xdr:colOff>
      <xdr:row>14</xdr:row>
      <xdr:rowOff>184340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/>
      </xdr:nvSpPr>
      <xdr:spPr>
        <a:xfrm>
          <a:off x="21809946" y="2436391"/>
          <a:ext cx="1861033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Well Integrity Assurance</a:t>
          </a:r>
        </a:p>
      </xdr:txBody>
    </xdr:sp>
    <xdr:clientData/>
  </xdr:twoCellAnchor>
  <xdr:twoCellAnchor editAs="absolute">
    <xdr:from>
      <xdr:col>9</xdr:col>
      <xdr:colOff>401857</xdr:colOff>
      <xdr:row>26</xdr:row>
      <xdr:rowOff>130887</xdr:rowOff>
    </xdr:from>
    <xdr:to>
      <xdr:col>9</xdr:col>
      <xdr:colOff>2423540</xdr:colOff>
      <xdr:row>32</xdr:row>
      <xdr:rowOff>130886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5701393</xdr:colOff>
      <xdr:row>19</xdr:row>
      <xdr:rowOff>72570</xdr:rowOff>
    </xdr:from>
    <xdr:to>
      <xdr:col>8</xdr:col>
      <xdr:colOff>6653893</xdr:colOff>
      <xdr:row>21</xdr:row>
      <xdr:rowOff>140091</xdr:rowOff>
    </xdr:to>
    <xdr:sp macro="" textlink="Data!P21">
      <xdr:nvSpPr>
        <xdr:cNvPr id="69" name="Rectangle 68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/>
      </xdr:nvSpPr>
      <xdr:spPr>
        <a:xfrm>
          <a:off x="19431000" y="3692070"/>
          <a:ext cx="952500" cy="4485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AE0540D-5434-4BC1-B6B9-43003FD99724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9</xdr:col>
      <xdr:colOff>884465</xdr:colOff>
      <xdr:row>19</xdr:row>
      <xdr:rowOff>61684</xdr:rowOff>
    </xdr:from>
    <xdr:to>
      <xdr:col>9</xdr:col>
      <xdr:colOff>1973036</xdr:colOff>
      <xdr:row>21</xdr:row>
      <xdr:rowOff>129205</xdr:rowOff>
    </xdr:to>
    <xdr:sp macro="" textlink="Data!P22">
      <xdr:nvSpPr>
        <xdr:cNvPr id="70" name="Rectangle 69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/>
      </xdr:nvSpPr>
      <xdr:spPr>
        <a:xfrm>
          <a:off x="22247679" y="3681184"/>
          <a:ext cx="1088571" cy="4485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B93E457-6DA4-4AA8-A700-F4946016F0F2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0.37265</cdr:x>
      <cdr:y>0.40349</cdr:y>
    </cdr:from>
    <cdr:to>
      <cdr:x>0.64354</cdr:x>
      <cdr:y>0.58098</cdr:y>
    </cdr:to>
    <cdr:sp macro="" textlink="Data!$P$1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18722" y="1019632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AD17F73D-1686-44B1-929E-9B60A0BA8191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0.3717</cdr:x>
      <cdr:y>0.40349</cdr:y>
    </cdr:from>
    <cdr:to>
      <cdr:x>0.64449</cdr:x>
      <cdr:y>0.58098</cdr:y>
    </cdr:to>
    <cdr:sp macro="" textlink="Data!$P$19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08122" y="1019632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BC75F177-CE0F-4DCC-BD01-C933E41C8849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4%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0.37203</cdr:x>
      <cdr:y>0.40349</cdr:y>
    </cdr:from>
    <cdr:to>
      <cdr:x>0.64416</cdr:x>
      <cdr:y>0.58098</cdr:y>
    </cdr:to>
    <cdr:sp macro="" textlink="Data!$P$2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11809" y="1019632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AEC22C6B-4DDB-4263-A3F2-BF32761103FB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4000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0.36809</cdr:x>
      <cdr:y>0.39954</cdr:y>
    </cdr:from>
    <cdr:to>
      <cdr:x>0.64021</cdr:x>
      <cdr:y>0.57703</cdr:y>
    </cdr:to>
    <cdr:sp macro="" textlink="Data!$P$18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00019" y="1009650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4B192DAC-329F-4883-B9B1-1ABAF3849792}" type="TxLink">
            <a:rPr lang="en-US" sz="2400" b="0" i="0" u="none" strike="noStrike" cap="none" spc="0">
              <a:ln w="0"/>
              <a:solidFill>
                <a:schemeClr val="bg1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5%</a:t>
          </a:fld>
          <a:endParaRPr lang="en-US" sz="255800" b="0" cap="none" spc="0">
            <a:ln w="0"/>
            <a:solidFill>
              <a:schemeClr val="bg1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944351</xdr:colOff>
      <xdr:row>49</xdr:row>
      <xdr:rowOff>244493</xdr:rowOff>
    </xdr:from>
    <xdr:to>
      <xdr:col>21</xdr:col>
      <xdr:colOff>496014</xdr:colOff>
      <xdr:row>76</xdr:row>
      <xdr:rowOff>9169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350762</xdr:colOff>
      <xdr:row>0</xdr:row>
      <xdr:rowOff>330652</xdr:rowOff>
    </xdr:from>
    <xdr:ext cx="1455964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4840595" y="330652"/>
          <a:ext cx="145596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pasted from KPI Columnn H (Strategy owners confused KPI and completion %)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179294</xdr:colOff>
      <xdr:row>82</xdr:row>
      <xdr:rowOff>94690</xdr:rowOff>
    </xdr:from>
    <xdr:ext cx="4800600" cy="16578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79294" y="16163925"/>
          <a:ext cx="4800600" cy="165782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chemeClr val="bg1"/>
              </a:solidFill>
            </a:rPr>
            <a:t>Notes:</a:t>
          </a:r>
        </a:p>
        <a:p>
          <a:r>
            <a:rPr lang="en-US" sz="2000">
              <a:solidFill>
                <a:schemeClr val="bg1"/>
              </a:solidFill>
            </a:rPr>
            <a:t>-Don't</a:t>
          </a:r>
          <a:r>
            <a:rPr lang="en-US" sz="2000" baseline="0">
              <a:solidFill>
                <a:schemeClr val="bg1"/>
              </a:solidFill>
            </a:rPr>
            <a:t> do functions just fix the look</a:t>
          </a:r>
        </a:p>
        <a:p>
          <a:r>
            <a:rPr lang="en-US" sz="2000" baseline="0">
              <a:solidFill>
                <a:schemeClr val="bg1"/>
              </a:solidFill>
            </a:rPr>
            <a:t>-Add Ghantt Chart</a:t>
          </a:r>
        </a:p>
        <a:p>
          <a:r>
            <a:rPr lang="en-US" sz="2000" baseline="0">
              <a:solidFill>
                <a:schemeClr val="bg1"/>
              </a:solidFill>
            </a:rPr>
            <a:t>-Try the sunburst it has good potential</a:t>
          </a:r>
        </a:p>
        <a:p>
          <a:r>
            <a:rPr lang="en-US" sz="2000" baseline="0">
              <a:solidFill>
                <a:schemeClr val="bg1"/>
              </a:solidFill>
            </a:rPr>
            <a:t>-Check with Ahmed Mousa</a:t>
          </a:r>
          <a:endParaRPr lang="en-US" sz="2000">
            <a:solidFill>
              <a:schemeClr val="bg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0</xdr:colOff>
      <xdr:row>2</xdr:row>
      <xdr:rowOff>89864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0" y="0"/>
          <a:ext cx="27554464" cy="47086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absolute">
    <xdr:from>
      <xdr:col>0</xdr:col>
      <xdr:colOff>0</xdr:colOff>
      <xdr:row>2</xdr:row>
      <xdr:rowOff>89861</xdr:rowOff>
    </xdr:from>
    <xdr:to>
      <xdr:col>4</xdr:col>
      <xdr:colOff>416719</xdr:colOff>
      <xdr:row>55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0" y="470861"/>
          <a:ext cx="2866005" cy="11768764"/>
        </a:xfrm>
        <a:prstGeom prst="rect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428624</xdr:colOff>
      <xdr:row>2</xdr:row>
      <xdr:rowOff>89862</xdr:rowOff>
    </xdr:from>
    <xdr:to>
      <xdr:col>45</xdr:col>
      <xdr:colOff>0</xdr:colOff>
      <xdr:row>6</xdr:row>
      <xdr:rowOff>11087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2877910" y="470862"/>
          <a:ext cx="24676554" cy="6832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3000000" algn="t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387008</xdr:colOff>
      <xdr:row>3</xdr:row>
      <xdr:rowOff>54309</xdr:rowOff>
    </xdr:from>
    <xdr:to>
      <xdr:col>2</xdr:col>
      <xdr:colOff>268393</xdr:colOff>
      <xdr:row>5</xdr:row>
      <xdr:rowOff>46445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08" y="625809"/>
          <a:ext cx="1095823" cy="373136"/>
        </a:xfrm>
        <a:prstGeom prst="rect">
          <a:avLst/>
        </a:prstGeom>
      </xdr:spPr>
    </xdr:pic>
    <xdr:clientData/>
  </xdr:twoCellAnchor>
  <xdr:twoCellAnchor>
    <xdr:from>
      <xdr:col>0</xdr:col>
      <xdr:colOff>271425</xdr:colOff>
      <xdr:row>8</xdr:row>
      <xdr:rowOff>127267</xdr:rowOff>
    </xdr:from>
    <xdr:to>
      <xdr:col>5</xdr:col>
      <xdr:colOff>71437</xdr:colOff>
      <xdr:row>11</xdr:row>
      <xdr:rowOff>155138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271425" y="1651267"/>
          <a:ext cx="2836106" cy="59937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</xdr:colOff>
      <xdr:row>6</xdr:row>
      <xdr:rowOff>11088</xdr:rowOff>
    </xdr:from>
    <xdr:to>
      <xdr:col>4</xdr:col>
      <xdr:colOff>440531</xdr:colOff>
      <xdr:row>6</xdr:row>
      <xdr:rowOff>11088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 flipH="1">
          <a:off x="1" y="1154088"/>
          <a:ext cx="286940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44448</xdr:colOff>
      <xdr:row>9</xdr:row>
      <xdr:rowOff>109700</xdr:rowOff>
    </xdr:from>
    <xdr:to>
      <xdr:col>3</xdr:col>
      <xdr:colOff>171018</xdr:colOff>
      <xdr:row>11</xdr:row>
      <xdr:rowOff>143649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651667" y="1824200"/>
          <a:ext cx="134100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370036</xdr:colOff>
      <xdr:row>9</xdr:row>
      <xdr:rowOff>5793</xdr:rowOff>
    </xdr:from>
    <xdr:to>
      <xdr:col>1</xdr:col>
      <xdr:colOff>224775</xdr:colOff>
      <xdr:row>11</xdr:row>
      <xdr:rowOff>89782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370036" y="1720293"/>
          <a:ext cx="467060" cy="464989"/>
        </a:xfrm>
        <a:prstGeom prst="ellipse">
          <a:avLst/>
        </a:prstGeom>
        <a:solidFill>
          <a:srgbClr val="26A8A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427364</xdr:colOff>
      <xdr:row>9</xdr:row>
      <xdr:rowOff>65737</xdr:rowOff>
    </xdr:from>
    <xdr:to>
      <xdr:col>1</xdr:col>
      <xdr:colOff>156130</xdr:colOff>
      <xdr:row>11</xdr:row>
      <xdr:rowOff>24312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364" y="1780237"/>
          <a:ext cx="341087" cy="339575"/>
        </a:xfrm>
        <a:prstGeom prst="rect">
          <a:avLst/>
        </a:prstGeom>
      </xdr:spPr>
    </xdr:pic>
    <xdr:clientData/>
  </xdr:twoCellAnchor>
  <xdr:twoCellAnchor>
    <xdr:from>
      <xdr:col>29</xdr:col>
      <xdr:colOff>329273</xdr:colOff>
      <xdr:row>50</xdr:row>
      <xdr:rowOff>170840</xdr:rowOff>
    </xdr:from>
    <xdr:to>
      <xdr:col>29</xdr:col>
      <xdr:colOff>477704</xdr:colOff>
      <xdr:row>51</xdr:row>
      <xdr:rowOff>128113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7938617" y="9695840"/>
          <a:ext cx="148431" cy="14777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241191</xdr:colOff>
      <xdr:row>13</xdr:row>
      <xdr:rowOff>90901</xdr:rowOff>
    </xdr:from>
    <xdr:to>
      <xdr:col>3</xdr:col>
      <xdr:colOff>285750</xdr:colOff>
      <xdr:row>15</xdr:row>
      <xdr:rowOff>124850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/>
      </xdr:nvSpPr>
      <xdr:spPr>
        <a:xfrm>
          <a:off x="848410" y="2567401"/>
          <a:ext cx="1258996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Re-Branding</a:t>
          </a:r>
        </a:p>
      </xdr:txBody>
    </xdr:sp>
    <xdr:clientData/>
  </xdr:twoCellAnchor>
  <xdr:twoCellAnchor>
    <xdr:from>
      <xdr:col>1</xdr:col>
      <xdr:colOff>208233</xdr:colOff>
      <xdr:row>16</xdr:row>
      <xdr:rowOff>124408</xdr:rowOff>
    </xdr:from>
    <xdr:to>
      <xdr:col>3</xdr:col>
      <xdr:colOff>561533</xdr:colOff>
      <xdr:row>18</xdr:row>
      <xdr:rowOff>158357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815452" y="3172408"/>
          <a:ext cx="156773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Cost Efficiency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188359</xdr:colOff>
      <xdr:row>19</xdr:row>
      <xdr:rowOff>148510</xdr:rowOff>
    </xdr:from>
    <xdr:to>
      <xdr:col>3</xdr:col>
      <xdr:colOff>541659</xdr:colOff>
      <xdr:row>21</xdr:row>
      <xdr:rowOff>182459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>
        <a:xfrm>
          <a:off x="795578" y="3768010"/>
          <a:ext cx="156773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Sustainability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208232</xdr:colOff>
      <xdr:row>22</xdr:row>
      <xdr:rowOff>91361</xdr:rowOff>
    </xdr:from>
    <xdr:to>
      <xdr:col>4</xdr:col>
      <xdr:colOff>71437</xdr:colOff>
      <xdr:row>24</xdr:row>
      <xdr:rowOff>125310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>
        <a:xfrm>
          <a:off x="815451" y="4282361"/>
          <a:ext cx="1684861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People Development and Engagment</a:t>
          </a:r>
        </a:p>
      </xdr:txBody>
    </xdr:sp>
    <xdr:clientData/>
  </xdr:twoCellAnchor>
  <xdr:twoCellAnchor>
    <xdr:from>
      <xdr:col>1</xdr:col>
      <xdr:colOff>194020</xdr:colOff>
      <xdr:row>26</xdr:row>
      <xdr:rowOff>5804</xdr:rowOff>
    </xdr:from>
    <xdr:to>
      <xdr:col>3</xdr:col>
      <xdr:colOff>547320</xdr:colOff>
      <xdr:row>28</xdr:row>
      <xdr:rowOff>39753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/>
      </xdr:nvSpPr>
      <xdr:spPr>
        <a:xfrm>
          <a:off x="801239" y="4958804"/>
          <a:ext cx="1567737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ln w="0"/>
              <a:solidFill>
                <a:schemeClr val="bg1"/>
              </a:solidFill>
              <a:latin typeface="Trebuchet MS" panose="020B0603020202020204" pitchFamily="34" charset="0"/>
            </a:rPr>
            <a:t>Digitization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322152</xdr:colOff>
      <xdr:row>0</xdr:row>
      <xdr:rowOff>107518</xdr:rowOff>
    </xdr:from>
    <xdr:to>
      <xdr:col>9</xdr:col>
      <xdr:colOff>605411</xdr:colOff>
      <xdr:row>2</xdr:row>
      <xdr:rowOff>72308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/>
      </xdr:nvSpPr>
      <xdr:spPr>
        <a:xfrm>
          <a:off x="322152" y="107518"/>
          <a:ext cx="5794152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>
              <a:ln w="0"/>
              <a:solidFill>
                <a:schemeClr val="bg1"/>
              </a:solidFill>
              <a:latin typeface="Trebuchet MS" panose="020B0603020202020204" pitchFamily="34" charset="0"/>
            </a:rPr>
            <a:t>SA Production</a:t>
          </a:r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 Engineering Department Strategies 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oneCell">
    <xdr:from>
      <xdr:col>0</xdr:col>
      <xdr:colOff>416718</xdr:colOff>
      <xdr:row>19</xdr:row>
      <xdr:rowOff>140912</xdr:rowOff>
    </xdr:from>
    <xdr:to>
      <xdr:col>1</xdr:col>
      <xdr:colOff>119062</xdr:colOff>
      <xdr:row>21</xdr:row>
      <xdr:rowOff>53822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3760412"/>
          <a:ext cx="309563" cy="29391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423843</xdr:colOff>
      <xdr:row>22</xdr:row>
      <xdr:rowOff>128447</xdr:rowOff>
    </xdr:from>
    <xdr:to>
      <xdr:col>1</xdr:col>
      <xdr:colOff>95250</xdr:colOff>
      <xdr:row>24</xdr:row>
      <xdr:rowOff>88794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43" y="4319447"/>
          <a:ext cx="281007" cy="341347"/>
        </a:xfrm>
        <a:prstGeom prst="rect">
          <a:avLst/>
        </a:prstGeom>
      </xdr:spPr>
    </xdr:pic>
    <xdr:clientData/>
  </xdr:twoCellAnchor>
  <xdr:twoCellAnchor editAs="oneCell">
    <xdr:from>
      <xdr:col>0</xdr:col>
      <xdr:colOff>454782</xdr:colOff>
      <xdr:row>13</xdr:row>
      <xdr:rowOff>50831</xdr:rowOff>
    </xdr:from>
    <xdr:to>
      <xdr:col>1</xdr:col>
      <xdr:colOff>107158</xdr:colOff>
      <xdr:row>15</xdr:row>
      <xdr:rowOff>16066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2" y="2527331"/>
          <a:ext cx="259595" cy="34623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409502</xdr:colOff>
      <xdr:row>25</xdr:row>
      <xdr:rowOff>181434</xdr:rowOff>
    </xdr:from>
    <xdr:to>
      <xdr:col>1</xdr:col>
      <xdr:colOff>95253</xdr:colOff>
      <xdr:row>27</xdr:row>
      <xdr:rowOff>92768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02" y="4943934"/>
          <a:ext cx="295351" cy="292334"/>
        </a:xfrm>
        <a:prstGeom prst="rect">
          <a:avLst/>
        </a:prstGeom>
      </xdr:spPr>
    </xdr:pic>
    <xdr:clientData/>
  </xdr:twoCellAnchor>
  <xdr:twoCellAnchor editAs="oneCell">
    <xdr:from>
      <xdr:col>0</xdr:col>
      <xdr:colOff>410577</xdr:colOff>
      <xdr:row>16</xdr:row>
      <xdr:rowOff>145814</xdr:rowOff>
    </xdr:from>
    <xdr:to>
      <xdr:col>1</xdr:col>
      <xdr:colOff>151077</xdr:colOff>
      <xdr:row>17</xdr:row>
      <xdr:rowOff>175337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77" y="3193814"/>
          <a:ext cx="347719" cy="220023"/>
        </a:xfrm>
        <a:prstGeom prst="rect">
          <a:avLst/>
        </a:prstGeom>
      </xdr:spPr>
    </xdr:pic>
    <xdr:clientData/>
  </xdr:twoCellAnchor>
  <xdr:twoCellAnchor>
    <xdr:from>
      <xdr:col>2</xdr:col>
      <xdr:colOff>419101</xdr:colOff>
      <xdr:row>3</xdr:row>
      <xdr:rowOff>44018</xdr:rowOff>
    </xdr:from>
    <xdr:to>
      <xdr:col>4</xdr:col>
      <xdr:colOff>152401</xdr:colOff>
      <xdr:row>5</xdr:row>
      <xdr:rowOff>8808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SpPr/>
      </xdr:nvSpPr>
      <xdr:spPr>
        <a:xfrm>
          <a:off x="1638301" y="615518"/>
          <a:ext cx="952500" cy="34579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Strategies </a:t>
          </a:r>
        </a:p>
        <a:p>
          <a:r>
            <a:rPr lang="en-US" sz="1200" b="0" cap="none" spc="0" baseline="0">
              <a:ln w="0"/>
              <a:solidFill>
                <a:schemeClr val="bg1"/>
              </a:solidFill>
              <a:latin typeface="Trebuchet MS" panose="020B0603020202020204" pitchFamily="34" charset="0"/>
            </a:rPr>
            <a:t>Tracking</a:t>
          </a:r>
          <a:endParaRPr lang="en-US" sz="1200" b="0" cap="none" spc="0">
            <a:ln w="0"/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 editAs="absolute">
    <xdr:from>
      <xdr:col>5</xdr:col>
      <xdr:colOff>177800</xdr:colOff>
      <xdr:row>39</xdr:row>
      <xdr:rowOff>160540</xdr:rowOff>
    </xdr:from>
    <xdr:to>
      <xdr:col>10</xdr:col>
      <xdr:colOff>268514</xdr:colOff>
      <xdr:row>39</xdr:row>
      <xdr:rowOff>160540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>
          <a:cxnSpLocks/>
        </xdr:cNvCxnSpPr>
      </xdr:nvCxnSpPr>
      <xdr:spPr>
        <a:xfrm flipH="1">
          <a:off x="3239407" y="7590040"/>
          <a:ext cx="557439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226662</xdr:colOff>
      <xdr:row>37</xdr:row>
      <xdr:rowOff>106584</xdr:rowOff>
    </xdr:from>
    <xdr:to>
      <xdr:col>8</xdr:col>
      <xdr:colOff>1635329</xdr:colOff>
      <xdr:row>39</xdr:row>
      <xdr:rowOff>140533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/>
      </xdr:nvSpPr>
      <xdr:spPr>
        <a:xfrm>
          <a:off x="3900591" y="7155084"/>
          <a:ext cx="2388381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Highlights</a:t>
          </a:r>
        </a:p>
      </xdr:txBody>
    </xdr:sp>
    <xdr:clientData/>
  </xdr:twoCellAnchor>
  <xdr:twoCellAnchor editAs="absolute">
    <xdr:from>
      <xdr:col>15</xdr:col>
      <xdr:colOff>433614</xdr:colOff>
      <xdr:row>39</xdr:row>
      <xdr:rowOff>170065</xdr:rowOff>
    </xdr:from>
    <xdr:to>
      <xdr:col>20</xdr:col>
      <xdr:colOff>477950</xdr:colOff>
      <xdr:row>39</xdr:row>
      <xdr:rowOff>170065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CxnSpPr>
          <a:cxnSpLocks/>
        </xdr:cNvCxnSpPr>
      </xdr:nvCxnSpPr>
      <xdr:spPr>
        <a:xfrm flipH="1">
          <a:off x="14721114" y="7599565"/>
          <a:ext cx="863044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309099</xdr:colOff>
      <xdr:row>37</xdr:row>
      <xdr:rowOff>116109</xdr:rowOff>
    </xdr:from>
    <xdr:to>
      <xdr:col>17</xdr:col>
      <xdr:colOff>2275659</xdr:colOff>
      <xdr:row>39</xdr:row>
      <xdr:rowOff>150058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SpPr/>
      </xdr:nvSpPr>
      <xdr:spPr>
        <a:xfrm>
          <a:off x="15208920" y="7164609"/>
          <a:ext cx="238838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Overdue Actions</a:t>
          </a:r>
        </a:p>
      </xdr:txBody>
    </xdr:sp>
    <xdr:clientData/>
  </xdr:twoCellAnchor>
  <xdr:twoCellAnchor editAs="absolute">
    <xdr:from>
      <xdr:col>10</xdr:col>
      <xdr:colOff>482828</xdr:colOff>
      <xdr:row>39</xdr:row>
      <xdr:rowOff>160540</xdr:rowOff>
    </xdr:from>
    <xdr:to>
      <xdr:col>15</xdr:col>
      <xdr:colOff>278493</xdr:colOff>
      <xdr:row>39</xdr:row>
      <xdr:rowOff>160540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CxnSpPr>
          <a:cxnSpLocks/>
        </xdr:cNvCxnSpPr>
      </xdr:nvCxnSpPr>
      <xdr:spPr>
        <a:xfrm flipH="1">
          <a:off x="9028114" y="7590040"/>
          <a:ext cx="5537879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482476</xdr:colOff>
      <xdr:row>37</xdr:row>
      <xdr:rowOff>106584</xdr:rowOff>
    </xdr:from>
    <xdr:to>
      <xdr:col>13</xdr:col>
      <xdr:colOff>1306036</xdr:colOff>
      <xdr:row>39</xdr:row>
      <xdr:rowOff>140533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SpPr/>
      </xdr:nvSpPr>
      <xdr:spPr>
        <a:xfrm>
          <a:off x="9640083" y="7155084"/>
          <a:ext cx="2388382" cy="4149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rPr>
            <a:t>Notifications</a:t>
          </a:r>
        </a:p>
      </xdr:txBody>
    </xdr:sp>
    <xdr:clientData/>
  </xdr:twoCellAnchor>
  <xdr:twoCellAnchor editAs="absolute">
    <xdr:from>
      <xdr:col>5</xdr:col>
      <xdr:colOff>190502</xdr:colOff>
      <xdr:row>8</xdr:row>
      <xdr:rowOff>100949</xdr:rowOff>
    </xdr:from>
    <xdr:to>
      <xdr:col>10</xdr:col>
      <xdr:colOff>319314</xdr:colOff>
      <xdr:row>35</xdr:row>
      <xdr:rowOff>126999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GrpSpPr/>
      </xdr:nvGrpSpPr>
      <xdr:grpSpPr>
        <a:xfrm>
          <a:off x="3252109" y="1624949"/>
          <a:ext cx="5612491" cy="5169550"/>
          <a:chOff x="3252109" y="1624949"/>
          <a:chExt cx="5612491" cy="516955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/>
        </xdr:nvSpPr>
        <xdr:spPr>
          <a:xfrm>
            <a:off x="3287825" y="1624949"/>
            <a:ext cx="5551375" cy="5169550"/>
          </a:xfrm>
          <a:prstGeom prst="roundRect">
            <a:avLst>
              <a:gd name="adj" fmla="val 519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A00-000023000000}"/>
              </a:ext>
            </a:extLst>
          </xdr:cNvPr>
          <xdr:cNvCxnSpPr>
            <a:cxnSpLocks/>
          </xdr:cNvCxnSpPr>
        </xdr:nvCxnSpPr>
        <xdr:spPr>
          <a:xfrm flipH="1">
            <a:off x="3252109" y="2272631"/>
            <a:ext cx="5612491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SpPr/>
        </xdr:nvSpPr>
        <xdr:spPr>
          <a:xfrm>
            <a:off x="4009113" y="1837676"/>
            <a:ext cx="2417325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 b="1">
                <a:ln w="0"/>
                <a:solidFill>
                  <a:srgbClr val="26A8AB"/>
                </a:solidFill>
                <a:latin typeface="Trebuchet MS" panose="020B0603020202020204" pitchFamily="34" charset="0"/>
              </a:rPr>
              <a:t>Overall Status</a:t>
            </a:r>
            <a:endPara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endParaRPr>
          </a:p>
        </xdr:txBody>
      </xdr:sp>
      <xdr:graphicFrame macro="">
        <xdr:nvGraphicFramePr>
          <xdr:cNvPr id="132" name="Chart 131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GraphicFramePr>
            <a:graphicFrameLocks/>
          </xdr:cNvGraphicFramePr>
        </xdr:nvGraphicFramePr>
        <xdr:xfrm>
          <a:off x="4398168" y="2705334"/>
          <a:ext cx="3002075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4578350" y="2452263"/>
            <a:ext cx="2576285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SAPED Overall</a:t>
            </a:r>
            <a:r>
              <a:rPr lang="en-US" sz="1200" b="1" cap="none" spc="0" baseline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 Status</a:t>
            </a:r>
            <a:endPara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endParaRPr>
          </a:p>
        </xdr:txBody>
      </xdr:sp>
      <xdr:graphicFrame macro="">
        <xdr:nvGraphicFramePr>
          <xdr:cNvPr id="134" name="Chart 133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GraphicFramePr>
            <a:graphicFrameLocks/>
          </xdr:cNvGraphicFramePr>
        </xdr:nvGraphicFramePr>
        <xdr:xfrm>
          <a:off x="3946073" y="5223780"/>
          <a:ext cx="3796392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 editAs="absolute">
    <xdr:from>
      <xdr:col>10</xdr:col>
      <xdr:colOff>446314</xdr:colOff>
      <xdr:row>8</xdr:row>
      <xdr:rowOff>100950</xdr:rowOff>
    </xdr:from>
    <xdr:to>
      <xdr:col>20</xdr:col>
      <xdr:colOff>476250</xdr:colOff>
      <xdr:row>35</xdr:row>
      <xdr:rowOff>127000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GrpSpPr/>
      </xdr:nvGrpSpPr>
      <xdr:grpSpPr>
        <a:xfrm>
          <a:off x="8991600" y="1624950"/>
          <a:ext cx="14358257" cy="5169550"/>
          <a:chOff x="8991600" y="1624950"/>
          <a:chExt cx="14358257" cy="516955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/>
        </xdr:nvSpPr>
        <xdr:spPr>
          <a:xfrm>
            <a:off x="9017000" y="1624950"/>
            <a:ext cx="14332857" cy="5169550"/>
          </a:xfrm>
          <a:prstGeom prst="roundRect">
            <a:avLst>
              <a:gd name="adj" fmla="val 519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 flipH="1">
            <a:off x="8991600" y="2272631"/>
            <a:ext cx="14336145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A00-000020000000}"/>
              </a:ext>
            </a:extLst>
          </xdr:cNvPr>
          <xdr:cNvSpPr/>
        </xdr:nvSpPr>
        <xdr:spPr>
          <a:xfrm>
            <a:off x="10145911" y="1837676"/>
            <a:ext cx="2494218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rgbClr val="26A8AB"/>
                </a:solidFill>
                <a:latin typeface="Trebuchet MS" panose="020B0603020202020204" pitchFamily="34" charset="0"/>
              </a:rPr>
              <a:t>Strategies</a:t>
            </a:r>
            <a:r>
              <a:rPr lang="en-US" sz="1200" b="1" cap="none" spc="0" baseline="0">
                <a:ln w="0"/>
                <a:solidFill>
                  <a:srgbClr val="26A8AB"/>
                </a:solidFill>
                <a:latin typeface="Trebuchet MS" panose="020B0603020202020204" pitchFamily="34" charset="0"/>
              </a:rPr>
              <a:t> Progress Status</a:t>
            </a:r>
            <a:endParaRPr lang="en-US" sz="1200" b="1" cap="none" spc="0">
              <a:ln w="0"/>
              <a:solidFill>
                <a:srgbClr val="26A8AB"/>
              </a:solidFill>
              <a:latin typeface="Trebuchet MS" panose="020B0603020202020204" pitchFamily="34" charset="0"/>
            </a:endParaRPr>
          </a:p>
        </xdr:txBody>
      </xdr:sp>
      <xdr:graphicFrame macro="">
        <xdr:nvGraphicFramePr>
          <xdr:cNvPr id="96" name="Chart 95">
            <a:extLst>
              <a:ext uri="{FF2B5EF4-FFF2-40B4-BE49-F238E27FC236}">
                <a16:creationId xmlns:a16="http://schemas.microsoft.com/office/drawing/2014/main" id="{00000000-0008-0000-0A00-000060000000}"/>
              </a:ext>
            </a:extLst>
          </xdr:cNvPr>
          <xdr:cNvGraphicFramePr>
            <a:graphicFrameLocks/>
          </xdr:cNvGraphicFramePr>
        </xdr:nvGraphicFramePr>
        <xdr:xfrm>
          <a:off x="9472956" y="2687647"/>
          <a:ext cx="3002076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98" name="Chart 97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GraphicFramePr>
            <a:graphicFrameLocks/>
          </xdr:cNvGraphicFramePr>
        </xdr:nvGraphicFramePr>
        <xdr:xfrm>
          <a:off x="11934150" y="2684607"/>
          <a:ext cx="3002075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102" name="Chart 101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GraphicFramePr>
            <a:graphicFrameLocks/>
          </xdr:cNvGraphicFramePr>
        </xdr:nvGraphicFramePr>
        <xdr:xfrm>
          <a:off x="14383436" y="2684606"/>
          <a:ext cx="3002075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103" name="Chart 102"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GraphicFramePr>
            <a:graphicFrameLocks/>
          </xdr:cNvGraphicFramePr>
        </xdr:nvGraphicFramePr>
        <xdr:xfrm>
          <a:off x="16844624" y="2684607"/>
          <a:ext cx="3002075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104" name="Chart 103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GraphicFramePr>
            <a:graphicFrameLocks/>
          </xdr:cNvGraphicFramePr>
        </xdr:nvGraphicFramePr>
        <xdr:xfrm>
          <a:off x="19317717" y="2684605"/>
          <a:ext cx="3002075" cy="2527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/>
        </xdr:nvSpPr>
        <xdr:spPr>
          <a:xfrm>
            <a:off x="9993511" y="2434576"/>
            <a:ext cx="1869196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Re-Branding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12493597" y="2434576"/>
            <a:ext cx="1869196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Cost Efficiency</a:t>
            </a:r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/>
        </xdr:nvSpPr>
        <xdr:spPr>
          <a:xfrm>
            <a:off x="14904782" y="2447276"/>
            <a:ext cx="1869197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Sustainability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17417568" y="2434576"/>
            <a:ext cx="1869196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People Development &amp;</a:t>
            </a:r>
            <a:r>
              <a:rPr lang="en-US" sz="1200" b="1" cap="none" spc="0" baseline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 Engagment</a:t>
            </a:r>
            <a:endParaRPr lang="en-US" sz="12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</a:endParaRP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A00-000072000000}"/>
              </a:ext>
            </a:extLst>
          </xdr:cNvPr>
          <xdr:cNvSpPr/>
        </xdr:nvSpPr>
        <xdr:spPr>
          <a:xfrm>
            <a:off x="19866854" y="2447276"/>
            <a:ext cx="1869196" cy="41494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 cap="none" spc="0">
                <a:ln w="0"/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</a:rPr>
              <a:t>Digitalization</a:t>
            </a:r>
          </a:p>
        </xdr:txBody>
      </xdr:sp>
      <xdr:graphicFrame macro="">
        <xdr:nvGraphicFramePr>
          <xdr:cNvPr id="137" name="Chart 136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GraphicFramePr>
            <a:graphicFrameLocks/>
          </xdr:cNvGraphicFramePr>
        </xdr:nvGraphicFramePr>
        <xdr:xfrm>
          <a:off x="9945008" y="5094772"/>
          <a:ext cx="2032568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138" name="Chart 137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GraphicFramePr>
            <a:graphicFrameLocks/>
          </xdr:cNvGraphicFramePr>
        </xdr:nvGraphicFramePr>
        <xdr:xfrm>
          <a:off x="12407903" y="5094772"/>
          <a:ext cx="2032568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139" name="Chart 138"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GraphicFramePr>
            <a:graphicFrameLocks/>
          </xdr:cNvGraphicFramePr>
        </xdr:nvGraphicFramePr>
        <xdr:xfrm>
          <a:off x="14857186" y="5094772"/>
          <a:ext cx="2032568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140" name="Chart 139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GraphicFramePr>
            <a:graphicFrameLocks/>
          </xdr:cNvGraphicFramePr>
        </xdr:nvGraphicFramePr>
        <xdr:xfrm>
          <a:off x="17347293" y="5094772"/>
          <a:ext cx="2032568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141" name="Chart 140"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GraphicFramePr>
            <a:graphicFrameLocks/>
          </xdr:cNvGraphicFramePr>
        </xdr:nvGraphicFramePr>
        <xdr:xfrm>
          <a:off x="19851009" y="5094772"/>
          <a:ext cx="2032568" cy="1142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</xdr:grpSp>
    <xdr:clientData/>
  </xdr:twoCellAnchor>
  <xdr:twoCellAnchor editAs="oneCell">
    <xdr:from>
      <xdr:col>15</xdr:col>
      <xdr:colOff>387186</xdr:colOff>
      <xdr:row>36</xdr:row>
      <xdr:rowOff>108858</xdr:rowOff>
    </xdr:from>
    <xdr:to>
      <xdr:col>20</xdr:col>
      <xdr:colOff>508414</xdr:colOff>
      <xdr:row>52</xdr:row>
      <xdr:rowOff>296012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4686" y="6966858"/>
          <a:ext cx="8707335" cy="4582261"/>
        </a:xfrm>
        <a:prstGeom prst="rect">
          <a:avLst/>
        </a:prstGeom>
      </xdr:spPr>
    </xdr:pic>
    <xdr:clientData/>
  </xdr:twoCellAnchor>
  <xdr:twoCellAnchor>
    <xdr:from>
      <xdr:col>0</xdr:col>
      <xdr:colOff>299357</xdr:colOff>
      <xdr:row>12</xdr:row>
      <xdr:rowOff>149679</xdr:rowOff>
    </xdr:from>
    <xdr:to>
      <xdr:col>4</xdr:col>
      <xdr:colOff>408214</xdr:colOff>
      <xdr:row>15</xdr:row>
      <xdr:rowOff>122464</xdr:rowOff>
    </xdr:to>
    <xdr:sp macro="[0]!Rectangle148_Click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299357" y="2435679"/>
          <a:ext cx="2558143" cy="544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408214</xdr:colOff>
      <xdr:row>36</xdr:row>
      <xdr:rowOff>108857</xdr:rowOff>
    </xdr:from>
    <xdr:to>
      <xdr:col>15</xdr:col>
      <xdr:colOff>333463</xdr:colOff>
      <xdr:row>52</xdr:row>
      <xdr:rowOff>304047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6966857"/>
          <a:ext cx="5667463" cy="4590297"/>
        </a:xfrm>
        <a:prstGeom prst="rect">
          <a:avLst/>
        </a:prstGeom>
      </xdr:spPr>
    </xdr:pic>
    <xdr:clientData/>
  </xdr:twoCellAnchor>
  <xdr:twoCellAnchor editAs="oneCell">
    <xdr:from>
      <xdr:col>5</xdr:col>
      <xdr:colOff>166007</xdr:colOff>
      <xdr:row>36</xdr:row>
      <xdr:rowOff>84365</xdr:rowOff>
    </xdr:from>
    <xdr:to>
      <xdr:col>10</xdr:col>
      <xdr:colOff>349791</xdr:colOff>
      <xdr:row>52</xdr:row>
      <xdr:rowOff>279555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7614" y="6942365"/>
          <a:ext cx="5667463" cy="4590297"/>
        </a:xfrm>
        <a:prstGeom prst="rect">
          <a:avLst/>
        </a:prstGeom>
      </xdr:spPr>
    </xdr:pic>
    <xdr:clientData/>
  </xdr:twoCellAnchor>
  <xdr:twoCellAnchor>
    <xdr:from>
      <xdr:col>0</xdr:col>
      <xdr:colOff>244928</xdr:colOff>
      <xdr:row>15</xdr:row>
      <xdr:rowOff>157897</xdr:rowOff>
    </xdr:from>
    <xdr:to>
      <xdr:col>4</xdr:col>
      <xdr:colOff>408214</xdr:colOff>
      <xdr:row>18</xdr:row>
      <xdr:rowOff>171504</xdr:rowOff>
    </xdr:to>
    <xdr:sp macro="[0]!Rectangle46_Click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244928" y="3015397"/>
          <a:ext cx="2612572" cy="5851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258536</xdr:colOff>
      <xdr:row>19</xdr:row>
      <xdr:rowOff>0</xdr:rowOff>
    </xdr:from>
    <xdr:to>
      <xdr:col>4</xdr:col>
      <xdr:colOff>381000</xdr:colOff>
      <xdr:row>22</xdr:row>
      <xdr:rowOff>0</xdr:rowOff>
    </xdr:to>
    <xdr:sp macro="[0]!Rectangle33_Click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258536" y="3619500"/>
          <a:ext cx="25717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21</xdr:row>
      <xdr:rowOff>163286</xdr:rowOff>
    </xdr:from>
    <xdr:to>
      <xdr:col>4</xdr:col>
      <xdr:colOff>421821</xdr:colOff>
      <xdr:row>25</xdr:row>
      <xdr:rowOff>27214</xdr:rowOff>
    </xdr:to>
    <xdr:sp macro="[0]!Sustainability_Rectangle53_Click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/>
      </xdr:nvSpPr>
      <xdr:spPr>
        <a:xfrm>
          <a:off x="299357" y="4163786"/>
          <a:ext cx="257175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0.37265</cdr:x>
      <cdr:y>0.40349</cdr:y>
    </cdr:from>
    <cdr:to>
      <cdr:x>0.64354</cdr:x>
      <cdr:y>0.58098</cdr:y>
    </cdr:to>
    <cdr:sp macro="" textlink="Data!$W$23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118722" y="1019632"/>
          <a:ext cx="81323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4EC390B6-5827-4415-964B-CC574F893FB7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 panose="020F0502020204030204" pitchFamily="34" charset="0"/>
            </a:rPr>
            <a:pPr algn="ctr"/>
            <a:t>1%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2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7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49FC19B1-9787-4CEF-90CC-08AA98B01620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7%</a:t>
          </a:fld>
          <a:endParaRPr lang="en-US" sz="28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0.40311</cdr:x>
      <cdr:y>0.40349</cdr:y>
    </cdr:from>
    <cdr:to>
      <cdr:x>0.61308</cdr:x>
      <cdr:y>0.58098</cdr:y>
    </cdr:to>
    <cdr:sp macro="" textlink="Data!$P$6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082FEE1-4DEE-4602-BC14-BD53B5351555}"/>
            </a:ext>
          </a:extLst>
        </cdr:cNvPr>
        <cdr:cNvSpPr/>
      </cdr:nvSpPr>
      <cdr:spPr>
        <a:xfrm xmlns:a="http://schemas.openxmlformats.org/drawingml/2006/main">
          <a:off x="1210156" y="1019632"/>
          <a:ext cx="630365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19C6E7D7-8D8A-47F2-B1B9-F3E4F2013ACC}" type="TxLink">
            <a:rPr lang="en-US" sz="2400" b="0" i="0" u="none" strike="noStrike" cap="none" spc="0">
              <a:ln w="0"/>
              <a:solidFill>
                <a:srgbClr val="26A8AB"/>
              </a:solidFill>
              <a:effectLst/>
              <a:latin typeface="Arial Rounded MT Bold" panose="020F0704030504030204" pitchFamily="34" charset="0"/>
              <a:cs typeface="Calibri"/>
            </a:rPr>
            <a:pPr algn="ctr"/>
            <a:t>0%</a:t>
          </a:fld>
          <a:endParaRPr lang="en-US" sz="85700" b="0" cap="none" spc="0">
            <a:ln w="0"/>
            <a:solidFill>
              <a:srgbClr val="26A8AB"/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16.389688425923" createdVersion="6" refreshedVersion="6" minRefreshableVersion="3" recordCount="13" xr:uid="{547CDD28-01EF-4B09-BC54-D3FD2442C122}">
  <cacheSource type="worksheet">
    <worksheetSource ref="A1:K14" sheet="Main Dashboard"/>
  </cacheSource>
  <cacheFields count="11">
    <cacheField name="Serial" numFmtId="0">
      <sharedItems containsSemiMixedTypes="0" containsString="0" containsNumber="1" containsInteger="1" minValue="1" maxValue="13"/>
    </cacheField>
    <cacheField name="Strategy " numFmtId="0">
      <sharedItems count="6">
        <s v="Re-Branding"/>
        <s v="People Development and Engagement" u="1"/>
        <s v="Cost Savings and Avoidance" u="1"/>
        <s v="Digitalization" u="1"/>
        <s v="Cost Optimization" u="1"/>
        <s v="Sustainability" u="1"/>
      </sharedItems>
    </cacheField>
    <cacheField name="Task Category" numFmtId="0">
      <sharedItems count="3">
        <s v="Strategy Fulfilment"/>
        <s v="Culture shift trigger"/>
        <s v="Exposure/Footprint"/>
      </sharedItems>
    </cacheField>
    <cacheField name="Tast" numFmtId="0">
      <sharedItems count="28">
        <s v="Strategy Roll-out campaign"/>
        <s v="Strategy Roll-out"/>
        <s v="Develop a slogan for the outreach program "/>
        <s v="Outreach program for internally/external costumers (i.e celebrate local and international events, periodical accomplishment newsletter, strategy ordinated messages, and Re-brand Enlight )"/>
        <s v="Synergize with “People” strategy to achieve “buy-in” thru the enhancement of workplace culture"/>
        <s v="Industry exposure (Number of SAPED SPE contribution)"/>
        <s v="SAPED technical publications (Sandrose, JPT, oil &amp; gas, world oil,…etc)"/>
        <s v="Sponsorship of prestigious events (sponsor a technical OOK booth, one technical event in SAPED operational hubs, one non technical event)"/>
        <s v="Produce SAPED visual content (HSS&amp;E, technical, OE, and promoting SAPED)"/>
        <s v="Awards participating (external/internal)"/>
        <s v="Strategy committee team formation and Dashboard creation"/>
        <s v="Budgeting and utilization of strategies' related resources"/>
        <s v="Meeting with strategy owners to measure (progress %)"/>
        <s v="Planning and utilizing of strategies' resources. " u="1"/>
        <s v="Re-branding team meetiing with publication team and Awards team meeting" u="1"/>
        <s v="Award participation" u="1"/>
        <s v="Synergize with “People” strategy to achieve _x000a_“buy-in” " u="1"/>
        <s v="Re-branding team accomplishment report" u="1"/>
        <s v="Improve SAPED’s exposure to peers and industry ( SAPED’s  public Relation)" u="1"/>
        <s v="Strategy committee team" u="1"/>
        <s v="Re-branding team and SAPED Planning group meeting" u="1"/>
        <s v="Re-branding team / publication team/_x000a_Awards team" u="1"/>
        <s v="Develop an outreach program and slogan " u="1"/>
        <s v="Events Sponsorship" u="1"/>
        <s v="Re-branding team / People Strategy" u="1"/>
        <s v="Re-branding team/ _x000a_Strategy owners /_x000a_SAPED Planning group" u="1"/>
        <s v="Track strategies progress/ Public Dashboard" u="1"/>
        <s v="SAPED Visual content" u="1"/>
      </sharedItems>
    </cacheField>
    <cacheField name="Responsibility" numFmtId="0">
      <sharedItems/>
    </cacheField>
    <cacheField name="Status" numFmtId="0">
      <sharedItems count="2">
        <s v="Not Done"/>
        <s v="Done" u="1"/>
      </sharedItems>
    </cacheField>
    <cacheField name="Actual" numFmtId="0">
      <sharedItems containsString="0" containsBlank="1" containsNumber="1" containsInteger="1" minValue="0" maxValue="0"/>
    </cacheField>
    <cacheField name="Target" numFmtId="0">
      <sharedItems containsMixedTypes="1" containsNumber="1" containsInteger="1" minValue="1" maxValue="1"/>
    </cacheField>
    <cacheField name="Frequency" numFmtId="0">
      <sharedItems containsBlank="1" count="4">
        <s v="Yearly"/>
        <m/>
        <s v="Once" u="1"/>
        <s v="Quarterly" u="1"/>
      </sharedItems>
    </cacheField>
    <cacheField name="Start Date" numFmtId="0">
      <sharedItems containsMixedTypes="1" containsNumber="1" containsInteger="1" minValue="44197" maxValue="44440"/>
    </cacheField>
    <cacheField name="End Date" numFmtId="0">
      <sharedItems containsMixedTypes="1" containsNumber="1" containsInteger="1" minValue="44317" maxValue="44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x v="0"/>
    <s v="Re-branding team / People Strategy"/>
    <x v="0"/>
    <n v="0"/>
    <n v="1"/>
    <x v="0"/>
    <n v="44197"/>
    <n v="44531"/>
  </r>
  <r>
    <n v="1"/>
    <x v="0"/>
    <x v="1"/>
    <x v="1"/>
    <s v="Re-branding team / People Strategy"/>
    <x v="0"/>
    <m/>
    <s v="TBD"/>
    <x v="1"/>
    <n v="44287"/>
    <n v="44896"/>
  </r>
  <r>
    <n v="2"/>
    <x v="0"/>
    <x v="1"/>
    <x v="2"/>
    <s v="Re-branding team / People Strategy"/>
    <x v="0"/>
    <m/>
    <s v="Once"/>
    <x v="1"/>
    <n v="44287"/>
    <n v="44317"/>
  </r>
  <r>
    <n v="3"/>
    <x v="0"/>
    <x v="1"/>
    <x v="3"/>
    <s v="Re-branding team / People Strategy"/>
    <x v="0"/>
    <m/>
    <s v="TBD"/>
    <x v="1"/>
    <n v="44317"/>
    <n v="44531"/>
  </r>
  <r>
    <n v="4"/>
    <x v="0"/>
    <x v="1"/>
    <x v="4"/>
    <s v="Re-branding team / People Strategy"/>
    <x v="0"/>
    <m/>
    <s v="2 meetings per year"/>
    <x v="1"/>
    <n v="44378"/>
    <n v="44531"/>
  </r>
  <r>
    <n v="5"/>
    <x v="0"/>
    <x v="2"/>
    <x v="5"/>
    <s v="Re-branding team / Publication team/ Awards team"/>
    <x v="0"/>
    <m/>
    <s v="X% Incremental increase Abstracts &amp; papers submissions/ year"/>
    <x v="1"/>
    <n v="44378"/>
    <n v="44896"/>
  </r>
  <r>
    <n v="6"/>
    <x v="0"/>
    <x v="2"/>
    <x v="6"/>
    <s v="Re-branding team / Publication team/ Awards team"/>
    <x v="0"/>
    <m/>
    <s v="10 per year"/>
    <x v="1"/>
    <s v="NA"/>
    <s v="NA"/>
  </r>
  <r>
    <n v="7"/>
    <x v="0"/>
    <x v="2"/>
    <x v="7"/>
    <s v="Re-branding team / Publication team/ Awards team"/>
    <x v="0"/>
    <m/>
    <s v="3 Events per year"/>
    <x v="1"/>
    <n v="44378"/>
    <n v="44531"/>
  </r>
  <r>
    <n v="9"/>
    <x v="0"/>
    <x v="2"/>
    <x v="8"/>
    <s v="Re-branding team / Publication team/ Awards team"/>
    <x v="0"/>
    <m/>
    <s v="20 per year/ 4 per division"/>
    <x v="1"/>
    <n v="44440"/>
    <n v="44621"/>
  </r>
  <r>
    <n v="10"/>
    <x v="0"/>
    <x v="2"/>
    <x v="9"/>
    <s v="Re-branding team / Publication team/ Awards team"/>
    <x v="0"/>
    <m/>
    <s v="5-10 participation per year"/>
    <x v="1"/>
    <n v="44440"/>
    <n v="44531"/>
  </r>
  <r>
    <n v="11"/>
    <x v="0"/>
    <x v="0"/>
    <x v="10"/>
    <s v="Re-branding team/ Strategy owners / SAPED Planning group"/>
    <x v="0"/>
    <m/>
    <s v="Once"/>
    <x v="1"/>
    <n v="44287"/>
    <n v="44593"/>
  </r>
  <r>
    <n v="12"/>
    <x v="0"/>
    <x v="0"/>
    <x v="11"/>
    <s v="Re-branding team/ Strategy owners / SAPED Planning group"/>
    <x v="0"/>
    <m/>
    <s v="2 resource planning meeting/year"/>
    <x v="1"/>
    <n v="44378"/>
    <n v="44531"/>
  </r>
  <r>
    <n v="13"/>
    <x v="0"/>
    <x v="0"/>
    <x v="12"/>
    <s v="Re-branding team/ Strategy owners / SAPED Planning group"/>
    <x v="0"/>
    <m/>
    <s v="4 meetings"/>
    <x v="1"/>
    <n v="44440"/>
    <n v="44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A1DEC-7D54-4614-B602-C9C4F8E54ED7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 chartFormat="1">
  <location ref="A1:G44" firstHeaderRow="0" firstDataRow="1" firstDataCol="5"/>
  <pivotFields count="11">
    <pivotField compact="0" showAll="0" defaultSubtotal="0"/>
    <pivotField axis="axisRow" compact="0" subtotalTop="0" showAll="0" defaultSubtotal="0">
      <items count="6">
        <item m="1" x="4"/>
        <item m="1" x="2"/>
        <item m="1" x="3"/>
        <item m="1" x="1"/>
        <item x="0"/>
        <item m="1" x="5"/>
      </items>
    </pivotField>
    <pivotField axis="axisRow" compact="0" showAll="0" defaultSubtotal="0">
      <items count="3">
        <item x="1"/>
        <item x="2"/>
        <item x="0"/>
      </items>
    </pivotField>
    <pivotField axis="axisRow" compact="0" showAll="0" defaultSubtotal="0">
      <items count="28">
        <item m="1" x="15"/>
        <item m="1" x="22"/>
        <item m="1" x="23"/>
        <item m="1" x="18"/>
        <item m="1" x="13"/>
        <item m="1" x="24"/>
        <item m="1" x="21"/>
        <item m="1" x="25"/>
        <item m="1" x="27"/>
        <item m="1" x="19"/>
        <item x="0"/>
        <item m="1" x="16"/>
        <item m="1" x="26"/>
        <item m="1" x="17"/>
        <item m="1" x="14"/>
        <item m="1" x="2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showAll="0" defaultSubtotal="0"/>
    <pivotField axis="axisRow" compact="0" showAll="0" defaultSubtotal="0">
      <items count="2">
        <item m="1" x="1"/>
        <item x="0"/>
      </items>
    </pivotField>
    <pivotField dataField="1" compact="0" showAll="0" defaultSubtotal="0"/>
    <pivotField dataField="1" compact="0" numFmtId="1" showAll="0" defaultSubtotal="0"/>
    <pivotField axis="axisRow" compact="0" showAll="0" defaultSubtotal="0">
      <items count="4">
        <item m="1" x="2"/>
        <item m="1" x="3"/>
        <item x="0"/>
        <item x="1"/>
      </items>
    </pivotField>
    <pivotField compact="0" numFmtId="16" showAll="0" defaultSubtotal="0"/>
    <pivotField compact="0" numFmtId="16" showAll="0" defaultSubtotal="0"/>
  </pivotFields>
  <rowFields count="5">
    <field x="1"/>
    <field x="2"/>
    <field x="3"/>
    <field x="5"/>
    <field x="8"/>
  </rowFields>
  <rowItems count="43">
    <i>
      <x v="4"/>
    </i>
    <i r="1">
      <x/>
    </i>
    <i r="2">
      <x v="16"/>
    </i>
    <i r="3">
      <x v="1"/>
    </i>
    <i r="4">
      <x v="3"/>
    </i>
    <i r="2">
      <x v="17"/>
    </i>
    <i r="3">
      <x v="1"/>
    </i>
    <i r="4">
      <x v="3"/>
    </i>
    <i r="2">
      <x v="18"/>
    </i>
    <i r="3">
      <x v="1"/>
    </i>
    <i r="4">
      <x v="3"/>
    </i>
    <i r="2">
      <x v="19"/>
    </i>
    <i r="3">
      <x v="1"/>
    </i>
    <i r="4">
      <x v="3"/>
    </i>
    <i r="1">
      <x v="1"/>
    </i>
    <i r="2">
      <x v="20"/>
    </i>
    <i r="3">
      <x v="1"/>
    </i>
    <i r="4">
      <x v="3"/>
    </i>
    <i r="2">
      <x v="21"/>
    </i>
    <i r="3">
      <x v="1"/>
    </i>
    <i r="4">
      <x v="3"/>
    </i>
    <i r="2">
      <x v="22"/>
    </i>
    <i r="3">
      <x v="1"/>
    </i>
    <i r="4">
      <x v="3"/>
    </i>
    <i r="2">
      <x v="23"/>
    </i>
    <i r="3">
      <x v="1"/>
    </i>
    <i r="4">
      <x v="3"/>
    </i>
    <i r="2">
      <x v="24"/>
    </i>
    <i r="3">
      <x v="1"/>
    </i>
    <i r="4">
      <x v="3"/>
    </i>
    <i r="1">
      <x v="2"/>
    </i>
    <i r="2">
      <x v="10"/>
    </i>
    <i r="3">
      <x v="1"/>
    </i>
    <i r="4">
      <x v="2"/>
    </i>
    <i r="2">
      <x v="25"/>
    </i>
    <i r="3">
      <x v="1"/>
    </i>
    <i r="4">
      <x v="3"/>
    </i>
    <i r="2">
      <x v="26"/>
    </i>
    <i r="3">
      <x v="1"/>
    </i>
    <i r="4">
      <x v="3"/>
    </i>
    <i r="2">
      <x v="27"/>
    </i>
    <i r="3">
      <x v="1"/>
    </i>
    <i r="4">
      <x v="3"/>
    </i>
  </rowItems>
  <colFields count="1">
    <field x="-2"/>
  </colFields>
  <colItems count="2">
    <i>
      <x/>
    </i>
    <i i="1">
      <x v="1"/>
    </i>
  </colItems>
  <dataFields count="2">
    <dataField name="Product of Target" fld="7" subtotal="product" baseField="2" baseItem="5"/>
    <dataField name="Product of Actual" fld="6" subtotal="product" baseField="1" baseItem="0"/>
  </dataFields>
  <formats count="23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1"/>
    </format>
    <format dxfId="31">
      <pivotArea field="3" type="button" dataOnly="0" labelOnly="1" outline="0" axis="axisRow" fieldPosition="2"/>
    </format>
    <format dxfId="30">
      <pivotArea field="5" type="button" dataOnly="0" labelOnly="1" outline="0" axis="axisRow" fieldPosition="3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fieldPosition="0">
        <references count="2">
          <reference field="2" count="1" selected="0">
            <x v="0"/>
          </reference>
          <reference field="3" count="4">
            <x v="1"/>
            <x v="5"/>
            <x v="10"/>
            <x v="11"/>
          </reference>
        </references>
      </pivotArea>
    </format>
    <format dxfId="27">
      <pivotArea dataOnly="0" labelOnly="1" outline="0" fieldPosition="0">
        <references count="2">
          <reference field="2" count="1" selected="0">
            <x v="1"/>
          </reference>
          <reference field="3" count="5">
            <x v="0"/>
            <x v="2"/>
            <x v="3"/>
            <x v="6"/>
            <x v="8"/>
          </reference>
        </references>
      </pivotArea>
    </format>
    <format dxfId="26">
      <pivotArea dataOnly="0" labelOnly="1" outline="0" fieldPosition="0">
        <references count="2">
          <reference field="2" count="1" selected="0">
            <x v="2"/>
          </reference>
          <reference field="3" count="4">
            <x v="4"/>
            <x v="7"/>
            <x v="9"/>
            <x v="12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5" count="1">
            <x v="0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1"/>
          </reference>
          <reference field="5" count="1">
            <x v="0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12"/>
          </reference>
          <reference field="5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A8F90-D857-4DA2-8304-E00283BF1049}" name="Table1" displayName="Table1" ref="A2:R122" totalsRowShown="0" headerRowDxfId="54" tableBorderDxfId="53">
  <autoFilter ref="A2:R122" xr:uid="{CCB15E3B-CAB2-4708-8522-E76D2EBBF07F}"/>
  <tableColumns count="18">
    <tableColumn id="1" xr3:uid="{E3A6FB8F-8043-4635-8CEB-3D749CDE479A}" name="#" dataDxfId="52"/>
    <tableColumn id="2" xr3:uid="{E01E5BDE-C7FC-48EA-8F7F-1836EBEBCF24}" name="Strategy " dataDxfId="51"/>
    <tableColumn id="3" xr3:uid="{326F78B8-E8BC-4E0A-B4F9-D630BEC90A9B}" name="Sub-Strategy" dataDxfId="50"/>
    <tableColumn id="4" xr3:uid="{5B263CBB-E6E0-4991-84C4-15331FD375C8}" name="Initiative" dataDxfId="49"/>
    <tableColumn id="5" xr3:uid="{50B6F7C0-D5C3-4467-86CA-8720A4C87456}" name="Type: Action Item / KPI" dataDxfId="48"/>
    <tableColumn id="7" xr3:uid="{4FF19213-BCC7-4D7E-9797-48103516E9BD}" name="Action Item" dataDxfId="47"/>
    <tableColumn id="8" xr3:uid="{F16C0ADD-D6CE-4749-A5CF-FDCA4DC26C22}" name="Responsibility" dataDxfId="46"/>
    <tableColumn id="12" xr3:uid="{09FFBF3B-6B39-4427-81CB-FB32FDE05B1F}" name="KPT Actual" dataDxfId="45"/>
    <tableColumn id="13" xr3:uid="{6F06376F-2D71-4274-9B11-7189342DCFF1}" name="KPI Target" dataDxfId="44"/>
    <tableColumn id="14" xr3:uid="{0E796FB6-F17A-4F0C-8B52-89C819D7619F}" name="Frequency" dataDxfId="43"/>
    <tableColumn id="15" xr3:uid="{80646B6A-FE3A-4FD7-9D04-66BD6040E18D}" name="Start Date" dataDxfId="42"/>
    <tableColumn id="16" xr3:uid="{36D3A75D-2B2A-43EF-892F-E37B7CCD2323}" name="Expected Completion Date (ETC)" dataDxfId="41"/>
    <tableColumn id="17" xr3:uid="{781BB5D9-DA02-4CFC-B1AB-9985792CB013}" name="Actual Completion Date" dataDxfId="40"/>
    <tableColumn id="22" xr3:uid="{59214168-3E72-406D-BB01-8D4CB3A1A37E}" name="Completion % (100 or current progress % if not completed)" dataDxfId="39" dataCellStyle="Percent"/>
    <tableColumn id="24" xr3:uid="{B7BC245B-1C26-4EE7-90E2-1A3592A19511}" name="Completion _x000a_Status_x000a_(Completed/ Not Completed)" dataDxfId="38">
      <calculatedColumnFormula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calculatedColumnFormula>
    </tableColumn>
    <tableColumn id="18" xr3:uid="{0273AC64-CC36-45CB-83EE-C30837A41134}" name="Due/Not Due" dataDxfId="37"/>
    <tableColumn id="19" xr3:uid="{87756A75-98CB-4A10-955E-B7EF2650D30F}" name="Compliance (within ETC vs beyond ETC)" dataDxfId="36">
      <calculatedColumnFormula>IF(L3="NA","Please add ETC",IF(L3&lt;TODAY(),IF(M3="","Beyond ETC",IF(M3&gt;L3,"Beyond ETC",IF(M3&lt;=L3,"Within ETC"))),IF(M3="","Within ETC",IF(M3&lt;=L3,"Within ETC","Fix Actual completion date"))))</calculatedColumnFormula>
    </tableColumn>
    <tableColumn id="20" xr3:uid="{A3537EB9-E3AF-4A7B-8BAE-AB6CF1278A39}" name="Duration" dataDxfId="35">
      <calculatedColumnFormula>IFERROR(L3-K3,"")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0D69D1-30B2-4BCB-9563-7E941DFA6599}" name="Table4" displayName="Table4" ref="A1:D5" totalsRowShown="0" headerRowDxfId="11" dataDxfId="10">
  <autoFilter ref="A1:D5" xr:uid="{DC344393-98B2-4044-8265-1D071B0642DF}">
    <filterColumn colId="0" hiddenButton="1"/>
    <filterColumn colId="1" hiddenButton="1"/>
    <filterColumn colId="2" hiddenButton="1"/>
    <filterColumn colId="3" hiddenButton="1"/>
  </autoFilter>
  <tableColumns count="4">
    <tableColumn id="1" xr3:uid="{AD57C91A-D304-4837-B213-4D445F1D763B}" name="#" dataDxfId="9"/>
    <tableColumn id="2" xr3:uid="{C3C9677F-4295-4E26-952A-9021FF9927C6}" name="Strategy" dataDxfId="8"/>
    <tableColumn id="3" xr3:uid="{315B2C17-F2E0-4B43-AD6E-FDCCF4A51F31}" name="Item" dataDxfId="7"/>
    <tableColumn id="4" xr3:uid="{78877825-E96F-47A5-A92D-E38F4167F9EC}" name="Date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4D714C-4AFC-4BCB-9BF1-05EC9DB8C5CB}" name="Table46" displayName="Table46" ref="A1:D5" totalsRowShown="0" headerRowDxfId="5" dataDxfId="4">
  <autoFilter ref="A1:D5" xr:uid="{8DAB23FF-B45D-4C95-92DF-D019CC7A1D88}"/>
  <tableColumns count="4">
    <tableColumn id="1" xr3:uid="{3A4BE419-FE5F-4726-8CD6-5714907098B4}" name="#" dataDxfId="3"/>
    <tableColumn id="2" xr3:uid="{D5FCECC4-3FE5-42C6-B6EB-FC4E7ED1A68B}" name="Strategy" dataDxfId="2"/>
    <tableColumn id="3" xr3:uid="{9D6DCA6E-F95D-4EEB-BF87-65053E08DE75}" name="Item" dataDxfId="1"/>
    <tableColumn id="4" xr3:uid="{BDCCB8A6-D603-4CD1-A98B-AB54C7B71EC9}" name="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B11"/>
  <sheetViews>
    <sheetView showGridLines="0" zoomScale="70" zoomScaleNormal="70" workbookViewId="0">
      <selection activeCell="O20" sqref="O20"/>
    </sheetView>
  </sheetViews>
  <sheetFormatPr defaultRowHeight="15" x14ac:dyDescent="0.25"/>
  <cols>
    <col min="1" max="2" width="44.85546875" customWidth="1"/>
  </cols>
  <sheetData>
    <row r="1" spans="1:2" x14ac:dyDescent="0.25">
      <c r="A1" s="135" t="s">
        <v>13</v>
      </c>
      <c r="B1" s="135"/>
    </row>
    <row r="2" spans="1:2" ht="30.75" customHeight="1" x14ac:dyDescent="0.25">
      <c r="A2" s="136"/>
      <c r="B2" s="136"/>
    </row>
    <row r="3" spans="1:2" ht="36" x14ac:dyDescent="0.55000000000000004">
      <c r="A3" s="1"/>
      <c r="B3" s="1"/>
    </row>
    <row r="4" spans="1:2" ht="36" x14ac:dyDescent="0.55000000000000004">
      <c r="A4" s="1"/>
      <c r="B4" s="1"/>
    </row>
    <row r="5" spans="1:2" ht="36" x14ac:dyDescent="0.55000000000000004">
      <c r="A5" s="3" t="s">
        <v>12</v>
      </c>
      <c r="B5" s="1">
        <f ca="1">COUNTIF(B9:B1048576, "On track")</f>
        <v>0</v>
      </c>
    </row>
    <row r="6" spans="1:2" ht="36" x14ac:dyDescent="0.55000000000000004">
      <c r="A6" s="1"/>
      <c r="B6" s="1">
        <f ca="1">COUNTIFS(B9:B1048576, "&lt;&gt;On track", B9:B1048576, "&lt;&gt;")</f>
        <v>3</v>
      </c>
    </row>
    <row r="7" spans="1:2" ht="36" x14ac:dyDescent="0.55000000000000004">
      <c r="A7" s="1"/>
      <c r="B7" s="1"/>
    </row>
    <row r="8" spans="1:2" ht="36" x14ac:dyDescent="0.55000000000000004">
      <c r="A8" s="1"/>
      <c r="B8" s="1"/>
    </row>
    <row r="9" spans="1:2" ht="36" x14ac:dyDescent="0.55000000000000004">
      <c r="A9" s="2" t="s">
        <v>7</v>
      </c>
      <c r="B9" s="3" t="e">
        <f ca="1">IF((MIN(TODAY(), VLOOKUP(A9, 'Task Timeline'!A:C, 3, FALSE))- VLOOKUP(A9, 'Task Timeline'!A:C, 2, FALSE))/( VLOOKUP(A9, 'Task Timeline'!A:C, 3, FALSE)- VLOOKUP(A9, 'Task Timeline'!A:C, 2, FALSE))- COUNTIFS('Main Dashboard'!#REF!, Tracker!A9, 'Main Dashboard'!F:F, "Done")/COUNTIF('Main Dashboard'!#REF!, Tracker!A9)&lt;=0, "On Track", IF(TODAY()&gt;VLOOKUP(A9, 'Task Timeline'!A:C, 3, FALSE), "Behind", "Lagging"))</f>
        <v>#N/A</v>
      </c>
    </row>
    <row r="10" spans="1:2" ht="36" x14ac:dyDescent="0.55000000000000004">
      <c r="A10" s="1" t="s">
        <v>6</v>
      </c>
      <c r="B10" s="3" t="e">
        <f ca="1">IF((MIN(TODAY(), VLOOKUP(A10, 'Task Timeline'!A:C, 3, FALSE))- VLOOKUP(A10, 'Task Timeline'!A:C, 2, FALSE))/( VLOOKUP(A10, 'Task Timeline'!A:C, 3, FALSE)- VLOOKUP(A10, 'Task Timeline'!A:C, 2, FALSE))- COUNTIFS('Main Dashboard'!#REF!, Tracker!A10, 'Main Dashboard'!F:F, "Done")/COUNTIF('Main Dashboard'!#REF!, Tracker!A10)&lt;=0, "On Track", IF(TODAY()&gt;VLOOKUP(A10, 'Task Timeline'!A:C, 3, FALSE), "Behind", "Lagging"))</f>
        <v>#N/A</v>
      </c>
    </row>
    <row r="11" spans="1:2" ht="36" x14ac:dyDescent="0.55000000000000004">
      <c r="A11" s="2" t="s">
        <v>8</v>
      </c>
      <c r="B11" s="3" t="e">
        <f ca="1">IF((MIN(TODAY(), VLOOKUP(A11, 'Task Timeline'!A:C, 3, FALSE))- VLOOKUP(A11, 'Task Timeline'!A:C, 2, FALSE))/( VLOOKUP(A11, 'Task Timeline'!A:C, 3, FALSE)- VLOOKUP(A11, 'Task Timeline'!A:C, 2, FALSE))- COUNTIFS('Main Dashboard'!#REF!, Tracker!A11, 'Main Dashboard'!F:F, "Done")/COUNTIF('Main Dashboard'!#REF!, Tracker!A11)&lt;=0, "On Track", IF(TODAY()&gt;VLOOKUP(A11, 'Task Timeline'!A:C, 3, FALSE), "Behind", "Lagging"))</f>
        <v>#N/A</v>
      </c>
    </row>
  </sheetData>
  <mergeCells count="1">
    <mergeCell ref="A1:B2"/>
  </mergeCells>
  <conditionalFormatting sqref="B9:B11">
    <cfRule type="cellIs" dxfId="60" priority="4" operator="equal">
      <formula>"Lagging"</formula>
    </cfRule>
    <cfRule type="cellIs" dxfId="59" priority="5" operator="equal">
      <formula>"Behind"</formula>
    </cfRule>
    <cfRule type="cellIs" dxfId="58" priority="6" operator="equal">
      <formula>"On Track"</formula>
    </cfRule>
  </conditionalFormatting>
  <conditionalFormatting sqref="A5">
    <cfRule type="cellIs" dxfId="57" priority="1" operator="equal">
      <formula>"Lagging"</formula>
    </cfRule>
    <cfRule type="cellIs" dxfId="56" priority="2" operator="equal">
      <formula>"Behind"</formula>
    </cfRule>
    <cfRule type="cellIs" dxfId="55" priority="3" operator="equal">
      <formula>"On Track"</formula>
    </cfRule>
  </conditionalFormatting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D989-848E-4DC5-8BB3-23CF3C52C82D}">
  <sheetPr codeName="Sheet10">
    <tabColor theme="8"/>
    <pageSetUpPr autoPageBreaks="0"/>
  </sheetPr>
  <dimension ref="G42:T55"/>
  <sheetViews>
    <sheetView showGridLines="0" zoomScale="70" zoomScaleNormal="70" zoomScaleSheetLayoutView="75" workbookViewId="0">
      <selection activeCell="O58" sqref="O58"/>
    </sheetView>
  </sheetViews>
  <sheetFormatPr defaultRowHeight="15" x14ac:dyDescent="0.25"/>
  <cols>
    <col min="7" max="7" width="5.42578125" customWidth="1"/>
    <col min="9" max="9" width="47.5703125" customWidth="1"/>
    <col min="10" max="10" width="10.7109375" customWidth="1"/>
    <col min="12" max="12" width="7.5703125" customWidth="1"/>
    <col min="13" max="13" width="16" customWidth="1"/>
    <col min="14" max="14" width="44.28515625" customWidth="1"/>
    <col min="17" max="17" width="6.28515625" customWidth="1"/>
    <col min="18" max="18" width="91.42578125" customWidth="1"/>
    <col min="19" max="19" width="10.28515625" bestFit="1" customWidth="1"/>
    <col min="20" max="20" width="11.5703125" bestFit="1" customWidth="1"/>
  </cols>
  <sheetData>
    <row r="42" spans="7:20" s="4" customFormat="1" ht="24.95" customHeight="1" x14ac:dyDescent="0.25">
      <c r="G42" s="127" t="str">
        <f>Table4[[#Headers],['#]]</f>
        <v>#</v>
      </c>
      <c r="H42" s="127" t="str">
        <f>Table4[[#Headers],[Strategy]]</f>
        <v>Strategy</v>
      </c>
      <c r="I42" s="127" t="str">
        <f>Table4[[#Headers],[Item]]</f>
        <v>Item</v>
      </c>
      <c r="J42" s="127" t="str">
        <f>Table4[[#Headers],[Date]]</f>
        <v>Date</v>
      </c>
      <c r="L42" s="127" t="str">
        <f>Table46[[#Headers],['#]]</f>
        <v>#</v>
      </c>
      <c r="M42" s="127" t="str">
        <f>Table46[[#Headers],[Strategy]]</f>
        <v>Strategy</v>
      </c>
      <c r="N42" s="127" t="str">
        <f>Table46[[#Headers],[Item]]</f>
        <v>Item</v>
      </c>
      <c r="O42" s="127" t="str">
        <f>Table46[[#Headers],[Date]]</f>
        <v>Date</v>
      </c>
      <c r="Q42" s="127" t="e">
        <f>'Overdue Actions'!A1</f>
        <v>#REF!</v>
      </c>
      <c r="R42" s="127" t="e">
        <f>'Overdue Actions'!C1</f>
        <v>#REF!</v>
      </c>
      <c r="S42" s="128" t="e">
        <f>'Overdue Actions'!F1</f>
        <v>#REF!</v>
      </c>
      <c r="T42" s="128" t="str">
        <f>'Overdue Actions'!G1</f>
        <v>ETC</v>
      </c>
    </row>
    <row r="43" spans="7:20" s="4" customFormat="1" ht="24.95" customHeight="1" x14ac:dyDescent="0.25">
      <c r="G43" s="4">
        <f>Highlights!A2</f>
        <v>1</v>
      </c>
      <c r="H43" s="4">
        <f>Highlights!B2</f>
        <v>0</v>
      </c>
      <c r="I43" s="4">
        <f>Highlights!C2</f>
        <v>0</v>
      </c>
      <c r="J43" s="4">
        <f>Highlights!D2</f>
        <v>0</v>
      </c>
      <c r="L43" s="4">
        <f>Notifications!A2</f>
        <v>1</v>
      </c>
      <c r="M43" s="4">
        <f>Notifications!B2</f>
        <v>0</v>
      </c>
      <c r="N43" s="4">
        <f>Notifications!C2</f>
        <v>0</v>
      </c>
      <c r="O43" s="4">
        <f>Notifications!D2</f>
        <v>0</v>
      </c>
      <c r="S43" s="129"/>
      <c r="T43" s="129"/>
    </row>
    <row r="44" spans="7:20" s="4" customFormat="1" ht="24.95" customHeight="1" x14ac:dyDescent="0.25">
      <c r="G44" s="4">
        <f>Highlights!A3</f>
        <v>2</v>
      </c>
      <c r="H44" s="4">
        <f>Highlights!B3</f>
        <v>0</v>
      </c>
      <c r="I44" s="4">
        <f>Highlights!C3</f>
        <v>0</v>
      </c>
      <c r="J44" s="4">
        <f>Highlights!D3</f>
        <v>0</v>
      </c>
      <c r="L44" s="4">
        <f>Notifications!A3</f>
        <v>2</v>
      </c>
      <c r="M44" s="4">
        <f>Notifications!B3</f>
        <v>0</v>
      </c>
      <c r="N44" s="4">
        <f>Notifications!C3</f>
        <v>0</v>
      </c>
      <c r="O44" s="4">
        <f>Notifications!D3</f>
        <v>0</v>
      </c>
      <c r="S44" s="129"/>
      <c r="T44" s="129"/>
    </row>
    <row r="45" spans="7:20" s="4" customFormat="1" ht="24.95" customHeight="1" x14ac:dyDescent="0.25">
      <c r="G45" s="4">
        <f>Highlights!A4</f>
        <v>3</v>
      </c>
      <c r="H45" s="4">
        <f>Highlights!B4</f>
        <v>0</v>
      </c>
      <c r="I45" s="4">
        <f>Highlights!C4</f>
        <v>0</v>
      </c>
      <c r="J45" s="4">
        <f>Highlights!D4</f>
        <v>0</v>
      </c>
      <c r="L45" s="4">
        <f>Notifications!A4</f>
        <v>3</v>
      </c>
      <c r="M45" s="4">
        <f>Notifications!B4</f>
        <v>0</v>
      </c>
      <c r="N45" s="4">
        <f>Notifications!C4</f>
        <v>0</v>
      </c>
      <c r="O45" s="4">
        <f>Notifications!D4</f>
        <v>0</v>
      </c>
      <c r="S45" s="129"/>
      <c r="T45" s="129"/>
    </row>
    <row r="46" spans="7:20" s="4" customFormat="1" ht="24.95" customHeight="1" x14ac:dyDescent="0.25">
      <c r="G46" s="4">
        <f>Highlights!A5</f>
        <v>4</v>
      </c>
      <c r="H46" s="4">
        <f>Highlights!B5</f>
        <v>0</v>
      </c>
      <c r="I46" s="4">
        <f>Highlights!C5</f>
        <v>0</v>
      </c>
      <c r="J46" s="4">
        <f>Highlights!D5</f>
        <v>0</v>
      </c>
      <c r="L46" s="4">
        <f>Notifications!A5</f>
        <v>4</v>
      </c>
      <c r="M46" s="4">
        <f>Notifications!B5</f>
        <v>0</v>
      </c>
      <c r="N46" s="4">
        <f>Notifications!C5</f>
        <v>0</v>
      </c>
      <c r="O46" s="4">
        <f>Notifications!D5</f>
        <v>0</v>
      </c>
      <c r="S46" s="129"/>
      <c r="T46" s="129"/>
    </row>
    <row r="47" spans="7:20" s="4" customFormat="1" ht="24.95" customHeight="1" x14ac:dyDescent="0.25">
      <c r="G47" s="4">
        <f>Highlights!A6</f>
        <v>0</v>
      </c>
      <c r="H47" s="4">
        <f>Highlights!B6</f>
        <v>0</v>
      </c>
      <c r="I47" s="4">
        <f>Highlights!C6</f>
        <v>0</v>
      </c>
      <c r="J47" s="4">
        <f>Highlights!D6</f>
        <v>0</v>
      </c>
      <c r="L47" s="4">
        <f>Notifications!A6</f>
        <v>0</v>
      </c>
      <c r="M47" s="4">
        <f>Notifications!B6</f>
        <v>0</v>
      </c>
      <c r="N47" s="4">
        <f>Notifications!C6</f>
        <v>0</v>
      </c>
      <c r="O47" s="4">
        <f>Notifications!D6</f>
        <v>0</v>
      </c>
      <c r="S47" s="129"/>
      <c r="T47" s="129"/>
    </row>
    <row r="48" spans="7:20" s="4" customFormat="1" ht="24.95" customHeight="1" x14ac:dyDescent="0.25">
      <c r="S48" s="129"/>
      <c r="T48" s="129"/>
    </row>
    <row r="49" spans="19:20" s="4" customFormat="1" ht="24.95" customHeight="1" x14ac:dyDescent="0.25">
      <c r="S49" s="129"/>
      <c r="T49" s="129"/>
    </row>
    <row r="50" spans="19:20" s="4" customFormat="1" ht="24.95" customHeight="1" x14ac:dyDescent="0.25"/>
    <row r="51" spans="19:20" s="4" customFormat="1" ht="24.95" customHeight="1" x14ac:dyDescent="0.25"/>
    <row r="52" spans="19:20" s="4" customFormat="1" ht="24.95" customHeight="1" x14ac:dyDescent="0.25"/>
    <row r="53" spans="19:20" s="4" customFormat="1" ht="24.95" customHeight="1" x14ac:dyDescent="0.25"/>
    <row r="54" spans="19:20" s="4" customFormat="1" ht="24.95" customHeight="1" x14ac:dyDescent="0.25"/>
    <row r="55" spans="19:20" s="4" customFormat="1" ht="24.9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A4D2-78E4-408B-AC93-B76F71A615D5}">
  <sheetPr codeName="Sheet11">
    <tabColor theme="8"/>
    <pageSetUpPr autoPageBreaks="0"/>
  </sheetPr>
  <dimension ref="A1:AO90"/>
  <sheetViews>
    <sheetView showGridLines="0" zoomScale="70" zoomScaleNormal="70" zoomScaleSheetLayoutView="75" workbookViewId="0">
      <selection activeCell="H59" sqref="H59"/>
    </sheetView>
  </sheetViews>
  <sheetFormatPr defaultRowHeight="15" x14ac:dyDescent="0.25"/>
  <cols>
    <col min="5" max="5" width="13.85546875" customWidth="1"/>
    <col min="6" max="6" width="3.5703125" bestFit="1" customWidth="1"/>
    <col min="7" max="7" width="19" bestFit="1" customWidth="1"/>
    <col min="8" max="8" width="132.7109375" bestFit="1" customWidth="1"/>
    <col min="9" max="9" width="114.5703125" bestFit="1" customWidth="1"/>
    <col min="10" max="10" width="45.140625" bestFit="1" customWidth="1"/>
    <col min="11" max="11" width="10.85546875" style="100" bestFit="1" customWidth="1"/>
    <col min="12" max="12" width="12" style="100" bestFit="1" customWidth="1"/>
    <col min="13" max="13" width="8.85546875" style="100" customWidth="1"/>
    <col min="14" max="14" width="17.7109375" bestFit="1" customWidth="1"/>
  </cols>
  <sheetData>
    <row r="1" spans="1:40" x14ac:dyDescent="0.25">
      <c r="A1" s="104"/>
      <c r="B1" s="104"/>
      <c r="C1" s="104"/>
      <c r="D1" s="104"/>
      <c r="E1" s="104"/>
      <c r="F1" s="117"/>
      <c r="G1" s="117"/>
      <c r="H1" s="117"/>
      <c r="I1" s="117"/>
      <c r="J1" s="117"/>
      <c r="K1" s="119"/>
      <c r="L1" s="119"/>
      <c r="M1" s="119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</row>
    <row r="2" spans="1:40" x14ac:dyDescent="0.25">
      <c r="A2" s="104"/>
      <c r="B2" s="104"/>
      <c r="C2" s="104"/>
      <c r="D2" s="104"/>
      <c r="E2" s="104"/>
      <c r="F2" s="117"/>
      <c r="G2" s="117"/>
      <c r="H2" s="117"/>
      <c r="I2" s="117"/>
      <c r="J2" s="117"/>
      <c r="K2" s="119"/>
      <c r="L2" s="119"/>
      <c r="M2" s="11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</row>
    <row r="3" spans="1:40" x14ac:dyDescent="0.25">
      <c r="A3" s="104"/>
      <c r="B3" s="104"/>
      <c r="C3" s="104"/>
      <c r="D3" s="104"/>
      <c r="E3" s="104"/>
      <c r="F3" s="117"/>
      <c r="G3" s="117"/>
      <c r="H3" s="117"/>
      <c r="I3" s="117"/>
      <c r="J3" s="117"/>
      <c r="K3" s="119"/>
      <c r="L3" s="119"/>
      <c r="M3" s="119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</row>
    <row r="4" spans="1:40" x14ac:dyDescent="0.25">
      <c r="A4" s="104"/>
      <c r="B4" s="104"/>
      <c r="C4" s="104"/>
      <c r="D4" s="104"/>
      <c r="E4" s="104"/>
      <c r="F4" s="117"/>
      <c r="G4" s="117"/>
      <c r="H4" s="117"/>
      <c r="I4" s="117"/>
      <c r="J4" s="117"/>
      <c r="K4" s="119"/>
      <c r="L4" s="119"/>
      <c r="M4" s="119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</row>
    <row r="5" spans="1:40" x14ac:dyDescent="0.25">
      <c r="A5" s="104"/>
      <c r="B5" s="104"/>
      <c r="C5" s="104"/>
      <c r="D5" s="104"/>
      <c r="E5" s="104"/>
      <c r="F5" s="117"/>
      <c r="G5" s="117"/>
      <c r="H5" s="117"/>
      <c r="I5" s="117"/>
      <c r="J5" s="117"/>
      <c r="K5" s="119"/>
      <c r="L5" s="119"/>
      <c r="M5" s="119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1:40" x14ac:dyDescent="0.25">
      <c r="A6" s="104"/>
      <c r="B6" s="104"/>
      <c r="C6" s="104"/>
      <c r="D6" s="104"/>
      <c r="E6" s="104"/>
      <c r="F6" s="117"/>
      <c r="G6" s="117"/>
      <c r="H6" s="117"/>
      <c r="I6" s="117"/>
      <c r="J6" s="117"/>
      <c r="K6" s="119"/>
      <c r="L6" s="119"/>
      <c r="M6" s="119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</row>
    <row r="7" spans="1:40" x14ac:dyDescent="0.25">
      <c r="A7" s="104"/>
      <c r="B7" s="104"/>
      <c r="C7" s="104"/>
      <c r="D7" s="104"/>
      <c r="E7" s="104"/>
      <c r="F7" s="118"/>
      <c r="G7" s="118"/>
      <c r="H7" s="118"/>
      <c r="I7" s="118"/>
      <c r="J7" s="118"/>
      <c r="K7" s="120"/>
      <c r="L7" s="120"/>
      <c r="M7" s="120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spans="1:40" x14ac:dyDescent="0.25">
      <c r="A8" s="104"/>
      <c r="B8" s="104"/>
      <c r="C8" s="104"/>
      <c r="D8" s="104"/>
      <c r="E8" s="104"/>
      <c r="F8" s="118"/>
      <c r="G8" s="118"/>
      <c r="H8" s="118"/>
      <c r="I8" s="118"/>
      <c r="J8" s="118"/>
      <c r="K8" s="120"/>
      <c r="L8" s="120"/>
      <c r="M8" s="120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</row>
    <row r="9" spans="1:40" x14ac:dyDescent="0.25">
      <c r="A9" s="104"/>
      <c r="B9" s="104"/>
      <c r="C9" s="104"/>
      <c r="D9" s="104"/>
      <c r="E9" s="104"/>
      <c r="F9" s="118"/>
      <c r="G9" s="118"/>
      <c r="H9" s="118"/>
      <c r="I9" s="118"/>
      <c r="J9" s="118"/>
      <c r="K9" s="120"/>
      <c r="L9" s="120"/>
      <c r="M9" s="120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x14ac:dyDescent="0.25">
      <c r="A10" s="104"/>
      <c r="B10" s="104"/>
      <c r="C10" s="104"/>
      <c r="D10" s="104"/>
      <c r="E10" s="104"/>
      <c r="F10" s="118"/>
      <c r="G10" s="118"/>
      <c r="H10" s="118"/>
      <c r="I10" s="118"/>
      <c r="J10" s="118"/>
      <c r="K10" s="120"/>
      <c r="L10" s="120"/>
      <c r="M10" s="120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</row>
    <row r="11" spans="1:40" x14ac:dyDescent="0.25">
      <c r="A11" s="104"/>
      <c r="B11" s="104"/>
      <c r="C11" s="104"/>
      <c r="D11" s="104"/>
      <c r="E11" s="104"/>
      <c r="F11" s="118"/>
      <c r="G11" s="118"/>
      <c r="H11" s="118"/>
      <c r="I11" s="118"/>
      <c r="J11" s="118"/>
      <c r="K11" s="120"/>
      <c r="L11" s="120"/>
      <c r="M11" s="120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</row>
    <row r="12" spans="1:40" x14ac:dyDescent="0.25">
      <c r="A12" s="104"/>
      <c r="B12" s="104"/>
      <c r="C12" s="104"/>
      <c r="D12" s="104"/>
      <c r="E12" s="104"/>
      <c r="F12" s="118"/>
      <c r="G12" s="118"/>
      <c r="H12" s="118"/>
      <c r="I12" s="118"/>
      <c r="J12" s="118"/>
      <c r="K12" s="120"/>
      <c r="L12" s="120"/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0" x14ac:dyDescent="0.25">
      <c r="A13" s="104"/>
      <c r="B13" s="104"/>
      <c r="C13" s="104"/>
      <c r="D13" s="104"/>
      <c r="E13" s="104"/>
      <c r="F13" s="118"/>
      <c r="G13" s="118"/>
      <c r="H13" s="118"/>
      <c r="I13" s="118"/>
      <c r="J13" s="118"/>
      <c r="K13" s="120"/>
      <c r="L13" s="120"/>
      <c r="M13" s="120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0" x14ac:dyDescent="0.25">
      <c r="A14" s="104"/>
      <c r="B14" s="104"/>
      <c r="C14" s="104"/>
      <c r="D14" s="104"/>
      <c r="E14" s="104"/>
      <c r="F14" s="118"/>
      <c r="G14" s="118"/>
      <c r="H14" s="118"/>
      <c r="I14" s="118"/>
      <c r="J14" s="118"/>
      <c r="K14" s="120"/>
      <c r="L14" s="120"/>
      <c r="M14" s="120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</row>
    <row r="15" spans="1:40" x14ac:dyDescent="0.25">
      <c r="A15" s="104"/>
      <c r="B15" s="104"/>
      <c r="C15" s="104"/>
      <c r="D15" s="104"/>
      <c r="E15" s="104"/>
      <c r="F15" s="118"/>
      <c r="G15" s="118"/>
      <c r="H15" s="118"/>
      <c r="I15" s="118"/>
      <c r="J15" s="118"/>
      <c r="K15" s="120"/>
      <c r="L15" s="120"/>
      <c r="M15" s="120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</row>
    <row r="16" spans="1:40" x14ac:dyDescent="0.25">
      <c r="A16" s="104"/>
      <c r="B16" s="104"/>
      <c r="C16" s="104"/>
      <c r="D16" s="104"/>
      <c r="E16" s="104"/>
      <c r="F16" s="118"/>
      <c r="G16" s="118"/>
      <c r="H16" s="118"/>
      <c r="I16" s="118"/>
      <c r="J16" s="118"/>
      <c r="K16" s="120"/>
      <c r="L16" s="120"/>
      <c r="M16" s="120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</row>
    <row r="17" spans="1:40" x14ac:dyDescent="0.25">
      <c r="A17" s="104"/>
      <c r="B17" s="104"/>
      <c r="C17" s="104"/>
      <c r="D17" s="104"/>
      <c r="E17" s="104"/>
      <c r="F17" s="118"/>
      <c r="G17" s="118"/>
      <c r="H17" s="118"/>
      <c r="I17" s="118"/>
      <c r="J17" s="118"/>
      <c r="K17" s="120"/>
      <c r="L17" s="120"/>
      <c r="M17" s="120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</row>
    <row r="18" spans="1:40" x14ac:dyDescent="0.25">
      <c r="A18" s="104"/>
      <c r="B18" s="104"/>
      <c r="C18" s="104"/>
      <c r="D18" s="104"/>
      <c r="E18" s="104"/>
      <c r="F18" s="118"/>
      <c r="G18" s="118"/>
      <c r="H18" s="118"/>
      <c r="I18" s="118"/>
      <c r="J18" s="118"/>
      <c r="K18" s="120"/>
      <c r="L18" s="120"/>
      <c r="M18" s="120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</row>
    <row r="19" spans="1:40" x14ac:dyDescent="0.25">
      <c r="A19" s="104"/>
      <c r="B19" s="104"/>
      <c r="C19" s="104"/>
      <c r="D19" s="104"/>
      <c r="E19" s="104"/>
      <c r="F19" s="118"/>
      <c r="G19" s="118"/>
      <c r="H19" s="118"/>
      <c r="I19" s="118"/>
      <c r="J19" s="118"/>
      <c r="K19" s="120"/>
      <c r="L19" s="120"/>
      <c r="M19" s="120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</row>
    <row r="20" spans="1:40" x14ac:dyDescent="0.25">
      <c r="A20" s="104"/>
      <c r="B20" s="104"/>
      <c r="C20" s="104"/>
      <c r="D20" s="104"/>
      <c r="E20" s="104"/>
      <c r="F20" s="118"/>
      <c r="G20" s="118"/>
      <c r="H20" s="118"/>
      <c r="I20" s="118"/>
      <c r="J20" s="118"/>
      <c r="K20" s="120"/>
      <c r="L20" s="120"/>
      <c r="M20" s="120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</row>
    <row r="21" spans="1:40" x14ac:dyDescent="0.25">
      <c r="A21" s="104"/>
      <c r="B21" s="104"/>
      <c r="C21" s="104"/>
      <c r="D21" s="104"/>
      <c r="E21" s="104"/>
      <c r="F21" s="118"/>
      <c r="G21" s="118"/>
      <c r="H21" s="118"/>
      <c r="I21" s="118"/>
      <c r="J21" s="118"/>
      <c r="K21" s="120"/>
      <c r="L21" s="120"/>
      <c r="M21" s="120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x14ac:dyDescent="0.25">
      <c r="A22" s="104"/>
      <c r="B22" s="104"/>
      <c r="C22" s="104"/>
      <c r="D22" s="104"/>
      <c r="E22" s="104"/>
      <c r="F22" s="118"/>
      <c r="G22" s="118"/>
      <c r="H22" s="118"/>
      <c r="I22" s="118"/>
      <c r="J22" s="118"/>
      <c r="K22" s="120"/>
      <c r="L22" s="120"/>
      <c r="M22" s="120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</row>
    <row r="23" spans="1:40" x14ac:dyDescent="0.25">
      <c r="A23" s="104"/>
      <c r="B23" s="104"/>
      <c r="C23" s="104"/>
      <c r="D23" s="104"/>
      <c r="E23" s="104"/>
      <c r="F23" s="118"/>
      <c r="G23" s="118"/>
      <c r="H23" s="118"/>
      <c r="I23" s="118"/>
      <c r="J23" s="118"/>
      <c r="K23" s="120"/>
      <c r="L23" s="120"/>
      <c r="M23" s="120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</row>
    <row r="24" spans="1:40" x14ac:dyDescent="0.25">
      <c r="A24" s="104"/>
      <c r="B24" s="104"/>
      <c r="C24" s="104"/>
      <c r="D24" s="104"/>
      <c r="E24" s="104"/>
      <c r="F24" s="118"/>
      <c r="G24" s="118"/>
      <c r="H24" s="118"/>
      <c r="I24" s="118"/>
      <c r="J24" s="118"/>
      <c r="K24" s="120"/>
      <c r="L24" s="120"/>
      <c r="M24" s="120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</row>
    <row r="25" spans="1:40" x14ac:dyDescent="0.25">
      <c r="A25" s="104"/>
      <c r="B25" s="104"/>
      <c r="C25" s="104"/>
      <c r="D25" s="104"/>
      <c r="E25" s="104"/>
      <c r="F25" s="118"/>
      <c r="G25" s="118"/>
      <c r="H25" s="118"/>
      <c r="I25" s="118"/>
      <c r="J25" s="118"/>
      <c r="K25" s="120"/>
      <c r="L25" s="120"/>
      <c r="M25" s="120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spans="1:40" x14ac:dyDescent="0.25">
      <c r="A26" s="104"/>
      <c r="B26" s="104"/>
      <c r="C26" s="104"/>
      <c r="D26" s="104"/>
      <c r="E26" s="104"/>
      <c r="F26" s="118"/>
      <c r="G26" s="118"/>
      <c r="H26" s="118"/>
      <c r="I26" s="118"/>
      <c r="J26" s="118"/>
      <c r="K26" s="120"/>
      <c r="L26" s="120"/>
      <c r="M26" s="12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1:40" x14ac:dyDescent="0.25">
      <c r="A27" s="104"/>
      <c r="B27" s="104"/>
      <c r="C27" s="104"/>
      <c r="D27" s="104"/>
      <c r="E27" s="104"/>
      <c r="F27" s="118"/>
      <c r="G27" s="118"/>
      <c r="H27" s="118"/>
      <c r="I27" s="118"/>
      <c r="J27" s="118"/>
      <c r="K27" s="120"/>
      <c r="L27" s="120"/>
      <c r="M27" s="120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</row>
    <row r="28" spans="1:40" x14ac:dyDescent="0.25">
      <c r="A28" s="104"/>
      <c r="B28" s="104"/>
      <c r="C28" s="104"/>
      <c r="D28" s="104"/>
      <c r="E28" s="104"/>
      <c r="F28" s="118"/>
      <c r="G28" s="118"/>
      <c r="H28" s="118"/>
      <c r="I28" s="118"/>
      <c r="J28" s="118"/>
      <c r="K28" s="120"/>
      <c r="L28" s="120"/>
      <c r="M28" s="120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spans="1:40" x14ac:dyDescent="0.25">
      <c r="A29" s="104"/>
      <c r="B29" s="104"/>
      <c r="C29" s="104"/>
      <c r="D29" s="104"/>
      <c r="E29" s="104"/>
      <c r="F29" s="118"/>
      <c r="G29" s="118"/>
      <c r="H29" s="118"/>
      <c r="I29" s="118"/>
      <c r="J29" s="118"/>
      <c r="K29" s="120"/>
      <c r="L29" s="120"/>
      <c r="M29" s="120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</row>
    <row r="30" spans="1:40" x14ac:dyDescent="0.25">
      <c r="A30" s="104"/>
      <c r="B30" s="104"/>
      <c r="C30" s="104"/>
      <c r="D30" s="104"/>
      <c r="E30" s="104"/>
      <c r="F30" s="118"/>
      <c r="G30" s="118"/>
      <c r="H30" s="118"/>
      <c r="I30" s="118"/>
      <c r="J30" s="118"/>
      <c r="K30" s="120"/>
      <c r="L30" s="120"/>
      <c r="M30" s="120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spans="1:40" x14ac:dyDescent="0.25">
      <c r="A31" s="104"/>
      <c r="B31" s="104"/>
      <c r="C31" s="104"/>
      <c r="D31" s="104"/>
      <c r="E31" s="104"/>
      <c r="F31" s="118"/>
      <c r="G31" s="118"/>
      <c r="H31" s="118"/>
      <c r="I31" s="118"/>
      <c r="J31" s="118"/>
      <c r="K31" s="120"/>
      <c r="L31" s="120"/>
      <c r="M31" s="120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</row>
    <row r="32" spans="1:40" x14ac:dyDescent="0.25">
      <c r="A32" s="104"/>
      <c r="B32" s="104"/>
      <c r="C32" s="104"/>
      <c r="D32" s="104"/>
      <c r="E32" s="104"/>
      <c r="F32" s="118"/>
      <c r="G32" s="118"/>
      <c r="H32" s="118"/>
      <c r="I32" s="118"/>
      <c r="J32" s="118"/>
      <c r="K32" s="120"/>
      <c r="L32" s="120"/>
      <c r="M32" s="120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</row>
    <row r="33" spans="1:40" x14ac:dyDescent="0.25">
      <c r="A33" s="104"/>
      <c r="B33" s="104"/>
      <c r="C33" s="104"/>
      <c r="D33" s="104"/>
      <c r="E33" s="104"/>
      <c r="F33" s="118"/>
      <c r="G33" s="118"/>
      <c r="H33" s="118"/>
      <c r="I33" s="118"/>
      <c r="J33" s="118"/>
      <c r="K33" s="120"/>
      <c r="L33" s="120"/>
      <c r="M33" s="120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</row>
    <row r="34" spans="1:40" x14ac:dyDescent="0.25">
      <c r="A34" s="104"/>
      <c r="B34" s="104"/>
      <c r="C34" s="104"/>
      <c r="D34" s="104"/>
      <c r="E34" s="104"/>
      <c r="F34" s="118"/>
      <c r="G34" s="118"/>
      <c r="H34" s="118"/>
      <c r="I34" s="118"/>
      <c r="J34" s="118"/>
      <c r="K34" s="120"/>
      <c r="L34" s="120"/>
      <c r="M34" s="120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</row>
    <row r="35" spans="1:40" x14ac:dyDescent="0.25">
      <c r="A35" s="104"/>
      <c r="B35" s="104"/>
      <c r="C35" s="104"/>
      <c r="D35" s="104"/>
      <c r="E35" s="104"/>
      <c r="F35" s="118"/>
      <c r="G35" s="118"/>
      <c r="H35" s="118"/>
      <c r="I35" s="118"/>
      <c r="J35" s="118"/>
      <c r="K35" s="120"/>
      <c r="L35" s="120"/>
      <c r="M35" s="120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</row>
    <row r="36" spans="1:40" x14ac:dyDescent="0.25">
      <c r="A36" s="104"/>
      <c r="B36" s="104"/>
      <c r="C36" s="104"/>
      <c r="D36" s="104"/>
      <c r="E36" s="104"/>
      <c r="F36" s="118"/>
      <c r="G36" s="118"/>
      <c r="H36" s="118"/>
      <c r="I36" s="118"/>
      <c r="J36" s="118"/>
      <c r="K36" s="120"/>
      <c r="L36" s="120"/>
      <c r="M36" s="120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</row>
    <row r="37" spans="1:40" x14ac:dyDescent="0.25">
      <c r="A37" s="104"/>
      <c r="B37" s="104"/>
      <c r="C37" s="104"/>
      <c r="D37" s="104"/>
      <c r="E37" s="104"/>
      <c r="F37" s="118"/>
      <c r="G37" s="118"/>
      <c r="H37" s="118"/>
      <c r="I37" s="118"/>
      <c r="J37" s="118"/>
      <c r="K37" s="120"/>
      <c r="L37" s="120"/>
      <c r="M37" s="120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spans="1:40" x14ac:dyDescent="0.25">
      <c r="A38" s="104"/>
      <c r="B38" s="104"/>
      <c r="C38" s="104"/>
      <c r="D38" s="104"/>
      <c r="E38" s="104"/>
      <c r="F38" s="118"/>
      <c r="G38" s="118"/>
      <c r="H38" s="118"/>
      <c r="I38" s="118"/>
      <c r="J38" s="118"/>
      <c r="K38" s="120"/>
      <c r="L38" s="120"/>
      <c r="M38" s="120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spans="1:40" x14ac:dyDescent="0.25">
      <c r="A39" s="104"/>
      <c r="B39" s="104"/>
      <c r="C39" s="104"/>
      <c r="D39" s="104"/>
      <c r="E39" s="104"/>
      <c r="F39" s="118"/>
      <c r="G39" s="118"/>
      <c r="H39" s="118"/>
      <c r="I39" s="118"/>
      <c r="J39" s="118"/>
      <c r="K39" s="120"/>
      <c r="L39" s="120"/>
      <c r="M39" s="12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</row>
    <row r="40" spans="1:40" x14ac:dyDescent="0.25">
      <c r="A40" s="104"/>
      <c r="B40" s="104"/>
      <c r="C40" s="104"/>
      <c r="D40" s="104"/>
      <c r="E40" s="104"/>
      <c r="F40" s="118"/>
      <c r="G40" s="118"/>
      <c r="H40" s="118"/>
      <c r="I40" s="118"/>
      <c r="J40" s="118"/>
      <c r="K40" s="120"/>
      <c r="L40" s="120"/>
      <c r="M40" s="120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spans="1:40" x14ac:dyDescent="0.25">
      <c r="A41" s="104"/>
      <c r="B41" s="104"/>
      <c r="C41" s="104"/>
      <c r="D41" s="104"/>
      <c r="E41" s="104"/>
      <c r="F41" s="118"/>
      <c r="G41" s="118"/>
      <c r="H41" s="118"/>
      <c r="I41" s="118"/>
      <c r="J41" s="118"/>
      <c r="K41" s="120"/>
      <c r="L41" s="120"/>
      <c r="M41" s="120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</row>
    <row r="42" spans="1:40" x14ac:dyDescent="0.25">
      <c r="A42" s="104"/>
      <c r="B42" s="104"/>
      <c r="C42" s="104"/>
      <c r="D42" s="104"/>
      <c r="E42" s="104"/>
      <c r="F42" s="118"/>
      <c r="G42" s="118"/>
      <c r="H42" s="118"/>
      <c r="I42" s="118"/>
      <c r="J42" s="118"/>
      <c r="K42" s="120"/>
      <c r="L42" s="120"/>
      <c r="M42" s="120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</row>
    <row r="43" spans="1:40" s="4" customFormat="1" ht="24.95" customHeight="1" x14ac:dyDescent="0.25">
      <c r="A43" s="126"/>
      <c r="B43" s="126"/>
      <c r="C43" s="126"/>
      <c r="D43" s="126"/>
      <c r="E43" s="126"/>
      <c r="F43" s="122" t="e">
        <f>'Overdue Actions'!A1</f>
        <v>#REF!</v>
      </c>
      <c r="G43" s="123" t="e">
        <f>'Overdue Actions'!B1</f>
        <v>#REF!</v>
      </c>
      <c r="H43" s="123" t="e">
        <f>'Overdue Actions'!C1</f>
        <v>#REF!</v>
      </c>
      <c r="I43" s="123" t="e">
        <f>'Overdue Actions'!D1</f>
        <v>#REF!</v>
      </c>
      <c r="J43" s="123" t="e">
        <f>'Overdue Actions'!E1</f>
        <v>#REF!</v>
      </c>
      <c r="K43" s="124" t="e">
        <f>'Overdue Actions'!F1</f>
        <v>#REF!</v>
      </c>
      <c r="L43" s="124" t="str">
        <f>'Overdue Actions'!G1</f>
        <v>ETC</v>
      </c>
      <c r="M43" s="123" t="str">
        <f>'Overdue Actions'!H1</f>
        <v>Overdue</v>
      </c>
      <c r="N43" s="123" t="str">
        <f>'Overdue Actions'!I1</f>
        <v>Completion Status</v>
      </c>
      <c r="O43" s="123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</row>
    <row r="44" spans="1:40" s="4" customFormat="1" ht="24.95" customHeight="1" x14ac:dyDescent="0.25">
      <c r="A44" s="126"/>
      <c r="B44" s="126"/>
      <c r="C44" s="126"/>
      <c r="D44" s="126"/>
      <c r="E44" s="126"/>
      <c r="F44" s="131">
        <f>INDEX('Overdue Actions'!A2:A$17,'Re-Branding'!$AO$90)</f>
        <v>1</v>
      </c>
      <c r="G44" s="131" t="e">
        <f>INDEX('Overdue Actions'!B2:B$17,'Re-Branding'!$AO$90)</f>
        <v>#REF!</v>
      </c>
      <c r="H44" s="131" t="e">
        <f>INDEX('Overdue Actions'!C2:C$17,'Re-Branding'!$AO$90)</f>
        <v>#REF!</v>
      </c>
      <c r="I44" s="131" t="e">
        <f>INDEX('Overdue Actions'!D2:D$17,'Re-Branding'!$AO$90)</f>
        <v>#REF!</v>
      </c>
      <c r="J44" s="131" t="e">
        <f>INDEX('Overdue Actions'!E2:E$17,'Re-Branding'!$AO$90)</f>
        <v>#REF!</v>
      </c>
      <c r="K44" s="132" t="e">
        <f>INDEX('Overdue Actions'!F2:F$17,'Re-Branding'!$AO$90)</f>
        <v>#REF!</v>
      </c>
      <c r="L44" s="132" t="e">
        <f>INDEX('Overdue Actions'!G2:G$17,'Re-Branding'!$AO$90)</f>
        <v>#REF!</v>
      </c>
      <c r="M44" s="131" t="e">
        <f>INDEX('Overdue Actions'!H2:H$17,'Re-Branding'!$AO$90)</f>
        <v>#REF!</v>
      </c>
      <c r="N44" s="131" t="e">
        <f>INDEX('Overdue Actions'!I2:I$17,'Re-Branding'!$AO$90)</f>
        <v>#REF!</v>
      </c>
      <c r="O44" s="13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0" s="4" customFormat="1" ht="24.95" customHeight="1" x14ac:dyDescent="0.25">
      <c r="A45" s="126"/>
      <c r="B45" s="126"/>
      <c r="C45" s="126"/>
      <c r="D45" s="126"/>
      <c r="E45" s="126"/>
      <c r="F45" s="131">
        <f>INDEX('Overdue Actions'!A3:A$17,'Re-Branding'!$AO$90)</f>
        <v>2</v>
      </c>
      <c r="G45" s="131" t="e">
        <f>INDEX('Overdue Actions'!B3:B$17,'Re-Branding'!$AO$90)</f>
        <v>#REF!</v>
      </c>
      <c r="H45" s="131" t="e">
        <f>INDEX('Overdue Actions'!C3:C$17,'Re-Branding'!$AO$90)</f>
        <v>#REF!</v>
      </c>
      <c r="I45" s="131" t="e">
        <f>INDEX('Overdue Actions'!D3:D$17,'Re-Branding'!$AO$90)</f>
        <v>#REF!</v>
      </c>
      <c r="J45" s="131" t="e">
        <f>INDEX('Overdue Actions'!E3:E$17,'Re-Branding'!$AO$90)</f>
        <v>#REF!</v>
      </c>
      <c r="K45" s="132" t="str">
        <f>INDEX('Overdue Actions'!F3:F$17,'Re-Branding'!$AO$90)</f>
        <v>N/A</v>
      </c>
      <c r="L45" s="132" t="str">
        <f>INDEX('Overdue Actions'!G3:G$17,'Re-Branding'!$AO$90)</f>
        <v>N/A</v>
      </c>
      <c r="M45" s="131" t="e">
        <f>INDEX('Overdue Actions'!H3:H$17,'Re-Branding'!$AO$90)</f>
        <v>#REF!</v>
      </c>
      <c r="N45" s="131" t="e">
        <f>INDEX('Overdue Actions'!I3:I$17,'Re-Branding'!$AO$90)</f>
        <v>#REF!</v>
      </c>
      <c r="O45" s="13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0" s="4" customFormat="1" ht="24.95" customHeight="1" x14ac:dyDescent="0.25">
      <c r="A46" s="126"/>
      <c r="B46" s="126"/>
      <c r="C46" s="126"/>
      <c r="D46" s="126"/>
      <c r="E46" s="126"/>
      <c r="F46" s="131">
        <f>INDEX('Overdue Actions'!A4:A$17,'Re-Branding'!$AO$90)</f>
        <v>3</v>
      </c>
      <c r="G46" s="131" t="e">
        <f>INDEX('Overdue Actions'!B4:B$17,'Re-Branding'!$AO$90)</f>
        <v>#REF!</v>
      </c>
      <c r="H46" s="131" t="e">
        <f>INDEX('Overdue Actions'!C4:C$17,'Re-Branding'!$AO$90)</f>
        <v>#REF!</v>
      </c>
      <c r="I46" s="131" t="e">
        <f>INDEX('Overdue Actions'!D4:D$17,'Re-Branding'!$AO$90)</f>
        <v>#REF!</v>
      </c>
      <c r="J46" s="131" t="e">
        <f>INDEX('Overdue Actions'!E4:E$17,'Re-Branding'!$AO$90)</f>
        <v>#REF!</v>
      </c>
      <c r="K46" s="132" t="str">
        <f>INDEX('Overdue Actions'!F4:F$17,'Re-Branding'!$AO$90)</f>
        <v>N/A</v>
      </c>
      <c r="L46" s="132" t="str">
        <f>INDEX('Overdue Actions'!G4:G$17,'Re-Branding'!$AO$90)</f>
        <v>N/A</v>
      </c>
      <c r="M46" s="131" t="e">
        <f>INDEX('Overdue Actions'!H4:H$17,'Re-Branding'!$AO$90)</f>
        <v>#REF!</v>
      </c>
      <c r="N46" s="131" t="e">
        <f>INDEX('Overdue Actions'!I4:I$17,'Re-Branding'!$AO$90)</f>
        <v>#REF!</v>
      </c>
      <c r="O46" s="13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0" s="4" customFormat="1" ht="24.95" customHeight="1" x14ac:dyDescent="0.25">
      <c r="A47" s="126"/>
      <c r="B47" s="126"/>
      <c r="C47" s="126"/>
      <c r="D47" s="126"/>
      <c r="E47" s="126"/>
      <c r="F47" s="131">
        <f>INDEX('Overdue Actions'!A5:A$17,'Re-Branding'!$AO$90)</f>
        <v>4</v>
      </c>
      <c r="G47" s="131" t="e">
        <f>INDEX('Overdue Actions'!B5:B$17,'Re-Branding'!$AO$90)</f>
        <v>#REF!</v>
      </c>
      <c r="H47" s="131" t="e">
        <f>INDEX('Overdue Actions'!C5:C$17,'Re-Branding'!$AO$90)</f>
        <v>#REF!</v>
      </c>
      <c r="I47" s="131" t="e">
        <f>INDEX('Overdue Actions'!D5:D$17,'Re-Branding'!$AO$90)</f>
        <v>#REF!</v>
      </c>
      <c r="J47" s="131" t="e">
        <f>INDEX('Overdue Actions'!E5:E$17,'Re-Branding'!$AO$90)</f>
        <v>#REF!</v>
      </c>
      <c r="K47" s="132" t="str">
        <f>INDEX('Overdue Actions'!F5:F$17,'Re-Branding'!$AO$90)</f>
        <v>N/A</v>
      </c>
      <c r="L47" s="132" t="str">
        <f>INDEX('Overdue Actions'!G5:G$17,'Re-Branding'!$AO$90)</f>
        <v>N/A</v>
      </c>
      <c r="M47" s="131" t="e">
        <f>INDEX('Overdue Actions'!H5:H$17,'Re-Branding'!$AO$90)</f>
        <v>#REF!</v>
      </c>
      <c r="N47" s="131" t="e">
        <f>INDEX('Overdue Actions'!I5:I$17,'Re-Branding'!$AO$90)</f>
        <v>#REF!</v>
      </c>
      <c r="O47" s="13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0" s="4" customFormat="1" ht="24.95" customHeight="1" x14ac:dyDescent="0.25">
      <c r="A48" s="126"/>
      <c r="B48" s="126"/>
      <c r="C48" s="126"/>
      <c r="D48" s="126"/>
      <c r="E48" s="126"/>
      <c r="F48" s="133">
        <f>INDEX('Overdue Actions'!A6:A$17,'Re-Branding'!$AO$90)</f>
        <v>5</v>
      </c>
      <c r="G48" s="133" t="e">
        <f>INDEX('Overdue Actions'!B6:B$17,'Re-Branding'!$AO$90)</f>
        <v>#REF!</v>
      </c>
      <c r="H48" s="133" t="e">
        <f>INDEX('Overdue Actions'!C6:C$17,'Re-Branding'!$AO$90)</f>
        <v>#REF!</v>
      </c>
      <c r="I48" s="133" t="e">
        <f>INDEX('Overdue Actions'!D6:D$17,'Re-Branding'!$AO$90)</f>
        <v>#REF!</v>
      </c>
      <c r="J48" s="133" t="e">
        <f>INDEX('Overdue Actions'!E6:E$17,'Re-Branding'!$AO$90)</f>
        <v>#REF!</v>
      </c>
      <c r="K48" s="134" t="str">
        <f>INDEX('Overdue Actions'!F6:F$17,'Re-Branding'!$AO$90)</f>
        <v>N/A</v>
      </c>
      <c r="L48" s="134" t="str">
        <f>INDEX('Overdue Actions'!G6:G$17,'Re-Branding'!$AO$90)</f>
        <v>N/A</v>
      </c>
      <c r="M48" s="133" t="e">
        <f>INDEX('Overdue Actions'!H6:H$17,'Re-Branding'!$AO$90)</f>
        <v>#REF!</v>
      </c>
      <c r="N48" s="133" t="e">
        <f>INDEX('Overdue Actions'!I6:I$17,'Re-Branding'!$AO$90)</f>
        <v>#REF!</v>
      </c>
      <c r="O48" s="133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s="4" customFormat="1" ht="24.95" customHeight="1" x14ac:dyDescent="0.25">
      <c r="A49" s="126"/>
      <c r="B49" s="126"/>
      <c r="C49" s="126"/>
      <c r="D49" s="126"/>
      <c r="E49" s="126"/>
      <c r="F49" s="133">
        <f>INDEX('Overdue Actions'!A7:A$17,'Re-Branding'!$AO$90)</f>
        <v>6</v>
      </c>
      <c r="G49" s="133" t="e">
        <f>INDEX('Overdue Actions'!B7:B$17,'Re-Branding'!$AO$90)</f>
        <v>#REF!</v>
      </c>
      <c r="H49" s="133" t="e">
        <f>INDEX('Overdue Actions'!C7:C$17,'Re-Branding'!$AO$90)</f>
        <v>#REF!</v>
      </c>
      <c r="I49" s="133" t="e">
        <f>INDEX('Overdue Actions'!D7:D$17,'Re-Branding'!$AO$90)</f>
        <v>#REF!</v>
      </c>
      <c r="J49" s="133" t="e">
        <f>INDEX('Overdue Actions'!E7:E$17,'Re-Branding'!$AO$90)</f>
        <v>#REF!</v>
      </c>
      <c r="K49" s="134" t="str">
        <f>INDEX('Overdue Actions'!F7:F$17,'Re-Branding'!$AO$90)</f>
        <v>N/A</v>
      </c>
      <c r="L49" s="134" t="str">
        <f>INDEX('Overdue Actions'!G7:G$17,'Re-Branding'!$AO$90)</f>
        <v>N/A</v>
      </c>
      <c r="M49" s="133" t="e">
        <f>INDEX('Overdue Actions'!H7:H$17,'Re-Branding'!$AO$90)</f>
        <v>#REF!</v>
      </c>
      <c r="N49" s="133" t="e">
        <f>INDEX('Overdue Actions'!I7:I$17,'Re-Branding'!$AO$90)</f>
        <v>#REF!</v>
      </c>
      <c r="O49" s="133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s="4" customFormat="1" ht="24.95" customHeight="1" x14ac:dyDescent="0.25">
      <c r="A50" s="126"/>
      <c r="B50" s="126"/>
      <c r="C50" s="126"/>
      <c r="D50" s="126"/>
      <c r="E50" s="126"/>
      <c r="F50" s="133">
        <f>INDEX('Overdue Actions'!A8:A$17,'Re-Branding'!$AO$90)</f>
        <v>7</v>
      </c>
      <c r="G50" s="133" t="e">
        <f>INDEX('Overdue Actions'!B8:B$17,'Re-Branding'!$AO$90)</f>
        <v>#REF!</v>
      </c>
      <c r="H50" s="133" t="e">
        <f>INDEX('Overdue Actions'!C8:C$17,'Re-Branding'!$AO$90)</f>
        <v>#REF!</v>
      </c>
      <c r="I50" s="133" t="e">
        <f>INDEX('Overdue Actions'!D8:D$17,'Re-Branding'!$AO$90)</f>
        <v>#REF!</v>
      </c>
      <c r="J50" s="133" t="e">
        <f>INDEX('Overdue Actions'!E8:E$17,'Re-Branding'!$AO$90)</f>
        <v>#REF!</v>
      </c>
      <c r="K50" s="134" t="e">
        <f>INDEX('Overdue Actions'!F8:F$17,'Re-Branding'!$AO$90)</f>
        <v>#REF!</v>
      </c>
      <c r="L50" s="134" t="e">
        <f>INDEX('Overdue Actions'!G8:G$17,'Re-Branding'!$AO$90)</f>
        <v>#REF!</v>
      </c>
      <c r="M50" s="133" t="e">
        <f>INDEX('Overdue Actions'!H8:H$17,'Re-Branding'!$AO$90)</f>
        <v>#REF!</v>
      </c>
      <c r="N50" s="133" t="e">
        <f>INDEX('Overdue Actions'!I8:I$17,'Re-Branding'!$AO$90)</f>
        <v>#REF!</v>
      </c>
      <c r="O50" s="133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s="4" customFormat="1" ht="24.95" customHeight="1" x14ac:dyDescent="0.25">
      <c r="A51" s="126"/>
      <c r="B51" s="126"/>
      <c r="C51" s="126"/>
      <c r="D51" s="126"/>
      <c r="E51" s="126"/>
      <c r="F51" s="133">
        <f>INDEX('Overdue Actions'!A9:A$17,'Re-Branding'!$AO$90)</f>
        <v>8</v>
      </c>
      <c r="G51" s="133" t="e">
        <f>INDEX('Overdue Actions'!B9:B$17,'Re-Branding'!$AO$90)</f>
        <v>#REF!</v>
      </c>
      <c r="H51" s="133" t="e">
        <f>INDEX('Overdue Actions'!C9:C$17,'Re-Branding'!$AO$90)</f>
        <v>#REF!</v>
      </c>
      <c r="I51" s="133" t="e">
        <f>INDEX('Overdue Actions'!D9:D$17,'Re-Branding'!$AO$90)</f>
        <v>#REF!</v>
      </c>
      <c r="J51" s="133" t="e">
        <f>INDEX('Overdue Actions'!E9:E$17,'Re-Branding'!$AO$90)</f>
        <v>#REF!</v>
      </c>
      <c r="K51" s="134" t="e">
        <f>INDEX('Overdue Actions'!F9:F$17,'Re-Branding'!$AO$90)</f>
        <v>#REF!</v>
      </c>
      <c r="L51" s="134" t="e">
        <f>INDEX('Overdue Actions'!G9:G$17,'Re-Branding'!$AO$90)</f>
        <v>#REF!</v>
      </c>
      <c r="M51" s="133" t="e">
        <f>INDEX('Overdue Actions'!H9:H$17,'Re-Branding'!$AO$90)</f>
        <v>#REF!</v>
      </c>
      <c r="N51" s="133" t="e">
        <f>INDEX('Overdue Actions'!I9:I$17,'Re-Branding'!$AO$90)</f>
        <v>#REF!</v>
      </c>
      <c r="O51" s="133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s="4" customFormat="1" ht="24.95" customHeight="1" x14ac:dyDescent="0.25">
      <c r="A52" s="126"/>
      <c r="B52" s="126"/>
      <c r="C52" s="126"/>
      <c r="D52" s="126"/>
      <c r="E52" s="126"/>
      <c r="F52" s="133">
        <f>INDEX('Overdue Actions'!A10:A$17,'Re-Branding'!$AO$90)</f>
        <v>9</v>
      </c>
      <c r="G52" s="133" t="e">
        <f>INDEX('Overdue Actions'!B10:B$17,'Re-Branding'!$AO$90)</f>
        <v>#REF!</v>
      </c>
      <c r="H52" s="133" t="e">
        <f>INDEX('Overdue Actions'!C10:C$17,'Re-Branding'!$AO$90)</f>
        <v>#REF!</v>
      </c>
      <c r="I52" s="133" t="e">
        <f>INDEX('Overdue Actions'!D10:D$17,'Re-Branding'!$AO$90)</f>
        <v>#REF!</v>
      </c>
      <c r="J52" s="133" t="e">
        <f>INDEX('Overdue Actions'!E10:E$17,'Re-Branding'!$AO$90)</f>
        <v>#REF!</v>
      </c>
      <c r="K52" s="134" t="e">
        <f>INDEX('Overdue Actions'!F10:F$17,'Re-Branding'!$AO$90)</f>
        <v>#REF!</v>
      </c>
      <c r="L52" s="134" t="e">
        <f>INDEX('Overdue Actions'!G10:G$17,'Re-Branding'!$AO$90)</f>
        <v>#REF!</v>
      </c>
      <c r="M52" s="133" t="e">
        <f>INDEX('Overdue Actions'!H10:H$17,'Re-Branding'!$AO$90)</f>
        <v>#REF!</v>
      </c>
      <c r="N52" s="133" t="e">
        <f>INDEX('Overdue Actions'!I10:I$17,'Re-Branding'!$AO$90)</f>
        <v>#REF!</v>
      </c>
      <c r="O52" s="133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s="4" customFormat="1" ht="24.95" customHeight="1" x14ac:dyDescent="0.25">
      <c r="A53" s="126"/>
      <c r="B53" s="126"/>
      <c r="C53" s="126"/>
      <c r="D53" s="126"/>
      <c r="E53" s="126"/>
      <c r="F53" s="133">
        <f>INDEX('Overdue Actions'!A11:A$17,'Re-Branding'!$AO$90)</f>
        <v>10</v>
      </c>
      <c r="G53" s="133" t="e">
        <f>INDEX('Overdue Actions'!B11:B$17,'Re-Branding'!$AO$90)</f>
        <v>#REF!</v>
      </c>
      <c r="H53" s="133" t="e">
        <f>INDEX('Overdue Actions'!C11:C$17,'Re-Branding'!$AO$90)</f>
        <v>#REF!</v>
      </c>
      <c r="I53" s="133" t="e">
        <f>INDEX('Overdue Actions'!D11:D$17,'Re-Branding'!$AO$90)</f>
        <v>#REF!</v>
      </c>
      <c r="J53" s="133" t="e">
        <f>INDEX('Overdue Actions'!E11:E$17,'Re-Branding'!$AO$90)</f>
        <v>#REF!</v>
      </c>
      <c r="K53" s="134" t="e">
        <f>INDEX('Overdue Actions'!F11:F$17,'Re-Branding'!$AO$90)</f>
        <v>#REF!</v>
      </c>
      <c r="L53" s="134" t="e">
        <f>INDEX('Overdue Actions'!G11:G$17,'Re-Branding'!$AO$90)</f>
        <v>#REF!</v>
      </c>
      <c r="M53" s="133" t="e">
        <f>INDEX('Overdue Actions'!H11:H$17,'Re-Branding'!$AO$90)</f>
        <v>#REF!</v>
      </c>
      <c r="N53" s="133" t="e">
        <f>INDEX('Overdue Actions'!I11:I$17,'Re-Branding'!$AO$90)</f>
        <v>#REF!</v>
      </c>
      <c r="O53" s="133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x14ac:dyDescent="0.25">
      <c r="A54" s="104"/>
      <c r="B54" s="104"/>
      <c r="C54" s="104"/>
      <c r="D54" s="104"/>
      <c r="E54" s="104"/>
      <c r="F54" s="118"/>
      <c r="G54" s="118"/>
      <c r="H54" s="118"/>
      <c r="I54" s="118"/>
      <c r="J54" s="118"/>
      <c r="K54" s="120"/>
      <c r="L54" s="120"/>
      <c r="M54" s="118"/>
      <c r="N54" s="118"/>
      <c r="O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</row>
    <row r="55" spans="1:40" x14ac:dyDescent="0.25">
      <c r="A55" s="104"/>
      <c r="B55" s="104"/>
      <c r="C55" s="104"/>
      <c r="D55" s="104"/>
      <c r="E55" s="104"/>
      <c r="F55" s="118"/>
      <c r="G55" s="118"/>
      <c r="H55" s="118"/>
      <c r="I55" s="118"/>
      <c r="J55" s="118"/>
      <c r="K55" s="120"/>
      <c r="L55" s="120"/>
      <c r="M55" s="118"/>
      <c r="N55" s="118"/>
      <c r="O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spans="1:40" x14ac:dyDescent="0.25">
      <c r="A56" s="104"/>
      <c r="B56" s="104"/>
      <c r="C56" s="104"/>
      <c r="D56" s="104"/>
      <c r="E56" s="104"/>
      <c r="F56" s="118"/>
      <c r="G56" s="118"/>
      <c r="H56" s="118"/>
      <c r="I56" s="118"/>
      <c r="J56" s="118"/>
      <c r="K56" s="120"/>
      <c r="L56" s="120"/>
      <c r="M56" s="118"/>
      <c r="N56" s="118"/>
      <c r="O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</row>
    <row r="57" spans="1:40" x14ac:dyDescent="0.25">
      <c r="A57" s="104"/>
      <c r="B57" s="104"/>
      <c r="C57" s="104"/>
      <c r="D57" s="104"/>
      <c r="E57" s="104"/>
      <c r="F57" s="118"/>
      <c r="G57" s="118"/>
      <c r="H57" s="118"/>
      <c r="I57" s="118"/>
      <c r="J57" s="118"/>
      <c r="K57" s="120"/>
      <c r="L57" s="120"/>
      <c r="M57" s="118"/>
      <c r="N57" s="118"/>
      <c r="O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</row>
    <row r="58" spans="1:40" x14ac:dyDescent="0.25">
      <c r="A58" s="104"/>
      <c r="B58" s="104"/>
      <c r="C58" s="104"/>
      <c r="D58" s="104"/>
      <c r="E58" s="104"/>
      <c r="F58" s="118"/>
      <c r="G58" s="118"/>
      <c r="H58" s="118"/>
      <c r="I58" s="118"/>
      <c r="J58" s="118"/>
      <c r="K58" s="120"/>
      <c r="L58" s="120"/>
      <c r="M58" s="118"/>
      <c r="N58" s="118"/>
      <c r="O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</row>
    <row r="59" spans="1:40" x14ac:dyDescent="0.25">
      <c r="A59" s="104"/>
      <c r="B59" s="104"/>
      <c r="C59" s="104"/>
      <c r="D59" s="104"/>
      <c r="E59" s="104"/>
      <c r="F59" s="118"/>
      <c r="G59" s="118"/>
      <c r="H59" s="118"/>
      <c r="I59" s="118"/>
      <c r="J59" s="118"/>
      <c r="K59" s="120"/>
      <c r="L59" s="120"/>
      <c r="M59" s="118"/>
      <c r="N59" s="118"/>
      <c r="O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</row>
    <row r="60" spans="1:40" x14ac:dyDescent="0.25">
      <c r="A60" s="104"/>
      <c r="B60" s="104"/>
      <c r="C60" s="104"/>
      <c r="D60" s="104"/>
      <c r="E60" s="104"/>
      <c r="F60" s="118"/>
      <c r="G60" s="118"/>
      <c r="H60" s="118"/>
      <c r="I60" s="118"/>
      <c r="J60" s="118"/>
      <c r="K60" s="120"/>
      <c r="L60" s="120"/>
      <c r="M60" s="120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spans="1:40" x14ac:dyDescent="0.25">
      <c r="A61" s="104"/>
      <c r="B61" s="104"/>
      <c r="C61" s="104"/>
      <c r="D61" s="104"/>
      <c r="E61" s="104"/>
      <c r="F61" s="118"/>
      <c r="G61" s="118"/>
      <c r="H61" s="118"/>
      <c r="I61" s="118"/>
      <c r="J61" s="118"/>
      <c r="K61" s="120"/>
      <c r="L61" s="120"/>
      <c r="M61" s="120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</row>
    <row r="62" spans="1:40" x14ac:dyDescent="0.25">
      <c r="A62" s="104"/>
      <c r="B62" s="104"/>
      <c r="C62" s="104"/>
      <c r="D62" s="104"/>
      <c r="E62" s="104"/>
      <c r="F62" s="118"/>
      <c r="G62" s="118"/>
      <c r="H62" s="118"/>
      <c r="I62" s="118"/>
      <c r="J62" s="118"/>
      <c r="K62" s="120"/>
      <c r="L62" s="120"/>
      <c r="M62" s="120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</row>
    <row r="63" spans="1:40" x14ac:dyDescent="0.25">
      <c r="A63" s="104"/>
      <c r="B63" s="104"/>
      <c r="C63" s="104"/>
      <c r="D63" s="104"/>
      <c r="E63" s="104"/>
      <c r="F63" s="118"/>
      <c r="G63" s="118"/>
      <c r="H63" s="118"/>
      <c r="I63" s="118"/>
      <c r="J63" s="118"/>
      <c r="K63" s="120"/>
      <c r="L63" s="120"/>
      <c r="M63" s="120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</row>
    <row r="64" spans="1:40" x14ac:dyDescent="0.25">
      <c r="A64" s="104"/>
      <c r="B64" s="104"/>
      <c r="C64" s="104"/>
      <c r="D64" s="104"/>
      <c r="E64" s="104"/>
      <c r="F64" s="118"/>
      <c r="G64" s="118"/>
      <c r="H64" s="118"/>
      <c r="I64" s="118"/>
      <c r="J64" s="118"/>
      <c r="K64" s="120"/>
      <c r="L64" s="120"/>
      <c r="M64" s="120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</row>
    <row r="65" spans="1:40" x14ac:dyDescent="0.25">
      <c r="A65" s="104"/>
      <c r="B65" s="104"/>
      <c r="C65" s="104"/>
      <c r="D65" s="104"/>
      <c r="E65" s="104"/>
      <c r="F65" s="118"/>
      <c r="G65" s="118"/>
      <c r="H65" s="118"/>
      <c r="I65" s="118"/>
      <c r="J65" s="118"/>
      <c r="K65" s="120"/>
      <c r="L65" s="120"/>
      <c r="M65" s="120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</row>
    <row r="66" spans="1:40" x14ac:dyDescent="0.25">
      <c r="A66" s="104"/>
      <c r="B66" s="104"/>
      <c r="C66" s="104"/>
      <c r="D66" s="104"/>
      <c r="E66" s="104"/>
    </row>
    <row r="67" spans="1:40" x14ac:dyDescent="0.25">
      <c r="A67" s="104"/>
      <c r="B67" s="104"/>
      <c r="C67" s="104"/>
      <c r="D67" s="104"/>
      <c r="E67" s="104"/>
    </row>
    <row r="90" spans="41:41" x14ac:dyDescent="0.25">
      <c r="AO90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F45:F53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croll Bar 1">
              <controlPr defaultSize="0" autoPict="0">
                <anchor moveWithCells="1">
                  <from>
                    <xdr:col>15</xdr:col>
                    <xdr:colOff>95250</xdr:colOff>
                    <xdr:row>41</xdr:row>
                    <xdr:rowOff>180975</xdr:rowOff>
                  </from>
                  <to>
                    <xdr:col>15</xdr:col>
                    <xdr:colOff>295275</xdr:colOff>
                    <xdr:row>52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D75B-402C-4096-91AE-1FFACA3D2CD3}">
  <sheetPr codeName="Sheet12">
    <tabColor theme="8"/>
    <pageSetUpPr autoPageBreaks="0"/>
  </sheetPr>
  <dimension ref="A1:AO90"/>
  <sheetViews>
    <sheetView showGridLines="0" zoomScale="70" zoomScaleNormal="70" zoomScaleSheetLayoutView="75" workbookViewId="0">
      <selection activeCell="F44" sqref="F44:O53"/>
    </sheetView>
  </sheetViews>
  <sheetFormatPr defaultRowHeight="15" x14ac:dyDescent="0.25"/>
  <cols>
    <col min="5" max="5" width="13.85546875" customWidth="1"/>
    <col min="6" max="6" width="3.5703125" bestFit="1" customWidth="1"/>
    <col min="7" max="7" width="19" bestFit="1" customWidth="1"/>
    <col min="8" max="8" width="132.7109375" bestFit="1" customWidth="1"/>
    <col min="9" max="9" width="114.5703125" bestFit="1" customWidth="1"/>
    <col min="10" max="10" width="45.140625" bestFit="1" customWidth="1"/>
    <col min="11" max="11" width="10.85546875" style="100" bestFit="1" customWidth="1"/>
    <col min="12" max="12" width="12" style="100" bestFit="1" customWidth="1"/>
    <col min="13" max="13" width="8.85546875" style="100" customWidth="1"/>
    <col min="14" max="14" width="17.7109375" bestFit="1" customWidth="1"/>
  </cols>
  <sheetData>
    <row r="1" spans="1:40" x14ac:dyDescent="0.25">
      <c r="A1" s="104"/>
      <c r="B1" s="104"/>
      <c r="C1" s="104"/>
      <c r="D1" s="104"/>
      <c r="E1" s="104"/>
      <c r="F1" s="117"/>
      <c r="G1" s="117"/>
      <c r="H1" s="117"/>
      <c r="I1" s="117"/>
      <c r="J1" s="117"/>
      <c r="K1" s="119"/>
      <c r="L1" s="119"/>
      <c r="M1" s="119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</row>
    <row r="2" spans="1:40" x14ac:dyDescent="0.25">
      <c r="A2" s="104"/>
      <c r="B2" s="104"/>
      <c r="C2" s="104"/>
      <c r="D2" s="104"/>
      <c r="E2" s="104"/>
      <c r="F2" s="117"/>
      <c r="G2" s="117"/>
      <c r="H2" s="117"/>
      <c r="I2" s="117"/>
      <c r="J2" s="117"/>
      <c r="K2" s="119"/>
      <c r="L2" s="119"/>
      <c r="M2" s="11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</row>
    <row r="3" spans="1:40" x14ac:dyDescent="0.25">
      <c r="A3" s="104"/>
      <c r="B3" s="104"/>
      <c r="C3" s="104"/>
      <c r="D3" s="104"/>
      <c r="E3" s="104"/>
      <c r="F3" s="117"/>
      <c r="G3" s="117"/>
      <c r="H3" s="117"/>
      <c r="I3" s="117"/>
      <c r="J3" s="117"/>
      <c r="K3" s="119"/>
      <c r="L3" s="119"/>
      <c r="M3" s="119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</row>
    <row r="4" spans="1:40" x14ac:dyDescent="0.25">
      <c r="A4" s="104"/>
      <c r="B4" s="104"/>
      <c r="C4" s="104"/>
      <c r="D4" s="104"/>
      <c r="E4" s="104"/>
      <c r="F4" s="117"/>
      <c r="G4" s="117"/>
      <c r="H4" s="117"/>
      <c r="I4" s="117"/>
      <c r="J4" s="117"/>
      <c r="K4" s="119"/>
      <c r="L4" s="119"/>
      <c r="M4" s="119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</row>
    <row r="5" spans="1:40" x14ac:dyDescent="0.25">
      <c r="A5" s="104"/>
      <c r="B5" s="104"/>
      <c r="C5" s="104"/>
      <c r="D5" s="104"/>
      <c r="E5" s="104"/>
      <c r="F5" s="117"/>
      <c r="G5" s="117"/>
      <c r="H5" s="117"/>
      <c r="I5" s="117"/>
      <c r="J5" s="117"/>
      <c r="K5" s="119"/>
      <c r="L5" s="119"/>
      <c r="M5" s="119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1:40" x14ac:dyDescent="0.25">
      <c r="A6" s="104"/>
      <c r="B6" s="104"/>
      <c r="C6" s="104"/>
      <c r="D6" s="104"/>
      <c r="E6" s="104"/>
      <c r="F6" s="117"/>
      <c r="G6" s="117"/>
      <c r="H6" s="117"/>
      <c r="I6" s="117"/>
      <c r="J6" s="117"/>
      <c r="K6" s="119"/>
      <c r="L6" s="119"/>
      <c r="M6" s="119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</row>
    <row r="7" spans="1:40" x14ac:dyDescent="0.25">
      <c r="A7" s="104"/>
      <c r="B7" s="104"/>
      <c r="C7" s="104"/>
      <c r="D7" s="104"/>
      <c r="E7" s="104"/>
      <c r="F7" s="118"/>
      <c r="G7" s="118"/>
      <c r="H7" s="118"/>
      <c r="I7" s="118"/>
      <c r="J7" s="118"/>
      <c r="K7" s="120"/>
      <c r="L7" s="120"/>
      <c r="M7" s="120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spans="1:40" x14ac:dyDescent="0.25">
      <c r="A8" s="104"/>
      <c r="B8" s="104"/>
      <c r="C8" s="104"/>
      <c r="D8" s="104"/>
      <c r="E8" s="104"/>
      <c r="F8" s="118"/>
      <c r="G8" s="118"/>
      <c r="H8" s="118"/>
      <c r="I8" s="118"/>
      <c r="J8" s="118"/>
      <c r="K8" s="120"/>
      <c r="L8" s="120"/>
      <c r="M8" s="120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</row>
    <row r="9" spans="1:40" x14ac:dyDescent="0.25">
      <c r="A9" s="104"/>
      <c r="B9" s="104"/>
      <c r="C9" s="104"/>
      <c r="D9" s="104"/>
      <c r="E9" s="104"/>
      <c r="F9" s="118"/>
      <c r="G9" s="118"/>
      <c r="H9" s="118"/>
      <c r="I9" s="118"/>
      <c r="J9" s="118"/>
      <c r="K9" s="120"/>
      <c r="L9" s="120"/>
      <c r="M9" s="120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x14ac:dyDescent="0.25">
      <c r="A10" s="104"/>
      <c r="B10" s="104"/>
      <c r="C10" s="104"/>
      <c r="D10" s="104"/>
      <c r="E10" s="104"/>
      <c r="F10" s="118"/>
      <c r="G10" s="118"/>
      <c r="H10" s="118"/>
      <c r="I10" s="118"/>
      <c r="J10" s="118"/>
      <c r="K10" s="120"/>
      <c r="L10" s="120"/>
      <c r="M10" s="120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</row>
    <row r="11" spans="1:40" x14ac:dyDescent="0.25">
      <c r="A11" s="104"/>
      <c r="B11" s="104"/>
      <c r="C11" s="104"/>
      <c r="D11" s="104"/>
      <c r="E11" s="104"/>
      <c r="F11" s="118"/>
      <c r="G11" s="118"/>
      <c r="H11" s="118"/>
      <c r="I11" s="118"/>
      <c r="J11" s="118"/>
      <c r="K11" s="120"/>
      <c r="L11" s="120"/>
      <c r="M11" s="120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</row>
    <row r="12" spans="1:40" x14ac:dyDescent="0.25">
      <c r="A12" s="104"/>
      <c r="B12" s="104"/>
      <c r="C12" s="104"/>
      <c r="D12" s="104"/>
      <c r="E12" s="104"/>
      <c r="F12" s="118"/>
      <c r="G12" s="118"/>
      <c r="H12" s="118"/>
      <c r="I12" s="118"/>
      <c r="J12" s="118"/>
      <c r="K12" s="120"/>
      <c r="L12" s="120"/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0" x14ac:dyDescent="0.25">
      <c r="A13" s="104"/>
      <c r="B13" s="104"/>
      <c r="C13" s="104"/>
      <c r="D13" s="104"/>
      <c r="E13" s="104"/>
      <c r="F13" s="118"/>
      <c r="G13" s="118"/>
      <c r="H13" s="118"/>
      <c r="I13" s="118"/>
      <c r="J13" s="118"/>
      <c r="K13" s="120"/>
      <c r="L13" s="120"/>
      <c r="M13" s="120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0" x14ac:dyDescent="0.25">
      <c r="A14" s="104"/>
      <c r="B14" s="104"/>
      <c r="C14" s="104"/>
      <c r="D14" s="104"/>
      <c r="E14" s="104"/>
      <c r="F14" s="118"/>
      <c r="G14" s="118"/>
      <c r="H14" s="118"/>
      <c r="I14" s="118"/>
      <c r="J14" s="118"/>
      <c r="K14" s="120"/>
      <c r="L14" s="120"/>
      <c r="M14" s="120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</row>
    <row r="15" spans="1:40" x14ac:dyDescent="0.25">
      <c r="A15" s="104"/>
      <c r="B15" s="104"/>
      <c r="C15" s="104"/>
      <c r="D15" s="104"/>
      <c r="E15" s="104"/>
      <c r="F15" s="118"/>
      <c r="G15" s="118"/>
      <c r="H15" s="118"/>
      <c r="I15" s="118"/>
      <c r="J15" s="118"/>
      <c r="K15" s="120"/>
      <c r="L15" s="120"/>
      <c r="M15" s="120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</row>
    <row r="16" spans="1:40" x14ac:dyDescent="0.25">
      <c r="A16" s="104"/>
      <c r="B16" s="104"/>
      <c r="C16" s="104"/>
      <c r="D16" s="104"/>
      <c r="E16" s="104"/>
      <c r="F16" s="118"/>
      <c r="G16" s="118"/>
      <c r="H16" s="118"/>
      <c r="I16" s="118"/>
      <c r="J16" s="118"/>
      <c r="K16" s="120"/>
      <c r="L16" s="120"/>
      <c r="M16" s="120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</row>
    <row r="17" spans="1:40" x14ac:dyDescent="0.25">
      <c r="A17" s="104"/>
      <c r="B17" s="104"/>
      <c r="C17" s="104"/>
      <c r="D17" s="104"/>
      <c r="E17" s="104"/>
      <c r="F17" s="118"/>
      <c r="G17" s="118"/>
      <c r="H17" s="118"/>
      <c r="I17" s="118"/>
      <c r="J17" s="118"/>
      <c r="K17" s="120"/>
      <c r="L17" s="120"/>
      <c r="M17" s="120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</row>
    <row r="18" spans="1:40" x14ac:dyDescent="0.25">
      <c r="A18" s="104"/>
      <c r="B18" s="104"/>
      <c r="C18" s="104"/>
      <c r="D18" s="104"/>
      <c r="E18" s="104"/>
      <c r="F18" s="118"/>
      <c r="G18" s="118"/>
      <c r="H18" s="118"/>
      <c r="I18" s="118"/>
      <c r="J18" s="118"/>
      <c r="K18" s="120"/>
      <c r="L18" s="120"/>
      <c r="M18" s="120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</row>
    <row r="19" spans="1:40" x14ac:dyDescent="0.25">
      <c r="A19" s="104"/>
      <c r="B19" s="104"/>
      <c r="C19" s="104"/>
      <c r="D19" s="104"/>
      <c r="E19" s="104"/>
      <c r="F19" s="118"/>
      <c r="G19" s="118"/>
      <c r="H19" s="118"/>
      <c r="I19" s="118"/>
      <c r="J19" s="118"/>
      <c r="K19" s="120"/>
      <c r="L19" s="120"/>
      <c r="M19" s="120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</row>
    <row r="20" spans="1:40" x14ac:dyDescent="0.25">
      <c r="A20" s="104"/>
      <c r="B20" s="104"/>
      <c r="C20" s="104"/>
      <c r="D20" s="104"/>
      <c r="E20" s="104"/>
      <c r="F20" s="118"/>
      <c r="G20" s="118"/>
      <c r="H20" s="118"/>
      <c r="I20" s="118"/>
      <c r="J20" s="118"/>
      <c r="K20" s="120"/>
      <c r="L20" s="120"/>
      <c r="M20" s="120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</row>
    <row r="21" spans="1:40" x14ac:dyDescent="0.25">
      <c r="A21" s="104"/>
      <c r="B21" s="104"/>
      <c r="C21" s="104"/>
      <c r="D21" s="104"/>
      <c r="E21" s="104"/>
      <c r="F21" s="118"/>
      <c r="G21" s="118"/>
      <c r="H21" s="118"/>
      <c r="I21" s="118"/>
      <c r="J21" s="118"/>
      <c r="K21" s="120"/>
      <c r="L21" s="120"/>
      <c r="M21" s="120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x14ac:dyDescent="0.25">
      <c r="A22" s="104"/>
      <c r="B22" s="104"/>
      <c r="C22" s="104"/>
      <c r="D22" s="104"/>
      <c r="E22" s="104"/>
      <c r="F22" s="118"/>
      <c r="G22" s="118"/>
      <c r="H22" s="118"/>
      <c r="I22" s="118"/>
      <c r="J22" s="118"/>
      <c r="K22" s="120"/>
      <c r="L22" s="120"/>
      <c r="M22" s="120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</row>
    <row r="23" spans="1:40" x14ac:dyDescent="0.25">
      <c r="A23" s="104"/>
      <c r="B23" s="104"/>
      <c r="C23" s="104"/>
      <c r="D23" s="104"/>
      <c r="E23" s="104"/>
      <c r="F23" s="118"/>
      <c r="G23" s="118"/>
      <c r="H23" s="118"/>
      <c r="I23" s="118"/>
      <c r="J23" s="118"/>
      <c r="K23" s="120"/>
      <c r="L23" s="120"/>
      <c r="M23" s="120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</row>
    <row r="24" spans="1:40" x14ac:dyDescent="0.25">
      <c r="A24" s="104"/>
      <c r="B24" s="104"/>
      <c r="C24" s="104"/>
      <c r="D24" s="104"/>
      <c r="E24" s="104"/>
      <c r="F24" s="118"/>
      <c r="G24" s="118"/>
      <c r="H24" s="118"/>
      <c r="I24" s="118"/>
      <c r="J24" s="118"/>
      <c r="K24" s="120"/>
      <c r="L24" s="120"/>
      <c r="M24" s="120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</row>
    <row r="25" spans="1:40" x14ac:dyDescent="0.25">
      <c r="A25" s="104"/>
      <c r="B25" s="104"/>
      <c r="C25" s="104"/>
      <c r="D25" s="104"/>
      <c r="E25" s="104"/>
      <c r="F25" s="118"/>
      <c r="G25" s="118"/>
      <c r="H25" s="118"/>
      <c r="I25" s="118"/>
      <c r="J25" s="118"/>
      <c r="K25" s="120"/>
      <c r="L25" s="120"/>
      <c r="M25" s="120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spans="1:40" x14ac:dyDescent="0.25">
      <c r="A26" s="104"/>
      <c r="B26" s="104"/>
      <c r="C26" s="104"/>
      <c r="D26" s="104"/>
      <c r="E26" s="104"/>
      <c r="F26" s="118"/>
      <c r="G26" s="118"/>
      <c r="H26" s="118"/>
      <c r="I26" s="118"/>
      <c r="J26" s="118"/>
      <c r="K26" s="120"/>
      <c r="L26" s="120"/>
      <c r="M26" s="12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1:40" x14ac:dyDescent="0.25">
      <c r="A27" s="104"/>
      <c r="B27" s="104"/>
      <c r="C27" s="104"/>
      <c r="D27" s="104"/>
      <c r="E27" s="104"/>
      <c r="F27" s="118"/>
      <c r="G27" s="118"/>
      <c r="H27" s="118"/>
      <c r="I27" s="118"/>
      <c r="J27" s="118"/>
      <c r="K27" s="120"/>
      <c r="L27" s="120"/>
      <c r="M27" s="120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</row>
    <row r="28" spans="1:40" x14ac:dyDescent="0.25">
      <c r="A28" s="104"/>
      <c r="B28" s="104"/>
      <c r="C28" s="104"/>
      <c r="D28" s="104"/>
      <c r="E28" s="104"/>
      <c r="F28" s="118"/>
      <c r="G28" s="118"/>
      <c r="H28" s="118"/>
      <c r="I28" s="118"/>
      <c r="J28" s="118"/>
      <c r="K28" s="120"/>
      <c r="L28" s="120"/>
      <c r="M28" s="120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spans="1:40" x14ac:dyDescent="0.25">
      <c r="A29" s="104"/>
      <c r="B29" s="104"/>
      <c r="C29" s="104"/>
      <c r="D29" s="104"/>
      <c r="E29" s="104"/>
      <c r="F29" s="118"/>
      <c r="G29" s="118"/>
      <c r="H29" s="118"/>
      <c r="I29" s="118"/>
      <c r="J29" s="118"/>
      <c r="K29" s="120"/>
      <c r="L29" s="120"/>
      <c r="M29" s="120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</row>
    <row r="30" spans="1:40" x14ac:dyDescent="0.25">
      <c r="A30" s="104"/>
      <c r="B30" s="104"/>
      <c r="C30" s="104"/>
      <c r="D30" s="104"/>
      <c r="E30" s="104"/>
      <c r="F30" s="118"/>
      <c r="G30" s="118"/>
      <c r="H30" s="118"/>
      <c r="I30" s="118"/>
      <c r="J30" s="118"/>
      <c r="K30" s="120"/>
      <c r="L30" s="120"/>
      <c r="M30" s="120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spans="1:40" x14ac:dyDescent="0.25">
      <c r="A31" s="104"/>
      <c r="B31" s="104"/>
      <c r="C31" s="104"/>
      <c r="D31" s="104"/>
      <c r="E31" s="104"/>
      <c r="F31" s="118"/>
      <c r="G31" s="118"/>
      <c r="H31" s="118"/>
      <c r="I31" s="118"/>
      <c r="J31" s="118"/>
      <c r="K31" s="120"/>
      <c r="L31" s="120"/>
      <c r="M31" s="120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</row>
    <row r="32" spans="1:40" x14ac:dyDescent="0.25">
      <c r="A32" s="104"/>
      <c r="B32" s="104"/>
      <c r="C32" s="104"/>
      <c r="D32" s="104"/>
      <c r="E32" s="104"/>
      <c r="F32" s="118"/>
      <c r="G32" s="118"/>
      <c r="H32" s="118"/>
      <c r="I32" s="118"/>
      <c r="J32" s="118"/>
      <c r="K32" s="120"/>
      <c r="L32" s="120"/>
      <c r="M32" s="120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</row>
    <row r="33" spans="1:40" x14ac:dyDescent="0.25">
      <c r="A33" s="104"/>
      <c r="B33" s="104"/>
      <c r="C33" s="104"/>
      <c r="D33" s="104"/>
      <c r="E33" s="104"/>
      <c r="F33" s="118"/>
      <c r="G33" s="118"/>
      <c r="H33" s="118"/>
      <c r="I33" s="118"/>
      <c r="J33" s="118"/>
      <c r="K33" s="120"/>
      <c r="L33" s="120"/>
      <c r="M33" s="120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</row>
    <row r="34" spans="1:40" x14ac:dyDescent="0.25">
      <c r="A34" s="104"/>
      <c r="B34" s="104"/>
      <c r="C34" s="104"/>
      <c r="D34" s="104"/>
      <c r="E34" s="104"/>
      <c r="F34" s="118"/>
      <c r="G34" s="118"/>
      <c r="H34" s="118"/>
      <c r="I34" s="118"/>
      <c r="J34" s="118"/>
      <c r="K34" s="120"/>
      <c r="L34" s="120"/>
      <c r="M34" s="120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</row>
    <row r="35" spans="1:40" x14ac:dyDescent="0.25">
      <c r="A35" s="104"/>
      <c r="B35" s="104"/>
      <c r="C35" s="104"/>
      <c r="D35" s="104"/>
      <c r="E35" s="104"/>
      <c r="F35" s="118"/>
      <c r="G35" s="118"/>
      <c r="H35" s="118"/>
      <c r="I35" s="118"/>
      <c r="J35" s="118"/>
      <c r="K35" s="120"/>
      <c r="L35" s="120"/>
      <c r="M35" s="120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</row>
    <row r="36" spans="1:40" x14ac:dyDescent="0.25">
      <c r="A36" s="104"/>
      <c r="B36" s="104"/>
      <c r="C36" s="104"/>
      <c r="D36" s="104"/>
      <c r="E36" s="104"/>
      <c r="F36" s="118"/>
      <c r="G36" s="118"/>
      <c r="H36" s="118"/>
      <c r="I36" s="118"/>
      <c r="J36" s="118"/>
      <c r="K36" s="120"/>
      <c r="L36" s="120"/>
      <c r="M36" s="120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</row>
    <row r="37" spans="1:40" x14ac:dyDescent="0.25">
      <c r="A37" s="104"/>
      <c r="B37" s="104"/>
      <c r="C37" s="104"/>
      <c r="D37" s="104"/>
      <c r="E37" s="104"/>
      <c r="F37" s="118"/>
      <c r="G37" s="118"/>
      <c r="H37" s="118"/>
      <c r="I37" s="118"/>
      <c r="J37" s="118"/>
      <c r="K37" s="120"/>
      <c r="L37" s="120"/>
      <c r="M37" s="120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spans="1:40" x14ac:dyDescent="0.25">
      <c r="A38" s="104"/>
      <c r="B38" s="104"/>
      <c r="C38" s="104"/>
      <c r="D38" s="104"/>
      <c r="E38" s="104"/>
      <c r="F38" s="118"/>
      <c r="G38" s="118"/>
      <c r="H38" s="118"/>
      <c r="I38" s="118"/>
      <c r="J38" s="118"/>
      <c r="K38" s="120"/>
      <c r="L38" s="120"/>
      <c r="M38" s="120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spans="1:40" x14ac:dyDescent="0.25">
      <c r="A39" s="104"/>
      <c r="B39" s="104"/>
      <c r="C39" s="104"/>
      <c r="D39" s="104"/>
      <c r="E39" s="104"/>
      <c r="F39" s="118"/>
      <c r="G39" s="118"/>
      <c r="H39" s="118"/>
      <c r="I39" s="118"/>
      <c r="J39" s="118"/>
      <c r="K39" s="120"/>
      <c r="L39" s="120"/>
      <c r="M39" s="12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</row>
    <row r="40" spans="1:40" x14ac:dyDescent="0.25">
      <c r="A40" s="104"/>
      <c r="B40" s="104"/>
      <c r="C40" s="104"/>
      <c r="D40" s="104"/>
      <c r="E40" s="104"/>
      <c r="F40" s="118"/>
      <c r="G40" s="118"/>
      <c r="H40" s="118"/>
      <c r="I40" s="118"/>
      <c r="J40" s="118"/>
      <c r="K40" s="120"/>
      <c r="L40" s="120"/>
      <c r="M40" s="120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spans="1:40" x14ac:dyDescent="0.25">
      <c r="A41" s="104"/>
      <c r="B41" s="104"/>
      <c r="C41" s="104"/>
      <c r="D41" s="104"/>
      <c r="E41" s="104"/>
      <c r="F41" s="118"/>
      <c r="G41" s="118"/>
      <c r="H41" s="118"/>
      <c r="I41" s="118"/>
      <c r="J41" s="118"/>
      <c r="K41" s="120"/>
      <c r="L41" s="120"/>
      <c r="M41" s="120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</row>
    <row r="42" spans="1:40" x14ac:dyDescent="0.25">
      <c r="A42" s="104"/>
      <c r="B42" s="104"/>
      <c r="C42" s="104"/>
      <c r="D42" s="104"/>
      <c r="E42" s="104"/>
      <c r="F42" s="118"/>
      <c r="G42" s="118"/>
      <c r="H42" s="118"/>
      <c r="I42" s="118"/>
      <c r="J42" s="118"/>
      <c r="K42" s="120"/>
      <c r="L42" s="120"/>
      <c r="M42" s="120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</row>
    <row r="43" spans="1:40" s="4" customFormat="1" ht="24.95" customHeight="1" x14ac:dyDescent="0.25">
      <c r="A43" s="126"/>
      <c r="B43" s="126"/>
      <c r="C43" s="126"/>
      <c r="D43" s="126"/>
      <c r="E43" s="126"/>
      <c r="F43" s="122" t="e">
        <f>'Overdue Actions'!A1</f>
        <v>#REF!</v>
      </c>
      <c r="G43" s="123" t="e">
        <f>'Overdue Actions'!B1</f>
        <v>#REF!</v>
      </c>
      <c r="H43" s="123" t="e">
        <f>'Overdue Actions'!C1</f>
        <v>#REF!</v>
      </c>
      <c r="I43" s="123" t="e">
        <f>'Overdue Actions'!D1</f>
        <v>#REF!</v>
      </c>
      <c r="J43" s="123" t="e">
        <f>'Overdue Actions'!E1</f>
        <v>#REF!</v>
      </c>
      <c r="K43" s="124" t="e">
        <f>'Overdue Actions'!F1</f>
        <v>#REF!</v>
      </c>
      <c r="L43" s="124" t="str">
        <f>'Overdue Actions'!G1</f>
        <v>ETC</v>
      </c>
      <c r="M43" s="123" t="str">
        <f>'Overdue Actions'!H1</f>
        <v>Overdue</v>
      </c>
      <c r="N43" s="123" t="str">
        <f>'Overdue Actions'!I1</f>
        <v>Completion Status</v>
      </c>
      <c r="O43" s="123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</row>
    <row r="44" spans="1:40" s="4" customFormat="1" ht="24.95" customHeight="1" x14ac:dyDescent="0.25">
      <c r="A44" s="126"/>
      <c r="B44" s="126"/>
      <c r="C44" s="126"/>
      <c r="D44" s="126"/>
      <c r="E44" s="126"/>
      <c r="F44" s="131">
        <f>INDEX('Overdue Actions'!A20:A$31,'Cost Efficiency'!$AO$90)</f>
        <v>1</v>
      </c>
      <c r="G44" s="131" t="e">
        <f>INDEX('Overdue Actions'!B20:B$31,'Cost Efficiency'!$AO$90)</f>
        <v>#REF!</v>
      </c>
      <c r="H44" s="131" t="e">
        <f>INDEX('Overdue Actions'!C20:C$31,'Cost Efficiency'!$AO$90)</f>
        <v>#REF!</v>
      </c>
      <c r="I44" s="131" t="e">
        <f>INDEX('Overdue Actions'!D20:D$31,'Cost Efficiency'!$AO$90)</f>
        <v>#REF!</v>
      </c>
      <c r="J44" s="131" t="e">
        <f>INDEX('Overdue Actions'!E20:E$31,'Cost Efficiency'!$AO$90)</f>
        <v>#REF!</v>
      </c>
      <c r="K44" s="132" t="e">
        <f>INDEX('Overdue Actions'!F20:F$31,'Cost Efficiency'!$AO$90)</f>
        <v>#REF!</v>
      </c>
      <c r="L44" s="132" t="e">
        <f>INDEX('Overdue Actions'!G20:G$31,'Cost Efficiency'!$AO$90)</f>
        <v>#REF!</v>
      </c>
      <c r="M44" s="131" t="str">
        <f>INDEX('Overdue Actions'!H20:H$31,'Cost Efficiency'!$AO$90)</f>
        <v>N/A</v>
      </c>
      <c r="N44" s="131" t="e">
        <f>INDEX('Overdue Actions'!I20:I$31,'Cost Efficiency'!$AO$90)</f>
        <v>#REF!</v>
      </c>
      <c r="O44" s="13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0" s="4" customFormat="1" ht="24.95" customHeight="1" x14ac:dyDescent="0.25">
      <c r="A45" s="126"/>
      <c r="B45" s="126"/>
      <c r="C45" s="126"/>
      <c r="D45" s="126"/>
      <c r="E45" s="126"/>
      <c r="F45" s="131">
        <f>INDEX('Overdue Actions'!A21:A$31,'Cost Efficiency'!$AO$90)</f>
        <v>2</v>
      </c>
      <c r="G45" s="131" t="e">
        <f>INDEX('Overdue Actions'!B21:B$31,'Cost Efficiency'!$AO$90)</f>
        <v>#REF!</v>
      </c>
      <c r="H45" s="131" t="e">
        <f>INDEX('Overdue Actions'!C21:C$31,'Cost Efficiency'!$AO$90)</f>
        <v>#REF!</v>
      </c>
      <c r="I45" s="131" t="e">
        <f>INDEX('Overdue Actions'!D21:D$31,'Cost Efficiency'!$AO$90)</f>
        <v>#REF!</v>
      </c>
      <c r="J45" s="131" t="e">
        <f>INDEX('Overdue Actions'!E21:E$31,'Cost Efficiency'!$AO$90)</f>
        <v>#REF!</v>
      </c>
      <c r="K45" s="132" t="e">
        <f>INDEX('Overdue Actions'!F21:F$31,'Cost Efficiency'!$AO$90)</f>
        <v>#REF!</v>
      </c>
      <c r="L45" s="132" t="e">
        <f>INDEX('Overdue Actions'!G21:G$31,'Cost Efficiency'!$AO$90)</f>
        <v>#REF!</v>
      </c>
      <c r="M45" s="131" t="e">
        <f>INDEX('Overdue Actions'!H21:H$31,'Cost Efficiency'!$AO$90)</f>
        <v>#REF!</v>
      </c>
      <c r="N45" s="131" t="e">
        <f>INDEX('Overdue Actions'!I21:I$31,'Cost Efficiency'!$AO$90)</f>
        <v>#REF!</v>
      </c>
      <c r="O45" s="13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0" s="4" customFormat="1" ht="24.95" customHeight="1" x14ac:dyDescent="0.25">
      <c r="A46" s="126"/>
      <c r="B46" s="126"/>
      <c r="C46" s="126"/>
      <c r="D46" s="126"/>
      <c r="E46" s="126"/>
      <c r="F46" s="131">
        <f>INDEX('Overdue Actions'!A22:A$31,'Cost Efficiency'!$AO$90)</f>
        <v>3</v>
      </c>
      <c r="G46" s="131" t="e">
        <f>INDEX('Overdue Actions'!B22:B$31,'Cost Efficiency'!$AO$90)</f>
        <v>#REF!</v>
      </c>
      <c r="H46" s="131" t="e">
        <f>INDEX('Overdue Actions'!C22:C$31,'Cost Efficiency'!$AO$90)</f>
        <v>#REF!</v>
      </c>
      <c r="I46" s="131" t="e">
        <f>INDEX('Overdue Actions'!D22:D$31,'Cost Efficiency'!$AO$90)</f>
        <v>#REF!</v>
      </c>
      <c r="J46" s="131" t="e">
        <f>INDEX('Overdue Actions'!E22:E$31,'Cost Efficiency'!$AO$90)</f>
        <v>#REF!</v>
      </c>
      <c r="K46" s="132" t="e">
        <f>INDEX('Overdue Actions'!F22:F$31,'Cost Efficiency'!$AO$90)</f>
        <v>#REF!</v>
      </c>
      <c r="L46" s="132" t="e">
        <f>INDEX('Overdue Actions'!G22:G$31,'Cost Efficiency'!$AO$90)</f>
        <v>#REF!</v>
      </c>
      <c r="M46" s="131" t="e">
        <f>INDEX('Overdue Actions'!H22:H$31,'Cost Efficiency'!$AO$90)</f>
        <v>#REF!</v>
      </c>
      <c r="N46" s="131" t="e">
        <f>INDEX('Overdue Actions'!I22:I$31,'Cost Efficiency'!$AO$90)</f>
        <v>#REF!</v>
      </c>
      <c r="O46" s="13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0" s="4" customFormat="1" ht="24.95" customHeight="1" x14ac:dyDescent="0.25">
      <c r="A47" s="126"/>
      <c r="B47" s="126"/>
      <c r="C47" s="126"/>
      <c r="D47" s="126"/>
      <c r="E47" s="126"/>
      <c r="F47" s="131">
        <f>INDEX('Overdue Actions'!A23:A$31,'Cost Efficiency'!$AO$90)</f>
        <v>4</v>
      </c>
      <c r="G47" s="131" t="e">
        <f>INDEX('Overdue Actions'!B23:B$31,'Cost Efficiency'!$AO$90)</f>
        <v>#REF!</v>
      </c>
      <c r="H47" s="131" t="e">
        <f>INDEX('Overdue Actions'!C23:C$31,'Cost Efficiency'!$AO$90)</f>
        <v>#REF!</v>
      </c>
      <c r="I47" s="131" t="e">
        <f>INDEX('Overdue Actions'!D23:D$31,'Cost Efficiency'!$AO$90)</f>
        <v>#REF!</v>
      </c>
      <c r="J47" s="131" t="e">
        <f>INDEX('Overdue Actions'!E23:E$31,'Cost Efficiency'!$AO$90)</f>
        <v>#REF!</v>
      </c>
      <c r="K47" s="132" t="e">
        <f>INDEX('Overdue Actions'!F23:F$31,'Cost Efficiency'!$AO$90)</f>
        <v>#REF!</v>
      </c>
      <c r="L47" s="132" t="e">
        <f>INDEX('Overdue Actions'!G23:G$31,'Cost Efficiency'!$AO$90)</f>
        <v>#REF!</v>
      </c>
      <c r="M47" s="131" t="e">
        <f>INDEX('Overdue Actions'!H23:H$31,'Cost Efficiency'!$AO$90)</f>
        <v>#REF!</v>
      </c>
      <c r="N47" s="131" t="e">
        <f>INDEX('Overdue Actions'!I23:I$31,'Cost Efficiency'!$AO$90)</f>
        <v>#REF!</v>
      </c>
      <c r="O47" s="13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0" s="4" customFormat="1" ht="24.95" customHeight="1" x14ac:dyDescent="0.25">
      <c r="A48" s="126"/>
      <c r="B48" s="126"/>
      <c r="C48" s="126"/>
      <c r="D48" s="126"/>
      <c r="E48" s="126"/>
      <c r="F48" s="131">
        <f>INDEX('Overdue Actions'!A24:A$31,'Cost Efficiency'!$AO$90)</f>
        <v>5</v>
      </c>
      <c r="G48" s="131" t="e">
        <f>INDEX('Overdue Actions'!B24:B$31,'Cost Efficiency'!$AO$90)</f>
        <v>#REF!</v>
      </c>
      <c r="H48" s="131" t="e">
        <f>INDEX('Overdue Actions'!C24:C$31,'Cost Efficiency'!$AO$90)</f>
        <v>#REF!</v>
      </c>
      <c r="I48" s="131" t="e">
        <f>INDEX('Overdue Actions'!D24:D$31,'Cost Efficiency'!$AO$90)</f>
        <v>#REF!</v>
      </c>
      <c r="J48" s="131" t="e">
        <f>INDEX('Overdue Actions'!E24:E$31,'Cost Efficiency'!$AO$90)</f>
        <v>#REF!</v>
      </c>
      <c r="K48" s="132" t="e">
        <f>INDEX('Overdue Actions'!F24:F$31,'Cost Efficiency'!$AO$90)</f>
        <v>#REF!</v>
      </c>
      <c r="L48" s="132" t="e">
        <f>INDEX('Overdue Actions'!G24:G$31,'Cost Efficiency'!$AO$90)</f>
        <v>#REF!</v>
      </c>
      <c r="M48" s="131" t="e">
        <f>INDEX('Overdue Actions'!H24:H$31,'Cost Efficiency'!$AO$90)</f>
        <v>#REF!</v>
      </c>
      <c r="N48" s="131" t="e">
        <f>INDEX('Overdue Actions'!I24:I$31,'Cost Efficiency'!$AO$90)</f>
        <v>#REF!</v>
      </c>
      <c r="O48" s="133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s="4" customFormat="1" ht="24.95" customHeight="1" x14ac:dyDescent="0.25">
      <c r="A49" s="126"/>
      <c r="B49" s="126"/>
      <c r="C49" s="126"/>
      <c r="D49" s="126"/>
      <c r="E49" s="126"/>
      <c r="F49" s="131">
        <f>INDEX('Overdue Actions'!A25:A$31,'Cost Efficiency'!$AO$90)</f>
        <v>6</v>
      </c>
      <c r="G49" s="131" t="e">
        <f>INDEX('Overdue Actions'!B25:B$31,'Cost Efficiency'!$AO$90)</f>
        <v>#REF!</v>
      </c>
      <c r="H49" s="131" t="e">
        <f>INDEX('Overdue Actions'!C25:C$31,'Cost Efficiency'!$AO$90)</f>
        <v>#REF!</v>
      </c>
      <c r="I49" s="131" t="e">
        <f>INDEX('Overdue Actions'!D25:D$31,'Cost Efficiency'!$AO$90)</f>
        <v>#REF!</v>
      </c>
      <c r="J49" s="131" t="e">
        <f>INDEX('Overdue Actions'!E25:E$31,'Cost Efficiency'!$AO$90)</f>
        <v>#REF!</v>
      </c>
      <c r="K49" s="132" t="e">
        <f>INDEX('Overdue Actions'!F25:F$31,'Cost Efficiency'!$AO$90)</f>
        <v>#REF!</v>
      </c>
      <c r="L49" s="132" t="e">
        <f>INDEX('Overdue Actions'!G25:G$31,'Cost Efficiency'!$AO$90)</f>
        <v>#REF!</v>
      </c>
      <c r="M49" s="131" t="e">
        <f>INDEX('Overdue Actions'!H25:H$31,'Cost Efficiency'!$AO$90)</f>
        <v>#REF!</v>
      </c>
      <c r="N49" s="131" t="e">
        <f>INDEX('Overdue Actions'!I25:I$31,'Cost Efficiency'!$AO$90)</f>
        <v>#REF!</v>
      </c>
      <c r="O49" s="133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s="4" customFormat="1" ht="24.95" customHeight="1" x14ac:dyDescent="0.25">
      <c r="A50" s="126"/>
      <c r="B50" s="126"/>
      <c r="C50" s="126"/>
      <c r="D50" s="126"/>
      <c r="E50" s="126"/>
      <c r="F50" s="131">
        <f>INDEX('Overdue Actions'!A26:A$31,'Cost Efficiency'!$AO$90)</f>
        <v>7</v>
      </c>
      <c r="G50" s="131" t="e">
        <f>INDEX('Overdue Actions'!B26:B$31,'Cost Efficiency'!$AO$90)</f>
        <v>#REF!</v>
      </c>
      <c r="H50" s="131" t="e">
        <f>INDEX('Overdue Actions'!C26:C$31,'Cost Efficiency'!$AO$90)</f>
        <v>#REF!</v>
      </c>
      <c r="I50" s="131" t="e">
        <f>INDEX('Overdue Actions'!D26:D$31,'Cost Efficiency'!$AO$90)</f>
        <v>#REF!</v>
      </c>
      <c r="J50" s="131" t="e">
        <f>INDEX('Overdue Actions'!E26:E$31,'Cost Efficiency'!$AO$90)</f>
        <v>#REF!</v>
      </c>
      <c r="K50" s="132" t="e">
        <f>INDEX('Overdue Actions'!F26:F$31,'Cost Efficiency'!$AO$90)</f>
        <v>#REF!</v>
      </c>
      <c r="L50" s="132" t="e">
        <f>INDEX('Overdue Actions'!G26:G$31,'Cost Efficiency'!$AO$90)</f>
        <v>#REF!</v>
      </c>
      <c r="M50" s="131" t="e">
        <f>INDEX('Overdue Actions'!H26:H$31,'Cost Efficiency'!$AO$90)</f>
        <v>#REF!</v>
      </c>
      <c r="N50" s="131" t="e">
        <f>INDEX('Overdue Actions'!I26:I$31,'Cost Efficiency'!$AO$90)</f>
        <v>#REF!</v>
      </c>
      <c r="O50" s="133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s="4" customFormat="1" ht="24.95" customHeight="1" x14ac:dyDescent="0.25">
      <c r="A51" s="126"/>
      <c r="B51" s="126"/>
      <c r="C51" s="126"/>
      <c r="D51" s="126"/>
      <c r="E51" s="126"/>
      <c r="F51" s="131">
        <f>INDEX('Overdue Actions'!A27:A$31,'Cost Efficiency'!$AO$90)</f>
        <v>8</v>
      </c>
      <c r="G51" s="131" t="e">
        <f>INDEX('Overdue Actions'!B27:B$31,'Cost Efficiency'!$AO$90)</f>
        <v>#REF!</v>
      </c>
      <c r="H51" s="131" t="e">
        <f>INDEX('Overdue Actions'!C27:C$31,'Cost Efficiency'!$AO$90)</f>
        <v>#REF!</v>
      </c>
      <c r="I51" s="131" t="e">
        <f>INDEX('Overdue Actions'!D27:D$31,'Cost Efficiency'!$AO$90)</f>
        <v>#REF!</v>
      </c>
      <c r="J51" s="131" t="e">
        <f>INDEX('Overdue Actions'!E27:E$31,'Cost Efficiency'!$AO$90)</f>
        <v>#REF!</v>
      </c>
      <c r="K51" s="132" t="e">
        <f>INDEX('Overdue Actions'!F27:F$31,'Cost Efficiency'!$AO$90)</f>
        <v>#REF!</v>
      </c>
      <c r="L51" s="132" t="e">
        <f>INDEX('Overdue Actions'!G27:G$31,'Cost Efficiency'!$AO$90)</f>
        <v>#REF!</v>
      </c>
      <c r="M51" s="131" t="e">
        <f>INDEX('Overdue Actions'!H27:H$31,'Cost Efficiency'!$AO$90)</f>
        <v>#REF!</v>
      </c>
      <c r="N51" s="131" t="e">
        <f>INDEX('Overdue Actions'!I27:I$31,'Cost Efficiency'!$AO$90)</f>
        <v>#REF!</v>
      </c>
      <c r="O51" s="133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s="4" customFormat="1" ht="24.95" customHeight="1" x14ac:dyDescent="0.25">
      <c r="A52" s="126"/>
      <c r="B52" s="126"/>
      <c r="C52" s="126"/>
      <c r="D52" s="126"/>
      <c r="E52" s="126"/>
      <c r="F52" s="131">
        <f>INDEX('Overdue Actions'!A28:A$31,'Cost Efficiency'!$AO$90)</f>
        <v>9</v>
      </c>
      <c r="G52" s="131" t="e">
        <f>INDEX('Overdue Actions'!B28:B$31,'Cost Efficiency'!$AO$90)</f>
        <v>#REF!</v>
      </c>
      <c r="H52" s="131" t="e">
        <f>INDEX('Overdue Actions'!C28:C$31,'Cost Efficiency'!$AO$90)</f>
        <v>#REF!</v>
      </c>
      <c r="I52" s="131" t="e">
        <f>INDEX('Overdue Actions'!D28:D$31,'Cost Efficiency'!$AO$90)</f>
        <v>#REF!</v>
      </c>
      <c r="J52" s="131" t="e">
        <f>INDEX('Overdue Actions'!E28:E$31,'Cost Efficiency'!$AO$90)</f>
        <v>#REF!</v>
      </c>
      <c r="K52" s="132" t="e">
        <f>INDEX('Overdue Actions'!F28:F$31,'Cost Efficiency'!$AO$90)</f>
        <v>#REF!</v>
      </c>
      <c r="L52" s="132" t="e">
        <f>INDEX('Overdue Actions'!G28:G$31,'Cost Efficiency'!$AO$90)</f>
        <v>#REF!</v>
      </c>
      <c r="M52" s="131" t="e">
        <f>INDEX('Overdue Actions'!H28:H$31,'Cost Efficiency'!$AO$90)</f>
        <v>#REF!</v>
      </c>
      <c r="N52" s="131" t="e">
        <f>INDEX('Overdue Actions'!I28:I$31,'Cost Efficiency'!$AO$90)</f>
        <v>#REF!</v>
      </c>
      <c r="O52" s="133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s="4" customFormat="1" ht="24.95" customHeight="1" x14ac:dyDescent="0.25">
      <c r="A53" s="126"/>
      <c r="B53" s="126"/>
      <c r="C53" s="126"/>
      <c r="D53" s="126"/>
      <c r="E53" s="126"/>
      <c r="F53" s="131">
        <f>INDEX('Overdue Actions'!A29:A$31,'Cost Efficiency'!$AO$90)</f>
        <v>10</v>
      </c>
      <c r="G53" s="131" t="e">
        <f>INDEX('Overdue Actions'!B29:B$31,'Cost Efficiency'!$AO$90)</f>
        <v>#REF!</v>
      </c>
      <c r="H53" s="131" t="e">
        <f>INDEX('Overdue Actions'!C29:C$31,'Cost Efficiency'!$AO$90)</f>
        <v>#REF!</v>
      </c>
      <c r="I53" s="131" t="e">
        <f>INDEX('Overdue Actions'!D29:D$31,'Cost Efficiency'!$AO$90)</f>
        <v>#REF!</v>
      </c>
      <c r="J53" s="131" t="e">
        <f>INDEX('Overdue Actions'!E29:E$31,'Cost Efficiency'!$AO$90)</f>
        <v>#REF!</v>
      </c>
      <c r="K53" s="132" t="e">
        <f>INDEX('Overdue Actions'!F29:F$31,'Cost Efficiency'!$AO$90)</f>
        <v>#REF!</v>
      </c>
      <c r="L53" s="132" t="e">
        <f>INDEX('Overdue Actions'!G29:G$31,'Cost Efficiency'!$AO$90)</f>
        <v>#REF!</v>
      </c>
      <c r="M53" s="131" t="e">
        <f>INDEX('Overdue Actions'!H29:H$31,'Cost Efficiency'!$AO$90)</f>
        <v>#REF!</v>
      </c>
      <c r="N53" s="131" t="e">
        <f>INDEX('Overdue Actions'!I29:I$31,'Cost Efficiency'!$AO$90)</f>
        <v>#REF!</v>
      </c>
      <c r="O53" s="133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x14ac:dyDescent="0.25">
      <c r="A54" s="104"/>
      <c r="B54" s="104"/>
      <c r="C54" s="104"/>
      <c r="D54" s="104"/>
      <c r="E54" s="104"/>
      <c r="F54" s="118"/>
      <c r="G54" s="118"/>
      <c r="H54" s="118"/>
      <c r="I54" s="118"/>
      <c r="J54" s="118"/>
      <c r="K54" s="120"/>
      <c r="L54" s="120"/>
      <c r="M54" s="118"/>
      <c r="N54" s="118"/>
      <c r="O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</row>
    <row r="55" spans="1:40" x14ac:dyDescent="0.25">
      <c r="A55" s="104"/>
      <c r="B55" s="104"/>
      <c r="C55" s="104"/>
      <c r="D55" s="104"/>
      <c r="E55" s="104"/>
      <c r="F55" s="118"/>
      <c r="G55" s="118"/>
      <c r="H55" s="118"/>
      <c r="I55" s="118"/>
      <c r="J55" s="118"/>
      <c r="K55" s="120"/>
      <c r="L55" s="120"/>
      <c r="M55" s="118"/>
      <c r="N55" s="118"/>
      <c r="O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spans="1:40" x14ac:dyDescent="0.25">
      <c r="A56" s="104"/>
      <c r="B56" s="104"/>
      <c r="C56" s="104"/>
      <c r="D56" s="104"/>
      <c r="E56" s="104"/>
      <c r="F56" s="118"/>
      <c r="G56" s="118"/>
      <c r="H56" s="118"/>
      <c r="I56" s="118"/>
      <c r="J56" s="118"/>
      <c r="K56" s="120"/>
      <c r="L56" s="120"/>
      <c r="M56" s="118"/>
      <c r="N56" s="118"/>
      <c r="O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</row>
    <row r="57" spans="1:40" x14ac:dyDescent="0.25">
      <c r="A57" s="104"/>
      <c r="B57" s="104"/>
      <c r="C57" s="104"/>
      <c r="D57" s="104"/>
      <c r="E57" s="104"/>
      <c r="F57" s="118"/>
      <c r="G57" s="118"/>
      <c r="H57" s="118"/>
      <c r="I57" s="118"/>
      <c r="J57" s="118"/>
      <c r="K57" s="120"/>
      <c r="L57" s="120"/>
      <c r="M57" s="118"/>
      <c r="N57" s="118"/>
      <c r="O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</row>
    <row r="58" spans="1:40" x14ac:dyDescent="0.25">
      <c r="A58" s="104"/>
      <c r="B58" s="104"/>
      <c r="C58" s="104"/>
      <c r="D58" s="104"/>
      <c r="E58" s="104"/>
      <c r="F58" s="118"/>
      <c r="G58" s="118"/>
      <c r="H58" s="118"/>
      <c r="I58" s="118"/>
      <c r="J58" s="118"/>
      <c r="K58" s="120"/>
      <c r="L58" s="120"/>
      <c r="M58" s="118"/>
      <c r="N58" s="118"/>
      <c r="O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</row>
    <row r="59" spans="1:40" x14ac:dyDescent="0.25">
      <c r="A59" s="104"/>
      <c r="B59" s="104"/>
      <c r="C59" s="104"/>
      <c r="D59" s="104"/>
      <c r="E59" s="104"/>
      <c r="F59" s="118"/>
      <c r="G59" s="118"/>
      <c r="H59" s="118"/>
      <c r="I59" s="118"/>
      <c r="J59" s="118"/>
      <c r="K59" s="120"/>
      <c r="L59" s="120"/>
      <c r="M59" s="118"/>
      <c r="N59" s="118"/>
      <c r="O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</row>
    <row r="60" spans="1:40" x14ac:dyDescent="0.25">
      <c r="A60" s="104"/>
      <c r="B60" s="104"/>
      <c r="C60" s="104"/>
      <c r="D60" s="104"/>
      <c r="E60" s="104"/>
      <c r="F60" s="118"/>
      <c r="G60" s="118"/>
      <c r="H60" s="118"/>
      <c r="I60" s="118"/>
      <c r="J60" s="118"/>
      <c r="K60" s="120"/>
      <c r="L60" s="120"/>
      <c r="M60" s="120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spans="1:40" x14ac:dyDescent="0.25">
      <c r="A61" s="104"/>
      <c r="B61" s="104"/>
      <c r="C61" s="104"/>
      <c r="D61" s="104"/>
      <c r="E61" s="104"/>
      <c r="F61" s="118"/>
      <c r="G61" s="118"/>
      <c r="H61" s="118"/>
      <c r="I61" s="118"/>
      <c r="J61" s="118"/>
      <c r="K61" s="120"/>
      <c r="L61" s="120"/>
      <c r="M61" s="120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</row>
    <row r="62" spans="1:40" x14ac:dyDescent="0.25">
      <c r="A62" s="104"/>
      <c r="B62" s="104"/>
      <c r="C62" s="104"/>
      <c r="D62" s="104"/>
      <c r="E62" s="104"/>
      <c r="F62" s="118"/>
      <c r="G62" s="118"/>
      <c r="H62" s="118"/>
      <c r="I62" s="118"/>
      <c r="J62" s="118"/>
      <c r="K62" s="120"/>
      <c r="L62" s="120"/>
      <c r="M62" s="120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</row>
    <row r="63" spans="1:40" x14ac:dyDescent="0.25">
      <c r="A63" s="104"/>
      <c r="B63" s="104"/>
      <c r="C63" s="104"/>
      <c r="D63" s="104"/>
      <c r="E63" s="104"/>
      <c r="F63" s="118"/>
      <c r="G63" s="118"/>
      <c r="H63" s="118"/>
      <c r="I63" s="118"/>
      <c r="J63" s="118"/>
      <c r="K63" s="120"/>
      <c r="L63" s="120"/>
      <c r="M63" s="120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</row>
    <row r="64" spans="1:40" x14ac:dyDescent="0.25">
      <c r="A64" s="104"/>
      <c r="B64" s="104"/>
      <c r="C64" s="104"/>
      <c r="D64" s="104"/>
      <c r="E64" s="104"/>
      <c r="F64" s="118"/>
      <c r="G64" s="118"/>
      <c r="H64" s="118"/>
      <c r="I64" s="118"/>
      <c r="J64" s="118"/>
      <c r="K64" s="120"/>
      <c r="L64" s="120"/>
      <c r="M64" s="120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</row>
    <row r="65" spans="1:40" x14ac:dyDescent="0.25">
      <c r="A65" s="104"/>
      <c r="B65" s="104"/>
      <c r="C65" s="104"/>
      <c r="D65" s="104"/>
      <c r="E65" s="104"/>
      <c r="F65" s="118"/>
      <c r="G65" s="118"/>
      <c r="H65" s="118"/>
      <c r="I65" s="118"/>
      <c r="J65" s="118"/>
      <c r="K65" s="120"/>
      <c r="L65" s="120"/>
      <c r="M65" s="120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</row>
    <row r="66" spans="1:40" x14ac:dyDescent="0.25">
      <c r="A66" s="104"/>
      <c r="B66" s="104"/>
      <c r="C66" s="104"/>
      <c r="D66" s="104"/>
      <c r="E66" s="104"/>
    </row>
    <row r="67" spans="1:40" x14ac:dyDescent="0.25">
      <c r="A67" s="104"/>
      <c r="B67" s="104"/>
      <c r="C67" s="104"/>
      <c r="D67" s="104"/>
      <c r="E67" s="104"/>
    </row>
    <row r="90" spans="41:41" x14ac:dyDescent="0.25">
      <c r="AO90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F45:F53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croll Bar 1">
              <controlPr defaultSize="0" autoPict="0">
                <anchor moveWithCells="1">
                  <from>
                    <xdr:col>15</xdr:col>
                    <xdr:colOff>95250</xdr:colOff>
                    <xdr:row>41</xdr:row>
                    <xdr:rowOff>180975</xdr:rowOff>
                  </from>
                  <to>
                    <xdr:col>15</xdr:col>
                    <xdr:colOff>295275</xdr:colOff>
                    <xdr:row>52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2E8B-EB9B-4B5F-9468-08475666B913}">
  <sheetPr codeName="Sheet13">
    <tabColor theme="8"/>
    <pageSetUpPr autoPageBreaks="0"/>
  </sheetPr>
  <dimension ref="A1:AO90"/>
  <sheetViews>
    <sheetView showGridLines="0" zoomScale="70" zoomScaleNormal="70" zoomScaleSheetLayoutView="75" workbookViewId="0">
      <selection activeCell="E44" sqref="E44:O53"/>
    </sheetView>
  </sheetViews>
  <sheetFormatPr defaultRowHeight="15" x14ac:dyDescent="0.25"/>
  <cols>
    <col min="5" max="5" width="13.85546875" customWidth="1"/>
    <col min="6" max="6" width="3.5703125" bestFit="1" customWidth="1"/>
    <col min="7" max="7" width="19" bestFit="1" customWidth="1"/>
    <col min="8" max="8" width="73.140625" customWidth="1"/>
    <col min="9" max="9" width="185.28515625" bestFit="1" customWidth="1"/>
    <col min="10" max="10" width="33.5703125" bestFit="1" customWidth="1"/>
    <col min="11" max="11" width="10.85546875" style="100" bestFit="1" customWidth="1"/>
    <col min="12" max="12" width="12" style="100" bestFit="1" customWidth="1"/>
    <col min="13" max="13" width="8.85546875" style="100" customWidth="1"/>
    <col min="14" max="14" width="17.7109375" bestFit="1" customWidth="1"/>
  </cols>
  <sheetData>
    <row r="1" spans="1:40" x14ac:dyDescent="0.25">
      <c r="A1" s="104"/>
      <c r="B1" s="104"/>
      <c r="C1" s="104"/>
      <c r="D1" s="104"/>
      <c r="E1" s="104"/>
      <c r="F1" s="117"/>
      <c r="G1" s="117"/>
      <c r="H1" s="117"/>
      <c r="I1" s="117"/>
      <c r="J1" s="117"/>
      <c r="K1" s="119"/>
      <c r="L1" s="119"/>
      <c r="M1" s="119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</row>
    <row r="2" spans="1:40" x14ac:dyDescent="0.25">
      <c r="A2" s="104"/>
      <c r="B2" s="104"/>
      <c r="C2" s="104"/>
      <c r="D2" s="104"/>
      <c r="E2" s="104"/>
      <c r="F2" s="117"/>
      <c r="G2" s="117"/>
      <c r="H2" s="117"/>
      <c r="I2" s="117"/>
      <c r="J2" s="117"/>
      <c r="K2" s="119"/>
      <c r="L2" s="119"/>
      <c r="M2" s="11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</row>
    <row r="3" spans="1:40" x14ac:dyDescent="0.25">
      <c r="A3" s="104"/>
      <c r="B3" s="104"/>
      <c r="C3" s="104"/>
      <c r="D3" s="104"/>
      <c r="E3" s="104"/>
      <c r="F3" s="117"/>
      <c r="G3" s="117"/>
      <c r="H3" s="117"/>
      <c r="I3" s="117"/>
      <c r="J3" s="117"/>
      <c r="K3" s="119"/>
      <c r="L3" s="119"/>
      <c r="M3" s="119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</row>
    <row r="4" spans="1:40" x14ac:dyDescent="0.25">
      <c r="A4" s="104"/>
      <c r="B4" s="104"/>
      <c r="C4" s="104"/>
      <c r="D4" s="104"/>
      <c r="E4" s="104"/>
      <c r="F4" s="117"/>
      <c r="G4" s="117"/>
      <c r="H4" s="117"/>
      <c r="I4" s="117"/>
      <c r="J4" s="117"/>
      <c r="K4" s="119"/>
      <c r="L4" s="119"/>
      <c r="M4" s="119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</row>
    <row r="5" spans="1:40" x14ac:dyDescent="0.25">
      <c r="A5" s="104"/>
      <c r="B5" s="104"/>
      <c r="C5" s="104"/>
      <c r="D5" s="104"/>
      <c r="E5" s="104"/>
      <c r="F5" s="117"/>
      <c r="G5" s="117"/>
      <c r="H5" s="117"/>
      <c r="I5" s="117"/>
      <c r="J5" s="117"/>
      <c r="K5" s="119"/>
      <c r="L5" s="119"/>
      <c r="M5" s="119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1:40" x14ac:dyDescent="0.25">
      <c r="A6" s="104"/>
      <c r="B6" s="104"/>
      <c r="C6" s="104"/>
      <c r="D6" s="104"/>
      <c r="E6" s="104"/>
      <c r="F6" s="117"/>
      <c r="G6" s="117"/>
      <c r="H6" s="117"/>
      <c r="I6" s="117"/>
      <c r="J6" s="117"/>
      <c r="K6" s="119"/>
      <c r="L6" s="119"/>
      <c r="M6" s="119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</row>
    <row r="7" spans="1:40" x14ac:dyDescent="0.25">
      <c r="A7" s="104"/>
      <c r="B7" s="104"/>
      <c r="C7" s="104"/>
      <c r="D7" s="104"/>
      <c r="E7" s="104"/>
      <c r="F7" s="118"/>
      <c r="G7" s="118"/>
      <c r="H7" s="118"/>
      <c r="I7" s="118"/>
      <c r="J7" s="118"/>
      <c r="K7" s="120"/>
      <c r="L7" s="120"/>
      <c r="M7" s="120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spans="1:40" x14ac:dyDescent="0.25">
      <c r="A8" s="104"/>
      <c r="B8" s="104"/>
      <c r="C8" s="104"/>
      <c r="D8" s="104"/>
      <c r="E8" s="104"/>
      <c r="F8" s="118"/>
      <c r="G8" s="118"/>
      <c r="H8" s="118"/>
      <c r="I8" s="118"/>
      <c r="J8" s="118"/>
      <c r="K8" s="120"/>
      <c r="L8" s="120"/>
      <c r="M8" s="120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</row>
    <row r="9" spans="1:40" x14ac:dyDescent="0.25">
      <c r="A9" s="104"/>
      <c r="B9" s="104"/>
      <c r="C9" s="104"/>
      <c r="D9" s="104"/>
      <c r="E9" s="104"/>
      <c r="F9" s="118"/>
      <c r="G9" s="118"/>
      <c r="H9" s="118"/>
      <c r="I9" s="118"/>
      <c r="J9" s="118"/>
      <c r="K9" s="120"/>
      <c r="L9" s="120"/>
      <c r="M9" s="120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x14ac:dyDescent="0.25">
      <c r="A10" s="104"/>
      <c r="B10" s="104"/>
      <c r="C10" s="104"/>
      <c r="D10" s="104"/>
      <c r="E10" s="104"/>
      <c r="F10" s="118"/>
      <c r="G10" s="118"/>
      <c r="H10" s="118"/>
      <c r="I10" s="118"/>
      <c r="J10" s="118"/>
      <c r="K10" s="120"/>
      <c r="L10" s="120"/>
      <c r="M10" s="120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</row>
    <row r="11" spans="1:40" x14ac:dyDescent="0.25">
      <c r="A11" s="104"/>
      <c r="B11" s="104"/>
      <c r="C11" s="104"/>
      <c r="D11" s="104"/>
      <c r="E11" s="104"/>
      <c r="F11" s="118"/>
      <c r="G11" s="118"/>
      <c r="H11" s="118"/>
      <c r="I11" s="118"/>
      <c r="J11" s="118"/>
      <c r="K11" s="120"/>
      <c r="L11" s="120"/>
      <c r="M11" s="120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</row>
    <row r="12" spans="1:40" x14ac:dyDescent="0.25">
      <c r="A12" s="104"/>
      <c r="B12" s="104"/>
      <c r="C12" s="104"/>
      <c r="D12" s="104"/>
      <c r="E12" s="104"/>
      <c r="F12" s="118"/>
      <c r="G12" s="118"/>
      <c r="H12" s="118"/>
      <c r="I12" s="118"/>
      <c r="J12" s="118"/>
      <c r="K12" s="120"/>
      <c r="L12" s="120"/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0" x14ac:dyDescent="0.25">
      <c r="A13" s="104"/>
      <c r="B13" s="104"/>
      <c r="C13" s="104"/>
      <c r="D13" s="104"/>
      <c r="E13" s="104"/>
      <c r="F13" s="118"/>
      <c r="G13" s="118"/>
      <c r="H13" s="118"/>
      <c r="I13" s="118"/>
      <c r="J13" s="118"/>
      <c r="K13" s="120"/>
      <c r="L13" s="120"/>
      <c r="M13" s="120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0" x14ac:dyDescent="0.25">
      <c r="A14" s="104"/>
      <c r="B14" s="104"/>
      <c r="C14" s="104"/>
      <c r="D14" s="104"/>
      <c r="E14" s="104"/>
      <c r="F14" s="118"/>
      <c r="G14" s="118"/>
      <c r="H14" s="118"/>
      <c r="I14" s="118"/>
      <c r="J14" s="118"/>
      <c r="K14" s="120"/>
      <c r="L14" s="120"/>
      <c r="M14" s="120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</row>
    <row r="15" spans="1:40" x14ac:dyDescent="0.25">
      <c r="A15" s="104"/>
      <c r="B15" s="104"/>
      <c r="C15" s="104"/>
      <c r="D15" s="104"/>
      <c r="E15" s="104"/>
      <c r="F15" s="118"/>
      <c r="G15" s="118"/>
      <c r="H15" s="118"/>
      <c r="I15" s="118"/>
      <c r="J15" s="118"/>
      <c r="K15" s="120"/>
      <c r="L15" s="120"/>
      <c r="M15" s="120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</row>
    <row r="16" spans="1:40" x14ac:dyDescent="0.25">
      <c r="A16" s="104"/>
      <c r="B16" s="104"/>
      <c r="C16" s="104"/>
      <c r="D16" s="104"/>
      <c r="E16" s="104"/>
      <c r="F16" s="118"/>
      <c r="G16" s="118"/>
      <c r="H16" s="118"/>
      <c r="I16" s="118"/>
      <c r="J16" s="118"/>
      <c r="K16" s="120"/>
      <c r="L16" s="120"/>
      <c r="M16" s="120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</row>
    <row r="17" spans="1:40" x14ac:dyDescent="0.25">
      <c r="A17" s="104"/>
      <c r="B17" s="104"/>
      <c r="C17" s="104"/>
      <c r="D17" s="104"/>
      <c r="E17" s="104"/>
      <c r="F17" s="118"/>
      <c r="G17" s="118"/>
      <c r="H17" s="118"/>
      <c r="I17" s="118"/>
      <c r="J17" s="118"/>
      <c r="K17" s="120"/>
      <c r="L17" s="120"/>
      <c r="M17" s="120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</row>
    <row r="18" spans="1:40" x14ac:dyDescent="0.25">
      <c r="A18" s="104"/>
      <c r="B18" s="104"/>
      <c r="C18" s="104"/>
      <c r="D18" s="104"/>
      <c r="E18" s="104"/>
      <c r="F18" s="118"/>
      <c r="G18" s="118"/>
      <c r="H18" s="118"/>
      <c r="I18" s="118"/>
      <c r="J18" s="118"/>
      <c r="K18" s="120"/>
      <c r="L18" s="120"/>
      <c r="M18" s="120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</row>
    <row r="19" spans="1:40" x14ac:dyDescent="0.25">
      <c r="A19" s="104"/>
      <c r="B19" s="104"/>
      <c r="C19" s="104"/>
      <c r="D19" s="104"/>
      <c r="E19" s="104"/>
      <c r="F19" s="118"/>
      <c r="G19" s="118"/>
      <c r="H19" s="118"/>
      <c r="I19" s="118"/>
      <c r="J19" s="118"/>
      <c r="K19" s="120"/>
      <c r="L19" s="120"/>
      <c r="M19" s="120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</row>
    <row r="20" spans="1:40" x14ac:dyDescent="0.25">
      <c r="A20" s="104"/>
      <c r="B20" s="104"/>
      <c r="C20" s="104"/>
      <c r="D20" s="104"/>
      <c r="E20" s="104"/>
      <c r="F20" s="118"/>
      <c r="G20" s="118"/>
      <c r="H20" s="118"/>
      <c r="I20" s="118"/>
      <c r="J20" s="118"/>
      <c r="K20" s="120"/>
      <c r="L20" s="120"/>
      <c r="M20" s="120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</row>
    <row r="21" spans="1:40" x14ac:dyDescent="0.25">
      <c r="A21" s="104"/>
      <c r="B21" s="104"/>
      <c r="C21" s="104"/>
      <c r="D21" s="104"/>
      <c r="E21" s="104"/>
      <c r="F21" s="118"/>
      <c r="G21" s="118"/>
      <c r="H21" s="118"/>
      <c r="I21" s="118"/>
      <c r="J21" s="118"/>
      <c r="K21" s="120"/>
      <c r="L21" s="120"/>
      <c r="M21" s="120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x14ac:dyDescent="0.25">
      <c r="A22" s="104"/>
      <c r="B22" s="104"/>
      <c r="C22" s="104"/>
      <c r="D22" s="104"/>
      <c r="E22" s="104"/>
      <c r="F22" s="118"/>
      <c r="G22" s="118"/>
      <c r="H22" s="118"/>
      <c r="I22" s="118"/>
      <c r="J22" s="118"/>
      <c r="K22" s="120"/>
      <c r="L22" s="120"/>
      <c r="M22" s="120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</row>
    <row r="23" spans="1:40" x14ac:dyDescent="0.25">
      <c r="A23" s="104"/>
      <c r="B23" s="104"/>
      <c r="C23" s="104"/>
      <c r="D23" s="104"/>
      <c r="E23" s="104"/>
      <c r="F23" s="118"/>
      <c r="G23" s="118"/>
      <c r="H23" s="118"/>
      <c r="I23" s="118"/>
      <c r="J23" s="118"/>
      <c r="K23" s="120"/>
      <c r="L23" s="120"/>
      <c r="M23" s="120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</row>
    <row r="24" spans="1:40" x14ac:dyDescent="0.25">
      <c r="A24" s="104"/>
      <c r="B24" s="104"/>
      <c r="C24" s="104"/>
      <c r="D24" s="104"/>
      <c r="E24" s="104"/>
      <c r="F24" s="118"/>
      <c r="G24" s="118"/>
      <c r="H24" s="118"/>
      <c r="I24" s="118"/>
      <c r="J24" s="118"/>
      <c r="K24" s="120"/>
      <c r="L24" s="120"/>
      <c r="M24" s="120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</row>
    <row r="25" spans="1:40" x14ac:dyDescent="0.25">
      <c r="A25" s="104"/>
      <c r="B25" s="104"/>
      <c r="C25" s="104"/>
      <c r="D25" s="104"/>
      <c r="E25" s="104"/>
      <c r="F25" s="118"/>
      <c r="G25" s="118"/>
      <c r="H25" s="118"/>
      <c r="I25" s="118"/>
      <c r="J25" s="118"/>
      <c r="K25" s="120"/>
      <c r="L25" s="120"/>
      <c r="M25" s="120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spans="1:40" x14ac:dyDescent="0.25">
      <c r="A26" s="104"/>
      <c r="B26" s="104"/>
      <c r="C26" s="104"/>
      <c r="D26" s="104"/>
      <c r="E26" s="104"/>
      <c r="F26" s="118"/>
      <c r="G26" s="118"/>
      <c r="H26" s="118"/>
      <c r="I26" s="118"/>
      <c r="J26" s="118"/>
      <c r="K26" s="120"/>
      <c r="L26" s="120"/>
      <c r="M26" s="12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1:40" x14ac:dyDescent="0.25">
      <c r="A27" s="104"/>
      <c r="B27" s="104"/>
      <c r="C27" s="104"/>
      <c r="D27" s="104"/>
      <c r="E27" s="104"/>
      <c r="F27" s="118"/>
      <c r="G27" s="118"/>
      <c r="H27" s="118"/>
      <c r="I27" s="118"/>
      <c r="J27" s="118"/>
      <c r="K27" s="120"/>
      <c r="L27" s="120"/>
      <c r="M27" s="120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</row>
    <row r="28" spans="1:40" x14ac:dyDescent="0.25">
      <c r="A28" s="104"/>
      <c r="B28" s="104"/>
      <c r="C28" s="104"/>
      <c r="D28" s="104"/>
      <c r="E28" s="104"/>
      <c r="F28" s="118"/>
      <c r="G28" s="118"/>
      <c r="H28" s="118"/>
      <c r="I28" s="118"/>
      <c r="J28" s="118"/>
      <c r="K28" s="120"/>
      <c r="L28" s="120"/>
      <c r="M28" s="120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spans="1:40" x14ac:dyDescent="0.25">
      <c r="A29" s="104"/>
      <c r="B29" s="104"/>
      <c r="C29" s="104"/>
      <c r="D29" s="104"/>
      <c r="E29" s="104"/>
      <c r="F29" s="118"/>
      <c r="G29" s="118"/>
      <c r="H29" s="118"/>
      <c r="I29" s="118"/>
      <c r="J29" s="118"/>
      <c r="K29" s="120"/>
      <c r="L29" s="120"/>
      <c r="M29" s="120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</row>
    <row r="30" spans="1:40" x14ac:dyDescent="0.25">
      <c r="A30" s="104"/>
      <c r="B30" s="104"/>
      <c r="C30" s="104"/>
      <c r="D30" s="104"/>
      <c r="E30" s="104"/>
      <c r="F30" s="118"/>
      <c r="G30" s="118"/>
      <c r="H30" s="118"/>
      <c r="I30" s="118"/>
      <c r="J30" s="118"/>
      <c r="K30" s="120"/>
      <c r="L30" s="120"/>
      <c r="M30" s="120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spans="1:40" x14ac:dyDescent="0.25">
      <c r="A31" s="104"/>
      <c r="B31" s="104"/>
      <c r="C31" s="104"/>
      <c r="D31" s="104"/>
      <c r="E31" s="104"/>
      <c r="F31" s="118"/>
      <c r="G31" s="118"/>
      <c r="H31" s="118"/>
      <c r="I31" s="118"/>
      <c r="J31" s="118"/>
      <c r="K31" s="120"/>
      <c r="L31" s="120"/>
      <c r="M31" s="120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</row>
    <row r="32" spans="1:40" x14ac:dyDescent="0.25">
      <c r="A32" s="104"/>
      <c r="B32" s="104"/>
      <c r="C32" s="104"/>
      <c r="D32" s="104"/>
      <c r="E32" s="104"/>
      <c r="F32" s="118"/>
      <c r="G32" s="118"/>
      <c r="H32" s="118"/>
      <c r="I32" s="118"/>
      <c r="J32" s="118"/>
      <c r="K32" s="120"/>
      <c r="L32" s="120"/>
      <c r="M32" s="120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</row>
    <row r="33" spans="1:40" x14ac:dyDescent="0.25">
      <c r="A33" s="104"/>
      <c r="B33" s="104"/>
      <c r="C33" s="104"/>
      <c r="D33" s="104"/>
      <c r="E33" s="104"/>
      <c r="F33" s="118"/>
      <c r="G33" s="118"/>
      <c r="H33" s="118"/>
      <c r="I33" s="118"/>
      <c r="J33" s="118"/>
      <c r="K33" s="120"/>
      <c r="L33" s="120"/>
      <c r="M33" s="120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</row>
    <row r="34" spans="1:40" x14ac:dyDescent="0.25">
      <c r="A34" s="104"/>
      <c r="B34" s="104"/>
      <c r="C34" s="104"/>
      <c r="D34" s="104"/>
      <c r="E34" s="104"/>
      <c r="F34" s="118"/>
      <c r="G34" s="118"/>
      <c r="H34" s="118"/>
      <c r="I34" s="118"/>
      <c r="J34" s="118"/>
      <c r="K34" s="120"/>
      <c r="L34" s="120"/>
      <c r="M34" s="120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</row>
    <row r="35" spans="1:40" x14ac:dyDescent="0.25">
      <c r="A35" s="104"/>
      <c r="B35" s="104"/>
      <c r="C35" s="104"/>
      <c r="D35" s="104"/>
      <c r="E35" s="104"/>
      <c r="F35" s="118"/>
      <c r="G35" s="118"/>
      <c r="H35" s="118"/>
      <c r="I35" s="118"/>
      <c r="J35" s="118"/>
      <c r="K35" s="120"/>
      <c r="L35" s="120"/>
      <c r="M35" s="120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</row>
    <row r="36" spans="1:40" x14ac:dyDescent="0.25">
      <c r="A36" s="104"/>
      <c r="B36" s="104"/>
      <c r="C36" s="104"/>
      <c r="D36" s="104"/>
      <c r="E36" s="104"/>
      <c r="F36" s="118"/>
      <c r="G36" s="118"/>
      <c r="H36" s="118"/>
      <c r="I36" s="118"/>
      <c r="J36" s="118"/>
      <c r="K36" s="120"/>
      <c r="L36" s="120"/>
      <c r="M36" s="120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</row>
    <row r="37" spans="1:40" x14ac:dyDescent="0.25">
      <c r="A37" s="104"/>
      <c r="B37" s="104"/>
      <c r="C37" s="104"/>
      <c r="D37" s="104"/>
      <c r="E37" s="104"/>
      <c r="F37" s="118"/>
      <c r="G37" s="118"/>
      <c r="H37" s="118"/>
      <c r="I37" s="118"/>
      <c r="J37" s="118"/>
      <c r="K37" s="120"/>
      <c r="L37" s="120"/>
      <c r="M37" s="120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spans="1:40" x14ac:dyDescent="0.25">
      <c r="A38" s="104"/>
      <c r="B38" s="104"/>
      <c r="C38" s="104"/>
      <c r="D38" s="104"/>
      <c r="E38" s="104"/>
      <c r="F38" s="118"/>
      <c r="G38" s="118"/>
      <c r="H38" s="118"/>
      <c r="I38" s="118"/>
      <c r="J38" s="118"/>
      <c r="K38" s="120"/>
      <c r="L38" s="120"/>
      <c r="M38" s="120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spans="1:40" x14ac:dyDescent="0.25">
      <c r="A39" s="104"/>
      <c r="B39" s="104"/>
      <c r="C39" s="104"/>
      <c r="D39" s="104"/>
      <c r="E39" s="104"/>
      <c r="F39" s="118"/>
      <c r="G39" s="118"/>
      <c r="H39" s="118"/>
      <c r="I39" s="118"/>
      <c r="J39" s="118"/>
      <c r="K39" s="120"/>
      <c r="L39" s="120"/>
      <c r="M39" s="12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</row>
    <row r="40" spans="1:40" x14ac:dyDescent="0.25">
      <c r="A40" s="104"/>
      <c r="B40" s="104"/>
      <c r="C40" s="104"/>
      <c r="D40" s="104"/>
      <c r="E40" s="104"/>
      <c r="F40" s="118"/>
      <c r="G40" s="118"/>
      <c r="H40" s="118"/>
      <c r="I40" s="118"/>
      <c r="J40" s="118"/>
      <c r="K40" s="120"/>
      <c r="L40" s="120"/>
      <c r="M40" s="120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spans="1:40" x14ac:dyDescent="0.25">
      <c r="A41" s="104"/>
      <c r="B41" s="104"/>
      <c r="C41" s="104"/>
      <c r="D41" s="104"/>
      <c r="E41" s="104"/>
      <c r="F41" s="118"/>
      <c r="G41" s="118"/>
      <c r="H41" s="118"/>
      <c r="I41" s="118"/>
      <c r="J41" s="118"/>
      <c r="K41" s="120"/>
      <c r="L41" s="120"/>
      <c r="M41" s="120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</row>
    <row r="42" spans="1:40" x14ac:dyDescent="0.25">
      <c r="A42" s="104"/>
      <c r="B42" s="104"/>
      <c r="C42" s="104"/>
      <c r="D42" s="104"/>
      <c r="E42" s="104"/>
      <c r="F42" s="118"/>
      <c r="G42" s="118"/>
      <c r="H42" s="118"/>
      <c r="I42" s="118"/>
      <c r="J42" s="118"/>
      <c r="K42" s="120"/>
      <c r="L42" s="120"/>
      <c r="M42" s="120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</row>
    <row r="43" spans="1:40" s="4" customFormat="1" ht="24.95" customHeight="1" x14ac:dyDescent="0.25">
      <c r="A43" s="126"/>
      <c r="B43" s="126"/>
      <c r="C43" s="126"/>
      <c r="D43" s="126"/>
      <c r="E43" s="126"/>
      <c r="F43" s="122" t="e">
        <f>'Overdue Actions'!A1</f>
        <v>#REF!</v>
      </c>
      <c r="G43" s="123" t="e">
        <f>'Overdue Actions'!B1</f>
        <v>#REF!</v>
      </c>
      <c r="H43" s="123" t="e">
        <f>'Overdue Actions'!C1</f>
        <v>#REF!</v>
      </c>
      <c r="I43" s="123" t="e">
        <f>'Overdue Actions'!D1</f>
        <v>#REF!</v>
      </c>
      <c r="J43" s="123" t="e">
        <f>'Overdue Actions'!E1</f>
        <v>#REF!</v>
      </c>
      <c r="K43" s="124" t="e">
        <f>'Overdue Actions'!F1</f>
        <v>#REF!</v>
      </c>
      <c r="L43" s="124" t="str">
        <f>'Overdue Actions'!G1</f>
        <v>ETC</v>
      </c>
      <c r="M43" s="123" t="str">
        <f>'Overdue Actions'!H1</f>
        <v>Overdue</v>
      </c>
      <c r="N43" s="123" t="str">
        <f>'Overdue Actions'!I1</f>
        <v>Completion Status</v>
      </c>
      <c r="O43" s="123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</row>
    <row r="44" spans="1:40" s="4" customFormat="1" ht="24.95" customHeight="1" x14ac:dyDescent="0.25">
      <c r="A44" s="126"/>
      <c r="B44" s="126"/>
      <c r="C44" s="126"/>
      <c r="D44" s="126"/>
      <c r="E44" s="131"/>
      <c r="F44" s="131">
        <f>INDEX('Overdue Actions'!A33:A$105,Sustainability!$AO$90)</f>
        <v>1</v>
      </c>
      <c r="G44" s="131" t="e">
        <f>INDEX('Overdue Actions'!B33:B$105,Sustainability!$AO$90)</f>
        <v>#REF!</v>
      </c>
      <c r="H44" s="131" t="e">
        <f>INDEX('Overdue Actions'!C33:C$105,Sustainability!$AO$90)</f>
        <v>#REF!</v>
      </c>
      <c r="I44" s="131" t="e">
        <f>INDEX('Overdue Actions'!D33:D$105,Sustainability!$AO$90)</f>
        <v>#REF!</v>
      </c>
      <c r="J44" s="131" t="e">
        <f>INDEX('Overdue Actions'!E33:E$105,Sustainability!$AO$90)</f>
        <v>#REF!</v>
      </c>
      <c r="K44" s="131" t="e">
        <f>INDEX('Overdue Actions'!F33:F$105,Sustainability!$AO$90)</f>
        <v>#REF!</v>
      </c>
      <c r="L44" s="131" t="e">
        <f>INDEX('Overdue Actions'!G33:G$105,Sustainability!$AO$90)</f>
        <v>#REF!</v>
      </c>
      <c r="M44" s="131" t="e">
        <f>INDEX('Overdue Actions'!H33:H$105,Sustainability!$AO$90)</f>
        <v>#REF!</v>
      </c>
      <c r="N44" s="131" t="e">
        <f>INDEX('Overdue Actions'!I33:I$105,Sustainability!$AO$90)</f>
        <v>#REF!</v>
      </c>
      <c r="O44" s="13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0" s="4" customFormat="1" ht="24.95" customHeight="1" x14ac:dyDescent="0.25">
      <c r="A45" s="126"/>
      <c r="B45" s="126"/>
      <c r="C45" s="126"/>
      <c r="D45" s="126"/>
      <c r="E45" s="131"/>
      <c r="F45" s="131">
        <f>INDEX('Overdue Actions'!A34:A$105,Sustainability!$AO$90)</f>
        <v>2</v>
      </c>
      <c r="G45" s="131" t="e">
        <f>INDEX('Overdue Actions'!B34:B$105,Sustainability!$AO$90)</f>
        <v>#REF!</v>
      </c>
      <c r="H45" s="131" t="e">
        <f>INDEX('Overdue Actions'!C34:C$105,Sustainability!$AO$90)</f>
        <v>#REF!</v>
      </c>
      <c r="I45" s="131" t="e">
        <f>INDEX('Overdue Actions'!D34:D$105,Sustainability!$AO$90)</f>
        <v>#REF!</v>
      </c>
      <c r="J45" s="131" t="e">
        <f>INDEX('Overdue Actions'!E34:E$105,Sustainability!$AO$90)</f>
        <v>#REF!</v>
      </c>
      <c r="K45" s="131" t="e">
        <f>INDEX('Overdue Actions'!F34:F$105,Sustainability!$AO$90)</f>
        <v>#REF!</v>
      </c>
      <c r="L45" s="131" t="e">
        <f>INDEX('Overdue Actions'!G34:G$105,Sustainability!$AO$90)</f>
        <v>#REF!</v>
      </c>
      <c r="M45" s="131" t="e">
        <f>INDEX('Overdue Actions'!H34:H$105,Sustainability!$AO$90)</f>
        <v>#REF!</v>
      </c>
      <c r="N45" s="131" t="e">
        <f>INDEX('Overdue Actions'!I34:I$105,Sustainability!$AO$90)</f>
        <v>#REF!</v>
      </c>
      <c r="O45" s="13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0" s="4" customFormat="1" ht="24.95" customHeight="1" x14ac:dyDescent="0.25">
      <c r="A46" s="126"/>
      <c r="B46" s="126"/>
      <c r="C46" s="126"/>
      <c r="D46" s="126"/>
      <c r="E46" s="131"/>
      <c r="F46" s="131">
        <f>INDEX('Overdue Actions'!A35:A$105,Sustainability!$AO$90)</f>
        <v>3</v>
      </c>
      <c r="G46" s="131" t="e">
        <f>INDEX('Overdue Actions'!B35:B$105,Sustainability!$AO$90)</f>
        <v>#REF!</v>
      </c>
      <c r="H46" s="131" t="e">
        <f>INDEX('Overdue Actions'!C35:C$105,Sustainability!$AO$90)</f>
        <v>#REF!</v>
      </c>
      <c r="I46" s="131" t="e">
        <f>INDEX('Overdue Actions'!D35:D$105,Sustainability!$AO$90)</f>
        <v>#REF!</v>
      </c>
      <c r="J46" s="131" t="e">
        <f>INDEX('Overdue Actions'!E35:E$105,Sustainability!$AO$90)</f>
        <v>#REF!</v>
      </c>
      <c r="K46" s="131" t="e">
        <f>INDEX('Overdue Actions'!F35:F$105,Sustainability!$AO$90)</f>
        <v>#REF!</v>
      </c>
      <c r="L46" s="131" t="e">
        <f>INDEX('Overdue Actions'!G35:G$105,Sustainability!$AO$90)</f>
        <v>#REF!</v>
      </c>
      <c r="M46" s="131" t="e">
        <f>INDEX('Overdue Actions'!H35:H$105,Sustainability!$AO$90)</f>
        <v>#REF!</v>
      </c>
      <c r="N46" s="131" t="e">
        <f>INDEX('Overdue Actions'!I35:I$105,Sustainability!$AO$90)</f>
        <v>#REF!</v>
      </c>
      <c r="O46" s="13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0" s="4" customFormat="1" ht="24.95" customHeight="1" x14ac:dyDescent="0.25">
      <c r="A47" s="126"/>
      <c r="B47" s="126"/>
      <c r="C47" s="126"/>
      <c r="D47" s="126"/>
      <c r="E47" s="131"/>
      <c r="F47" s="131">
        <f>INDEX('Overdue Actions'!A36:A$105,Sustainability!$AO$90)</f>
        <v>4</v>
      </c>
      <c r="G47" s="131" t="e">
        <f>INDEX('Overdue Actions'!B36:B$105,Sustainability!$AO$90)</f>
        <v>#REF!</v>
      </c>
      <c r="H47" s="131" t="e">
        <f>INDEX('Overdue Actions'!C36:C$105,Sustainability!$AO$90)</f>
        <v>#REF!</v>
      </c>
      <c r="I47" s="131" t="e">
        <f>INDEX('Overdue Actions'!D36:D$105,Sustainability!$AO$90)</f>
        <v>#REF!</v>
      </c>
      <c r="J47" s="131" t="e">
        <f>INDEX('Overdue Actions'!E36:E$105,Sustainability!$AO$90)</f>
        <v>#REF!</v>
      </c>
      <c r="K47" s="131" t="e">
        <f>INDEX('Overdue Actions'!F36:F$105,Sustainability!$AO$90)</f>
        <v>#REF!</v>
      </c>
      <c r="L47" s="131" t="e">
        <f>INDEX('Overdue Actions'!G36:G$105,Sustainability!$AO$90)</f>
        <v>#REF!</v>
      </c>
      <c r="M47" s="131" t="e">
        <f>INDEX('Overdue Actions'!H36:H$105,Sustainability!$AO$90)</f>
        <v>#REF!</v>
      </c>
      <c r="N47" s="131" t="e">
        <f>INDEX('Overdue Actions'!I36:I$105,Sustainability!$AO$90)</f>
        <v>#REF!</v>
      </c>
      <c r="O47" s="13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0" s="4" customFormat="1" ht="24.95" customHeight="1" x14ac:dyDescent="0.25">
      <c r="A48" s="126"/>
      <c r="B48" s="126"/>
      <c r="C48" s="126"/>
      <c r="D48" s="126"/>
      <c r="E48" s="131"/>
      <c r="F48" s="131">
        <f>INDEX('Overdue Actions'!A37:A$105,Sustainability!$AO$90)</f>
        <v>5</v>
      </c>
      <c r="G48" s="131" t="e">
        <f>INDEX('Overdue Actions'!B37:B$105,Sustainability!$AO$90)</f>
        <v>#REF!</v>
      </c>
      <c r="H48" s="131" t="e">
        <f>INDEX('Overdue Actions'!C37:C$105,Sustainability!$AO$90)</f>
        <v>#REF!</v>
      </c>
      <c r="I48" s="131" t="e">
        <f>INDEX('Overdue Actions'!D37:D$105,Sustainability!$AO$90)</f>
        <v>#REF!</v>
      </c>
      <c r="J48" s="131" t="e">
        <f>INDEX('Overdue Actions'!E37:E$105,Sustainability!$AO$90)</f>
        <v>#REF!</v>
      </c>
      <c r="K48" s="131" t="e">
        <f>INDEX('Overdue Actions'!F37:F$105,Sustainability!$AO$90)</f>
        <v>#REF!</v>
      </c>
      <c r="L48" s="131" t="e">
        <f>INDEX('Overdue Actions'!G37:G$105,Sustainability!$AO$90)</f>
        <v>#REF!</v>
      </c>
      <c r="M48" s="131" t="e">
        <f>INDEX('Overdue Actions'!H37:H$105,Sustainability!$AO$90)</f>
        <v>#REF!</v>
      </c>
      <c r="N48" s="131" t="e">
        <f>INDEX('Overdue Actions'!I37:I$105,Sustainability!$AO$90)</f>
        <v>#REF!</v>
      </c>
      <c r="O48" s="133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s="4" customFormat="1" ht="24.95" customHeight="1" x14ac:dyDescent="0.25">
      <c r="A49" s="126"/>
      <c r="B49" s="126"/>
      <c r="C49" s="126"/>
      <c r="D49" s="126"/>
      <c r="E49" s="131"/>
      <c r="F49" s="131">
        <f>INDEX('Overdue Actions'!A38:A$105,Sustainability!$AO$90)</f>
        <v>6</v>
      </c>
      <c r="G49" s="131" t="e">
        <f>INDEX('Overdue Actions'!B38:B$105,Sustainability!$AO$90)</f>
        <v>#REF!</v>
      </c>
      <c r="H49" s="131" t="e">
        <f>INDEX('Overdue Actions'!C38:C$105,Sustainability!$AO$90)</f>
        <v>#REF!</v>
      </c>
      <c r="I49" s="131" t="e">
        <f>INDEX('Overdue Actions'!D38:D$105,Sustainability!$AO$90)</f>
        <v>#REF!</v>
      </c>
      <c r="J49" s="131" t="e">
        <f>INDEX('Overdue Actions'!E38:E$105,Sustainability!$AO$90)</f>
        <v>#REF!</v>
      </c>
      <c r="K49" s="131" t="e">
        <f>INDEX('Overdue Actions'!F38:F$105,Sustainability!$AO$90)</f>
        <v>#REF!</v>
      </c>
      <c r="L49" s="131" t="e">
        <f>INDEX('Overdue Actions'!G38:G$105,Sustainability!$AO$90)</f>
        <v>#REF!</v>
      </c>
      <c r="M49" s="131" t="e">
        <f>INDEX('Overdue Actions'!H38:H$105,Sustainability!$AO$90)</f>
        <v>#REF!</v>
      </c>
      <c r="N49" s="131" t="e">
        <f>INDEX('Overdue Actions'!I38:I$105,Sustainability!$AO$90)</f>
        <v>#REF!</v>
      </c>
      <c r="O49" s="133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s="4" customFormat="1" ht="24.95" customHeight="1" x14ac:dyDescent="0.25">
      <c r="A50" s="126"/>
      <c r="B50" s="126"/>
      <c r="C50" s="126"/>
      <c r="D50" s="126"/>
      <c r="E50" s="131"/>
      <c r="F50" s="131">
        <f>INDEX('Overdue Actions'!A39:A$105,Sustainability!$AO$90)</f>
        <v>7</v>
      </c>
      <c r="G50" s="131" t="e">
        <f>INDEX('Overdue Actions'!B39:B$105,Sustainability!$AO$90)</f>
        <v>#REF!</v>
      </c>
      <c r="H50" s="131" t="e">
        <f>INDEX('Overdue Actions'!C39:C$105,Sustainability!$AO$90)</f>
        <v>#REF!</v>
      </c>
      <c r="I50" s="131" t="e">
        <f>INDEX('Overdue Actions'!D39:D$105,Sustainability!$AO$90)</f>
        <v>#REF!</v>
      </c>
      <c r="J50" s="131" t="e">
        <f>INDEX('Overdue Actions'!E39:E$105,Sustainability!$AO$90)</f>
        <v>#REF!</v>
      </c>
      <c r="K50" s="131" t="e">
        <f>INDEX('Overdue Actions'!F39:F$105,Sustainability!$AO$90)</f>
        <v>#REF!</v>
      </c>
      <c r="L50" s="131" t="e">
        <f>INDEX('Overdue Actions'!G39:G$105,Sustainability!$AO$90)</f>
        <v>#REF!</v>
      </c>
      <c r="M50" s="131" t="e">
        <f>INDEX('Overdue Actions'!H39:H$105,Sustainability!$AO$90)</f>
        <v>#REF!</v>
      </c>
      <c r="N50" s="131" t="e">
        <f>INDEX('Overdue Actions'!I39:I$105,Sustainability!$AO$90)</f>
        <v>#REF!</v>
      </c>
      <c r="O50" s="133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s="4" customFormat="1" ht="24.95" customHeight="1" x14ac:dyDescent="0.25">
      <c r="A51" s="126"/>
      <c r="B51" s="126"/>
      <c r="C51" s="126"/>
      <c r="D51" s="126"/>
      <c r="E51" s="131"/>
      <c r="F51" s="131">
        <f>INDEX('Overdue Actions'!A40:A$105,Sustainability!$AO$90)</f>
        <v>8</v>
      </c>
      <c r="G51" s="131" t="e">
        <f>INDEX('Overdue Actions'!B40:B$105,Sustainability!$AO$90)</f>
        <v>#REF!</v>
      </c>
      <c r="H51" s="131" t="e">
        <f>INDEX('Overdue Actions'!C40:C$105,Sustainability!$AO$90)</f>
        <v>#REF!</v>
      </c>
      <c r="I51" s="131" t="e">
        <f>INDEX('Overdue Actions'!D40:D$105,Sustainability!$AO$90)</f>
        <v>#REF!</v>
      </c>
      <c r="J51" s="131" t="e">
        <f>INDEX('Overdue Actions'!E40:E$105,Sustainability!$AO$90)</f>
        <v>#REF!</v>
      </c>
      <c r="K51" s="131" t="e">
        <f>INDEX('Overdue Actions'!F40:F$105,Sustainability!$AO$90)</f>
        <v>#REF!</v>
      </c>
      <c r="L51" s="131" t="e">
        <f>INDEX('Overdue Actions'!G40:G$105,Sustainability!$AO$90)</f>
        <v>#REF!</v>
      </c>
      <c r="M51" s="131" t="e">
        <f>INDEX('Overdue Actions'!H40:H$105,Sustainability!$AO$90)</f>
        <v>#REF!</v>
      </c>
      <c r="N51" s="131" t="e">
        <f>INDEX('Overdue Actions'!I40:I$105,Sustainability!$AO$90)</f>
        <v>#REF!</v>
      </c>
      <c r="O51" s="133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s="4" customFormat="1" ht="24.95" customHeight="1" x14ac:dyDescent="0.25">
      <c r="A52" s="126"/>
      <c r="B52" s="126"/>
      <c r="C52" s="126"/>
      <c r="D52" s="126"/>
      <c r="E52" s="131"/>
      <c r="F52" s="131">
        <f>INDEX('Overdue Actions'!A41:A$105,Sustainability!$AO$90)</f>
        <v>9</v>
      </c>
      <c r="G52" s="131" t="e">
        <f>INDEX('Overdue Actions'!B41:B$105,Sustainability!$AO$90)</f>
        <v>#REF!</v>
      </c>
      <c r="H52" s="131" t="e">
        <f>INDEX('Overdue Actions'!C41:C$105,Sustainability!$AO$90)</f>
        <v>#REF!</v>
      </c>
      <c r="I52" s="131" t="e">
        <f>INDEX('Overdue Actions'!D41:D$105,Sustainability!$AO$90)</f>
        <v>#REF!</v>
      </c>
      <c r="J52" s="131" t="e">
        <f>INDEX('Overdue Actions'!E41:E$105,Sustainability!$AO$90)</f>
        <v>#REF!</v>
      </c>
      <c r="K52" s="131" t="e">
        <f>INDEX('Overdue Actions'!F41:F$105,Sustainability!$AO$90)</f>
        <v>#REF!</v>
      </c>
      <c r="L52" s="131" t="e">
        <f>INDEX('Overdue Actions'!G41:G$105,Sustainability!$AO$90)</f>
        <v>#REF!</v>
      </c>
      <c r="M52" s="131" t="e">
        <f>INDEX('Overdue Actions'!H41:H$105,Sustainability!$AO$90)</f>
        <v>#REF!</v>
      </c>
      <c r="N52" s="131" t="e">
        <f>INDEX('Overdue Actions'!I41:I$105,Sustainability!$AO$90)</f>
        <v>#REF!</v>
      </c>
      <c r="O52" s="133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s="4" customFormat="1" ht="24.95" customHeight="1" x14ac:dyDescent="0.25">
      <c r="A53" s="126"/>
      <c r="B53" s="126"/>
      <c r="C53" s="126"/>
      <c r="D53" s="126"/>
      <c r="E53" s="131"/>
      <c r="F53" s="131">
        <f>INDEX('Overdue Actions'!A42:A$105,Sustainability!$AO$90)</f>
        <v>10</v>
      </c>
      <c r="G53" s="131" t="e">
        <f>INDEX('Overdue Actions'!B42:B$105,Sustainability!$AO$90)</f>
        <v>#REF!</v>
      </c>
      <c r="H53" s="131" t="e">
        <f>INDEX('Overdue Actions'!C42:C$105,Sustainability!$AO$90)</f>
        <v>#REF!</v>
      </c>
      <c r="I53" s="131" t="e">
        <f>INDEX('Overdue Actions'!D42:D$105,Sustainability!$AO$90)</f>
        <v>#REF!</v>
      </c>
      <c r="J53" s="131" t="e">
        <f>INDEX('Overdue Actions'!E42:E$105,Sustainability!$AO$90)</f>
        <v>#REF!</v>
      </c>
      <c r="K53" s="131" t="e">
        <f>INDEX('Overdue Actions'!F42:F$105,Sustainability!$AO$90)</f>
        <v>#REF!</v>
      </c>
      <c r="L53" s="131" t="e">
        <f>INDEX('Overdue Actions'!G42:G$105,Sustainability!$AO$90)</f>
        <v>#REF!</v>
      </c>
      <c r="M53" s="131" t="e">
        <f>INDEX('Overdue Actions'!H42:H$105,Sustainability!$AO$90)</f>
        <v>#REF!</v>
      </c>
      <c r="N53" s="131" t="e">
        <f>INDEX('Overdue Actions'!I42:I$105,Sustainability!$AO$90)</f>
        <v>#REF!</v>
      </c>
      <c r="O53" s="133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x14ac:dyDescent="0.25">
      <c r="A54" s="104"/>
      <c r="B54" s="104"/>
      <c r="C54" s="104"/>
      <c r="D54" s="104"/>
      <c r="E54" s="104"/>
      <c r="F54" s="118"/>
      <c r="G54" s="118"/>
      <c r="H54" s="118"/>
      <c r="I54" s="118"/>
      <c r="J54" s="118"/>
      <c r="K54" s="120"/>
      <c r="L54" s="120"/>
      <c r="M54" s="118"/>
      <c r="N54" s="118"/>
      <c r="O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</row>
    <row r="55" spans="1:40" x14ac:dyDescent="0.25">
      <c r="A55" s="104"/>
      <c r="B55" s="104"/>
      <c r="C55" s="104"/>
      <c r="D55" s="104"/>
      <c r="E55" s="104"/>
      <c r="F55" s="118"/>
      <c r="G55" s="118"/>
      <c r="H55" s="118"/>
      <c r="I55" s="118"/>
      <c r="J55" s="118"/>
      <c r="K55" s="120"/>
      <c r="L55" s="120"/>
      <c r="M55" s="118"/>
      <c r="N55" s="118"/>
      <c r="O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spans="1:40" x14ac:dyDescent="0.25">
      <c r="A56" s="104"/>
      <c r="B56" s="104"/>
      <c r="C56" s="104"/>
      <c r="D56" s="104"/>
      <c r="E56" s="104"/>
      <c r="F56" s="118"/>
      <c r="G56" s="118"/>
      <c r="H56" s="118"/>
      <c r="I56" s="118"/>
      <c r="J56" s="118"/>
      <c r="K56" s="120"/>
      <c r="L56" s="120"/>
      <c r="M56" s="118"/>
      <c r="N56" s="118"/>
      <c r="O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</row>
    <row r="57" spans="1:40" x14ac:dyDescent="0.25">
      <c r="A57" s="104"/>
      <c r="B57" s="104"/>
      <c r="C57" s="104"/>
      <c r="D57" s="104"/>
      <c r="E57" s="104"/>
      <c r="F57" s="118"/>
      <c r="G57" s="118"/>
      <c r="H57" s="118"/>
      <c r="I57" s="118"/>
      <c r="J57" s="118"/>
      <c r="K57" s="120"/>
      <c r="L57" s="120"/>
      <c r="M57" s="118"/>
      <c r="N57" s="118"/>
      <c r="O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</row>
    <row r="58" spans="1:40" x14ac:dyDescent="0.25">
      <c r="A58" s="104"/>
      <c r="B58" s="104"/>
      <c r="C58" s="104"/>
      <c r="D58" s="104"/>
      <c r="E58" s="104"/>
      <c r="F58" s="118"/>
      <c r="G58" s="118"/>
      <c r="H58" s="118"/>
      <c r="I58" s="118"/>
      <c r="J58" s="118"/>
      <c r="K58" s="120"/>
      <c r="L58" s="120"/>
      <c r="M58" s="118"/>
      <c r="N58" s="118"/>
      <c r="O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</row>
    <row r="59" spans="1:40" x14ac:dyDescent="0.25">
      <c r="A59" s="104"/>
      <c r="B59" s="104"/>
      <c r="C59" s="104"/>
      <c r="D59" s="104"/>
      <c r="E59" s="104"/>
      <c r="F59" s="118"/>
      <c r="G59" s="118"/>
      <c r="H59" s="118"/>
      <c r="I59" s="118"/>
      <c r="J59" s="118"/>
      <c r="K59" s="120"/>
      <c r="L59" s="120"/>
      <c r="M59" s="118"/>
      <c r="N59" s="118"/>
      <c r="O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</row>
    <row r="60" spans="1:40" x14ac:dyDescent="0.25">
      <c r="A60" s="104"/>
      <c r="B60" s="104"/>
      <c r="C60" s="104"/>
      <c r="D60" s="104"/>
      <c r="E60" s="104"/>
      <c r="F60" s="118"/>
      <c r="G60" s="118"/>
      <c r="H60" s="118"/>
      <c r="I60" s="118"/>
      <c r="J60" s="118"/>
      <c r="K60" s="120"/>
      <c r="L60" s="120"/>
      <c r="M60" s="120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spans="1:40" x14ac:dyDescent="0.25">
      <c r="A61" s="104"/>
      <c r="B61" s="104"/>
      <c r="C61" s="104"/>
      <c r="D61" s="104"/>
      <c r="E61" s="104"/>
      <c r="F61" s="118"/>
      <c r="G61" s="118"/>
      <c r="H61" s="118"/>
      <c r="I61" s="118"/>
      <c r="J61" s="118"/>
      <c r="K61" s="120"/>
      <c r="L61" s="120"/>
      <c r="M61" s="120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</row>
    <row r="62" spans="1:40" x14ac:dyDescent="0.25">
      <c r="A62" s="104"/>
      <c r="B62" s="104"/>
      <c r="C62" s="104"/>
      <c r="D62" s="104"/>
      <c r="E62" s="104"/>
      <c r="F62" s="118"/>
      <c r="G62" s="118"/>
      <c r="H62" s="118"/>
      <c r="I62" s="118"/>
      <c r="J62" s="118"/>
      <c r="K62" s="120"/>
      <c r="L62" s="120"/>
      <c r="M62" s="120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</row>
    <row r="63" spans="1:40" x14ac:dyDescent="0.25">
      <c r="A63" s="104"/>
      <c r="B63" s="104"/>
      <c r="C63" s="104"/>
      <c r="D63" s="104"/>
      <c r="E63" s="104"/>
      <c r="F63" s="118"/>
      <c r="G63" s="118"/>
      <c r="H63" s="118"/>
      <c r="I63" s="118"/>
      <c r="J63" s="118"/>
      <c r="K63" s="120"/>
      <c r="L63" s="120"/>
      <c r="M63" s="120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</row>
    <row r="64" spans="1:40" x14ac:dyDescent="0.25">
      <c r="A64" s="104"/>
      <c r="B64" s="104"/>
      <c r="C64" s="104"/>
      <c r="D64" s="104"/>
      <c r="E64" s="104"/>
      <c r="F64" s="118"/>
      <c r="G64" s="118"/>
      <c r="H64" s="118"/>
      <c r="I64" s="118"/>
      <c r="J64" s="118"/>
      <c r="K64" s="120"/>
      <c r="L64" s="120"/>
      <c r="M64" s="120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</row>
    <row r="65" spans="1:40" x14ac:dyDescent="0.25">
      <c r="A65" s="104"/>
      <c r="B65" s="104"/>
      <c r="C65" s="104"/>
      <c r="D65" s="104"/>
      <c r="E65" s="104"/>
      <c r="F65" s="118"/>
      <c r="G65" s="118"/>
      <c r="H65" s="118"/>
      <c r="I65" s="118"/>
      <c r="J65" s="118"/>
      <c r="K65" s="120"/>
      <c r="L65" s="120"/>
      <c r="M65" s="120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</row>
    <row r="66" spans="1:40" x14ac:dyDescent="0.25">
      <c r="A66" s="104"/>
      <c r="B66" s="104"/>
      <c r="C66" s="104"/>
      <c r="D66" s="104"/>
      <c r="E66" s="104"/>
    </row>
    <row r="67" spans="1:40" x14ac:dyDescent="0.25">
      <c r="A67" s="104"/>
      <c r="B67" s="104"/>
      <c r="C67" s="104"/>
      <c r="D67" s="104"/>
      <c r="E67" s="104"/>
    </row>
    <row r="90" spans="41:41" x14ac:dyDescent="0.25">
      <c r="AO90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F45:F53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Scroll Bar 1">
              <controlPr defaultSize="0" autoPict="0">
                <anchor moveWithCells="1">
                  <from>
                    <xdr:col>15</xdr:col>
                    <xdr:colOff>95250</xdr:colOff>
                    <xdr:row>41</xdr:row>
                    <xdr:rowOff>180975</xdr:rowOff>
                  </from>
                  <to>
                    <xdr:col>15</xdr:col>
                    <xdr:colOff>295275</xdr:colOff>
                    <xdr:row>52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0E06-F033-494F-B138-A7732C7AC738}">
  <sheetPr codeName="Sheet14">
    <tabColor theme="8"/>
    <pageSetUpPr autoPageBreaks="0"/>
  </sheetPr>
  <dimension ref="A1:AO90"/>
  <sheetViews>
    <sheetView showGridLines="0" zoomScale="70" zoomScaleNormal="70" zoomScaleSheetLayoutView="75" workbookViewId="0">
      <selection activeCell="H64" sqref="H64"/>
    </sheetView>
  </sheetViews>
  <sheetFormatPr defaultRowHeight="15" x14ac:dyDescent="0.25"/>
  <cols>
    <col min="5" max="5" width="13.85546875" customWidth="1"/>
    <col min="6" max="6" width="3.5703125" bestFit="1" customWidth="1"/>
    <col min="7" max="7" width="19" bestFit="1" customWidth="1"/>
    <col min="8" max="8" width="132.7109375" bestFit="1" customWidth="1"/>
    <col min="9" max="9" width="114.5703125" bestFit="1" customWidth="1"/>
    <col min="10" max="10" width="45.140625" bestFit="1" customWidth="1"/>
    <col min="11" max="11" width="10.85546875" style="100" bestFit="1" customWidth="1"/>
    <col min="12" max="12" width="12" style="100" bestFit="1" customWidth="1"/>
    <col min="13" max="13" width="8.85546875" style="100" customWidth="1"/>
    <col min="14" max="14" width="17.7109375" bestFit="1" customWidth="1"/>
  </cols>
  <sheetData>
    <row r="1" spans="1:40" x14ac:dyDescent="0.25">
      <c r="A1" s="104"/>
      <c r="B1" s="104"/>
      <c r="C1" s="104"/>
      <c r="D1" s="104"/>
      <c r="E1" s="104"/>
      <c r="F1" s="117"/>
      <c r="G1" s="117"/>
      <c r="H1" s="117"/>
      <c r="I1" s="117"/>
      <c r="J1" s="117"/>
      <c r="K1" s="119"/>
      <c r="L1" s="119"/>
      <c r="M1" s="119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</row>
    <row r="2" spans="1:40" x14ac:dyDescent="0.25">
      <c r="A2" s="104"/>
      <c r="B2" s="104"/>
      <c r="C2" s="104"/>
      <c r="D2" s="104"/>
      <c r="E2" s="104"/>
      <c r="F2" s="117"/>
      <c r="G2" s="117"/>
      <c r="H2" s="117"/>
      <c r="I2" s="117"/>
      <c r="J2" s="117"/>
      <c r="K2" s="119"/>
      <c r="L2" s="119"/>
      <c r="M2" s="11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</row>
    <row r="3" spans="1:40" x14ac:dyDescent="0.25">
      <c r="A3" s="104"/>
      <c r="B3" s="104"/>
      <c r="C3" s="104"/>
      <c r="D3" s="104"/>
      <c r="E3" s="104"/>
      <c r="F3" s="117"/>
      <c r="G3" s="117"/>
      <c r="H3" s="117"/>
      <c r="I3" s="117"/>
      <c r="J3" s="117"/>
      <c r="K3" s="119"/>
      <c r="L3" s="119"/>
      <c r="M3" s="119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</row>
    <row r="4" spans="1:40" x14ac:dyDescent="0.25">
      <c r="A4" s="104"/>
      <c r="B4" s="104"/>
      <c r="C4" s="104"/>
      <c r="D4" s="104"/>
      <c r="E4" s="104"/>
      <c r="F4" s="117"/>
      <c r="G4" s="117"/>
      <c r="H4" s="117"/>
      <c r="I4" s="117"/>
      <c r="J4" s="117"/>
      <c r="K4" s="119"/>
      <c r="L4" s="119"/>
      <c r="M4" s="119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</row>
    <row r="5" spans="1:40" x14ac:dyDescent="0.25">
      <c r="A5" s="104"/>
      <c r="B5" s="104"/>
      <c r="C5" s="104"/>
      <c r="D5" s="104"/>
      <c r="E5" s="104"/>
      <c r="F5" s="117"/>
      <c r="G5" s="117"/>
      <c r="H5" s="117"/>
      <c r="I5" s="117"/>
      <c r="J5" s="117"/>
      <c r="K5" s="119"/>
      <c r="L5" s="119"/>
      <c r="M5" s="119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1:40" x14ac:dyDescent="0.25">
      <c r="A6" s="104"/>
      <c r="B6" s="104"/>
      <c r="C6" s="104"/>
      <c r="D6" s="104"/>
      <c r="E6" s="104"/>
      <c r="F6" s="117"/>
      <c r="G6" s="117"/>
      <c r="H6" s="117"/>
      <c r="I6" s="117"/>
      <c r="J6" s="117"/>
      <c r="K6" s="119"/>
      <c r="L6" s="119"/>
      <c r="M6" s="119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</row>
    <row r="7" spans="1:40" x14ac:dyDescent="0.25">
      <c r="A7" s="104"/>
      <c r="B7" s="104"/>
      <c r="C7" s="104"/>
      <c r="D7" s="104"/>
      <c r="E7" s="104"/>
      <c r="F7" s="118"/>
      <c r="G7" s="118"/>
      <c r="H7" s="118"/>
      <c r="I7" s="118"/>
      <c r="J7" s="118"/>
      <c r="K7" s="120"/>
      <c r="L7" s="120"/>
      <c r="M7" s="120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spans="1:40" x14ac:dyDescent="0.25">
      <c r="A8" s="104"/>
      <c r="B8" s="104"/>
      <c r="C8" s="104"/>
      <c r="D8" s="104"/>
      <c r="E8" s="104"/>
      <c r="F8" s="118"/>
      <c r="G8" s="118"/>
      <c r="H8" s="118"/>
      <c r="I8" s="118"/>
      <c r="J8" s="118"/>
      <c r="K8" s="120"/>
      <c r="L8" s="120"/>
      <c r="M8" s="120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</row>
    <row r="9" spans="1:40" x14ac:dyDescent="0.25">
      <c r="A9" s="104"/>
      <c r="B9" s="104"/>
      <c r="C9" s="104"/>
      <c r="D9" s="104"/>
      <c r="E9" s="104"/>
      <c r="F9" s="118"/>
      <c r="G9" s="118"/>
      <c r="H9" s="118"/>
      <c r="I9" s="118"/>
      <c r="J9" s="118"/>
      <c r="K9" s="120"/>
      <c r="L9" s="120"/>
      <c r="M9" s="120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x14ac:dyDescent="0.25">
      <c r="A10" s="104"/>
      <c r="B10" s="104"/>
      <c r="C10" s="104"/>
      <c r="D10" s="104"/>
      <c r="E10" s="104"/>
      <c r="F10" s="118"/>
      <c r="G10" s="118"/>
      <c r="H10" s="118"/>
      <c r="I10" s="118"/>
      <c r="J10" s="118"/>
      <c r="K10" s="120"/>
      <c r="L10" s="120"/>
      <c r="M10" s="120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</row>
    <row r="11" spans="1:40" x14ac:dyDescent="0.25">
      <c r="A11" s="104"/>
      <c r="B11" s="104"/>
      <c r="C11" s="104"/>
      <c r="D11" s="104"/>
      <c r="E11" s="104"/>
      <c r="F11" s="118"/>
      <c r="G11" s="118"/>
      <c r="H11" s="118"/>
      <c r="I11" s="118"/>
      <c r="J11" s="118"/>
      <c r="K11" s="120"/>
      <c r="L11" s="120"/>
      <c r="M11" s="120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</row>
    <row r="12" spans="1:40" x14ac:dyDescent="0.25">
      <c r="A12" s="104"/>
      <c r="B12" s="104"/>
      <c r="C12" s="104"/>
      <c r="D12" s="104"/>
      <c r="E12" s="104"/>
      <c r="F12" s="118"/>
      <c r="G12" s="118"/>
      <c r="H12" s="118"/>
      <c r="I12" s="118"/>
      <c r="J12" s="118"/>
      <c r="K12" s="120"/>
      <c r="L12" s="120"/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0" x14ac:dyDescent="0.25">
      <c r="A13" s="104"/>
      <c r="B13" s="104"/>
      <c r="C13" s="104"/>
      <c r="D13" s="104"/>
      <c r="E13" s="104"/>
      <c r="F13" s="118"/>
      <c r="G13" s="118"/>
      <c r="H13" s="118"/>
      <c r="I13" s="118"/>
      <c r="J13" s="118"/>
      <c r="K13" s="120"/>
      <c r="L13" s="120"/>
      <c r="M13" s="120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0" x14ac:dyDescent="0.25">
      <c r="A14" s="104"/>
      <c r="B14" s="104"/>
      <c r="C14" s="104"/>
      <c r="D14" s="104"/>
      <c r="E14" s="104"/>
      <c r="F14" s="118"/>
      <c r="G14" s="118"/>
      <c r="H14" s="118"/>
      <c r="I14" s="118"/>
      <c r="J14" s="118"/>
      <c r="K14" s="120"/>
      <c r="L14" s="120"/>
      <c r="M14" s="120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</row>
    <row r="15" spans="1:40" x14ac:dyDescent="0.25">
      <c r="A15" s="104"/>
      <c r="B15" s="104"/>
      <c r="C15" s="104"/>
      <c r="D15" s="104"/>
      <c r="E15" s="104"/>
      <c r="F15" s="118"/>
      <c r="G15" s="118"/>
      <c r="H15" s="118"/>
      <c r="I15" s="118"/>
      <c r="J15" s="118"/>
      <c r="K15" s="120"/>
      <c r="L15" s="120"/>
      <c r="M15" s="120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</row>
    <row r="16" spans="1:40" x14ac:dyDescent="0.25">
      <c r="A16" s="104"/>
      <c r="B16" s="104"/>
      <c r="C16" s="104"/>
      <c r="D16" s="104"/>
      <c r="E16" s="104"/>
      <c r="F16" s="118"/>
      <c r="G16" s="118"/>
      <c r="H16" s="118"/>
      <c r="I16" s="118"/>
      <c r="J16" s="118"/>
      <c r="K16" s="120"/>
      <c r="L16" s="120"/>
      <c r="M16" s="120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</row>
    <row r="17" spans="1:40" x14ac:dyDescent="0.25">
      <c r="A17" s="104"/>
      <c r="B17" s="104"/>
      <c r="C17" s="104"/>
      <c r="D17" s="104"/>
      <c r="E17" s="104"/>
      <c r="F17" s="118"/>
      <c r="G17" s="118"/>
      <c r="H17" s="118"/>
      <c r="I17" s="118"/>
      <c r="J17" s="118"/>
      <c r="K17" s="120"/>
      <c r="L17" s="120"/>
      <c r="M17" s="120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</row>
    <row r="18" spans="1:40" x14ac:dyDescent="0.25">
      <c r="A18" s="104"/>
      <c r="B18" s="104"/>
      <c r="C18" s="104"/>
      <c r="D18" s="104"/>
      <c r="E18" s="104"/>
      <c r="F18" s="118"/>
      <c r="G18" s="118"/>
      <c r="H18" s="118"/>
      <c r="I18" s="118"/>
      <c r="J18" s="118"/>
      <c r="K18" s="120"/>
      <c r="L18" s="120"/>
      <c r="M18" s="120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</row>
    <row r="19" spans="1:40" x14ac:dyDescent="0.25">
      <c r="A19" s="104"/>
      <c r="B19" s="104"/>
      <c r="C19" s="104"/>
      <c r="D19" s="104"/>
      <c r="E19" s="104"/>
      <c r="F19" s="118"/>
      <c r="G19" s="118"/>
      <c r="H19" s="118"/>
      <c r="I19" s="118"/>
      <c r="J19" s="118"/>
      <c r="K19" s="120"/>
      <c r="L19" s="120"/>
      <c r="M19" s="120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</row>
    <row r="20" spans="1:40" x14ac:dyDescent="0.25">
      <c r="A20" s="104"/>
      <c r="B20" s="104"/>
      <c r="C20" s="104"/>
      <c r="D20" s="104"/>
      <c r="E20" s="104"/>
      <c r="F20" s="118"/>
      <c r="G20" s="118"/>
      <c r="H20" s="118"/>
      <c r="I20" s="118"/>
      <c r="J20" s="118"/>
      <c r="K20" s="120"/>
      <c r="L20" s="120"/>
      <c r="M20" s="120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</row>
    <row r="21" spans="1:40" x14ac:dyDescent="0.25">
      <c r="A21" s="104"/>
      <c r="B21" s="104"/>
      <c r="C21" s="104"/>
      <c r="D21" s="104"/>
      <c r="E21" s="104"/>
      <c r="F21" s="118"/>
      <c r="G21" s="118"/>
      <c r="H21" s="118"/>
      <c r="I21" s="118"/>
      <c r="J21" s="118"/>
      <c r="K21" s="120"/>
      <c r="L21" s="120"/>
      <c r="M21" s="120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x14ac:dyDescent="0.25">
      <c r="A22" s="104"/>
      <c r="B22" s="104"/>
      <c r="C22" s="104"/>
      <c r="D22" s="104"/>
      <c r="E22" s="104"/>
      <c r="F22" s="118"/>
      <c r="G22" s="118"/>
      <c r="H22" s="118"/>
      <c r="I22" s="118"/>
      <c r="J22" s="118"/>
      <c r="K22" s="120"/>
      <c r="L22" s="120"/>
      <c r="M22" s="120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</row>
    <row r="23" spans="1:40" x14ac:dyDescent="0.25">
      <c r="A23" s="104"/>
      <c r="B23" s="104"/>
      <c r="C23" s="104"/>
      <c r="D23" s="104"/>
      <c r="E23" s="104"/>
      <c r="F23" s="118"/>
      <c r="G23" s="118"/>
      <c r="H23" s="118"/>
      <c r="I23" s="118"/>
      <c r="J23" s="118"/>
      <c r="K23" s="120"/>
      <c r="L23" s="120"/>
      <c r="M23" s="120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</row>
    <row r="24" spans="1:40" x14ac:dyDescent="0.25">
      <c r="A24" s="104"/>
      <c r="B24" s="104"/>
      <c r="C24" s="104"/>
      <c r="D24" s="104"/>
      <c r="E24" s="104"/>
      <c r="F24" s="118"/>
      <c r="G24" s="118"/>
      <c r="H24" s="118"/>
      <c r="I24" s="118"/>
      <c r="J24" s="118"/>
      <c r="K24" s="120"/>
      <c r="L24" s="120"/>
      <c r="M24" s="120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</row>
    <row r="25" spans="1:40" x14ac:dyDescent="0.25">
      <c r="A25" s="104"/>
      <c r="B25" s="104"/>
      <c r="C25" s="104"/>
      <c r="D25" s="104"/>
      <c r="E25" s="104"/>
      <c r="F25" s="118"/>
      <c r="G25" s="118"/>
      <c r="H25" s="118"/>
      <c r="I25" s="118"/>
      <c r="J25" s="118"/>
      <c r="K25" s="120"/>
      <c r="L25" s="120"/>
      <c r="M25" s="120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spans="1:40" x14ac:dyDescent="0.25">
      <c r="A26" s="104"/>
      <c r="B26" s="104"/>
      <c r="C26" s="104"/>
      <c r="D26" s="104"/>
      <c r="E26" s="104"/>
      <c r="F26" s="118"/>
      <c r="G26" s="118"/>
      <c r="H26" s="118"/>
      <c r="I26" s="118"/>
      <c r="J26" s="118"/>
      <c r="K26" s="120"/>
      <c r="L26" s="120"/>
      <c r="M26" s="12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1:40" x14ac:dyDescent="0.25">
      <c r="A27" s="104"/>
      <c r="B27" s="104"/>
      <c r="C27" s="104"/>
      <c r="D27" s="104"/>
      <c r="E27" s="104"/>
      <c r="F27" s="118"/>
      <c r="G27" s="118"/>
      <c r="H27" s="118"/>
      <c r="I27" s="118"/>
      <c r="J27" s="118"/>
      <c r="K27" s="120"/>
      <c r="L27" s="120"/>
      <c r="M27" s="120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</row>
    <row r="28" spans="1:40" x14ac:dyDescent="0.25">
      <c r="A28" s="104"/>
      <c r="B28" s="104"/>
      <c r="C28" s="104"/>
      <c r="D28" s="104"/>
      <c r="E28" s="104"/>
      <c r="F28" s="118"/>
      <c r="G28" s="118"/>
      <c r="H28" s="118"/>
      <c r="I28" s="118"/>
      <c r="J28" s="118"/>
      <c r="K28" s="120"/>
      <c r="L28" s="120"/>
      <c r="M28" s="120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spans="1:40" x14ac:dyDescent="0.25">
      <c r="A29" s="104"/>
      <c r="B29" s="104"/>
      <c r="C29" s="104"/>
      <c r="D29" s="104"/>
      <c r="E29" s="104"/>
      <c r="F29" s="118"/>
      <c r="G29" s="118"/>
      <c r="H29" s="118"/>
      <c r="I29" s="118"/>
      <c r="J29" s="118"/>
      <c r="K29" s="120"/>
      <c r="L29" s="120"/>
      <c r="M29" s="120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</row>
    <row r="30" spans="1:40" x14ac:dyDescent="0.25">
      <c r="A30" s="104"/>
      <c r="B30" s="104"/>
      <c r="C30" s="104"/>
      <c r="D30" s="104"/>
      <c r="E30" s="104"/>
      <c r="F30" s="118"/>
      <c r="G30" s="118"/>
      <c r="H30" s="118"/>
      <c r="I30" s="118"/>
      <c r="J30" s="118"/>
      <c r="K30" s="120"/>
      <c r="L30" s="120"/>
      <c r="M30" s="120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spans="1:40" x14ac:dyDescent="0.25">
      <c r="A31" s="104"/>
      <c r="B31" s="104"/>
      <c r="C31" s="104"/>
      <c r="D31" s="104"/>
      <c r="E31" s="104"/>
      <c r="F31" s="118"/>
      <c r="G31" s="118"/>
      <c r="H31" s="118"/>
      <c r="I31" s="118"/>
      <c r="J31" s="118"/>
      <c r="K31" s="120"/>
      <c r="L31" s="120"/>
      <c r="M31" s="120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</row>
    <row r="32" spans="1:40" x14ac:dyDescent="0.25">
      <c r="A32" s="104"/>
      <c r="B32" s="104"/>
      <c r="C32" s="104"/>
      <c r="D32" s="104"/>
      <c r="E32" s="104"/>
      <c r="F32" s="118"/>
      <c r="G32" s="118"/>
      <c r="H32" s="118"/>
      <c r="I32" s="118"/>
      <c r="J32" s="118"/>
      <c r="K32" s="120"/>
      <c r="L32" s="120"/>
      <c r="M32" s="120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</row>
    <row r="33" spans="1:40" x14ac:dyDescent="0.25">
      <c r="A33" s="104"/>
      <c r="B33" s="104"/>
      <c r="C33" s="104"/>
      <c r="D33" s="104"/>
      <c r="E33" s="104"/>
      <c r="F33" s="118"/>
      <c r="G33" s="118"/>
      <c r="H33" s="118"/>
      <c r="I33" s="118"/>
      <c r="J33" s="118"/>
      <c r="K33" s="120"/>
      <c r="L33" s="120"/>
      <c r="M33" s="120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</row>
    <row r="34" spans="1:40" x14ac:dyDescent="0.25">
      <c r="A34" s="104"/>
      <c r="B34" s="104"/>
      <c r="C34" s="104"/>
      <c r="D34" s="104"/>
      <c r="E34" s="104"/>
      <c r="F34" s="118"/>
      <c r="G34" s="118"/>
      <c r="H34" s="118"/>
      <c r="I34" s="118"/>
      <c r="J34" s="118"/>
      <c r="K34" s="120"/>
      <c r="L34" s="120"/>
      <c r="M34" s="120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</row>
    <row r="35" spans="1:40" x14ac:dyDescent="0.25">
      <c r="A35" s="104"/>
      <c r="B35" s="104"/>
      <c r="C35" s="104"/>
      <c r="D35" s="104"/>
      <c r="E35" s="104"/>
      <c r="F35" s="118"/>
      <c r="G35" s="118"/>
      <c r="H35" s="118"/>
      <c r="I35" s="118"/>
      <c r="J35" s="118"/>
      <c r="K35" s="120"/>
      <c r="L35" s="120"/>
      <c r="M35" s="120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</row>
    <row r="36" spans="1:40" x14ac:dyDescent="0.25">
      <c r="A36" s="104"/>
      <c r="B36" s="104"/>
      <c r="C36" s="104"/>
      <c r="D36" s="104"/>
      <c r="E36" s="104"/>
      <c r="F36" s="118"/>
      <c r="G36" s="118"/>
      <c r="H36" s="118"/>
      <c r="I36" s="118"/>
      <c r="J36" s="118"/>
      <c r="K36" s="120"/>
      <c r="L36" s="120"/>
      <c r="M36" s="120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</row>
    <row r="37" spans="1:40" x14ac:dyDescent="0.25">
      <c r="A37" s="104"/>
      <c r="B37" s="104"/>
      <c r="C37" s="104"/>
      <c r="D37" s="104"/>
      <c r="E37" s="104"/>
      <c r="F37" s="118"/>
      <c r="G37" s="118"/>
      <c r="H37" s="118"/>
      <c r="I37" s="118"/>
      <c r="J37" s="118"/>
      <c r="K37" s="120"/>
      <c r="L37" s="120"/>
      <c r="M37" s="120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spans="1:40" x14ac:dyDescent="0.25">
      <c r="A38" s="104"/>
      <c r="B38" s="104"/>
      <c r="C38" s="104"/>
      <c r="D38" s="104"/>
      <c r="E38" s="104"/>
      <c r="F38" s="118"/>
      <c r="G38" s="118"/>
      <c r="H38" s="118"/>
      <c r="I38" s="118"/>
      <c r="J38" s="118"/>
      <c r="K38" s="120"/>
      <c r="L38" s="120"/>
      <c r="M38" s="120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spans="1:40" x14ac:dyDescent="0.25">
      <c r="A39" s="104"/>
      <c r="B39" s="104"/>
      <c r="C39" s="104"/>
      <c r="D39" s="104"/>
      <c r="E39" s="104"/>
      <c r="F39" s="118"/>
      <c r="G39" s="118"/>
      <c r="H39" s="118"/>
      <c r="I39" s="118"/>
      <c r="J39" s="118"/>
      <c r="K39" s="120"/>
      <c r="L39" s="120"/>
      <c r="M39" s="12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</row>
    <row r="40" spans="1:40" x14ac:dyDescent="0.25">
      <c r="A40" s="104"/>
      <c r="B40" s="104"/>
      <c r="C40" s="104"/>
      <c r="D40" s="104"/>
      <c r="E40" s="104"/>
      <c r="F40" s="118"/>
      <c r="G40" s="118"/>
      <c r="H40" s="118"/>
      <c r="I40" s="118"/>
      <c r="J40" s="118"/>
      <c r="K40" s="120"/>
      <c r="L40" s="120"/>
      <c r="M40" s="120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spans="1:40" x14ac:dyDescent="0.25">
      <c r="A41" s="104"/>
      <c r="B41" s="104"/>
      <c r="C41" s="104"/>
      <c r="D41" s="104"/>
      <c r="E41" s="104"/>
      <c r="F41" s="118"/>
      <c r="G41" s="118"/>
      <c r="H41" s="118"/>
      <c r="I41" s="118"/>
      <c r="J41" s="118"/>
      <c r="K41" s="120"/>
      <c r="L41" s="120"/>
      <c r="M41" s="120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</row>
    <row r="42" spans="1:40" x14ac:dyDescent="0.25">
      <c r="A42" s="104"/>
      <c r="B42" s="104"/>
      <c r="C42" s="104"/>
      <c r="D42" s="104"/>
      <c r="E42" s="104"/>
      <c r="F42" s="118"/>
      <c r="G42" s="118"/>
      <c r="H42" s="118"/>
      <c r="I42" s="118"/>
      <c r="J42" s="118"/>
      <c r="K42" s="120"/>
      <c r="L42" s="120"/>
      <c r="M42" s="120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</row>
    <row r="43" spans="1:40" s="4" customFormat="1" ht="24.95" customHeight="1" x14ac:dyDescent="0.25">
      <c r="A43" s="126"/>
      <c r="B43" s="126"/>
      <c r="C43" s="126"/>
      <c r="D43" s="126"/>
      <c r="E43" s="126"/>
      <c r="F43" s="122" t="e">
        <f>'Overdue Actions'!A1</f>
        <v>#REF!</v>
      </c>
      <c r="G43" s="123" t="e">
        <f>'Overdue Actions'!B1</f>
        <v>#REF!</v>
      </c>
      <c r="H43" s="123" t="e">
        <f>'Overdue Actions'!C1</f>
        <v>#REF!</v>
      </c>
      <c r="I43" s="123" t="e">
        <f>'Overdue Actions'!D1</f>
        <v>#REF!</v>
      </c>
      <c r="J43" s="123" t="e">
        <f>'Overdue Actions'!E1</f>
        <v>#REF!</v>
      </c>
      <c r="K43" s="124" t="e">
        <f>'Overdue Actions'!F1</f>
        <v>#REF!</v>
      </c>
      <c r="L43" s="124" t="str">
        <f>'Overdue Actions'!G1</f>
        <v>ETC</v>
      </c>
      <c r="M43" s="123" t="str">
        <f>'Overdue Actions'!H1</f>
        <v>Overdue</v>
      </c>
      <c r="N43" s="123" t="str">
        <f>'Overdue Actions'!I1</f>
        <v>Completion Status</v>
      </c>
      <c r="O43" s="123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</row>
    <row r="44" spans="1:40" s="4" customFormat="1" ht="24.95" customHeight="1" x14ac:dyDescent="0.25">
      <c r="A44" s="126"/>
      <c r="B44" s="126"/>
      <c r="C44" s="126"/>
      <c r="D44" s="126"/>
      <c r="E44" s="126"/>
      <c r="F44" s="131">
        <f>INDEX('Overdue Actions'!A107:A$126,'People Development'!$AO$90)</f>
        <v>1</v>
      </c>
      <c r="G44" s="131" t="e">
        <f>INDEX('Overdue Actions'!B107:B$126,'People Development'!$AO$90)</f>
        <v>#REF!</v>
      </c>
      <c r="H44" s="131" t="e">
        <f>INDEX('Overdue Actions'!C107:C$126,'People Development'!$AO$90)</f>
        <v>#REF!</v>
      </c>
      <c r="I44" s="131" t="e">
        <f>INDEX('Overdue Actions'!D107:D$126,'People Development'!$AO$90)</f>
        <v>#REF!</v>
      </c>
      <c r="J44" s="131" t="e">
        <f>INDEX('Overdue Actions'!E107:E$126,'People Development'!$AO$90)</f>
        <v>#REF!</v>
      </c>
      <c r="K44" s="131" t="e">
        <f>INDEX('Overdue Actions'!F107:F$126,'People Development'!$AO$90)</f>
        <v>#REF!</v>
      </c>
      <c r="L44" s="131" t="e">
        <f>INDEX('Overdue Actions'!G107:G$126,'People Development'!$AO$90)</f>
        <v>#REF!</v>
      </c>
      <c r="M44" s="131" t="e">
        <f>INDEX('Overdue Actions'!H107:H$126,'People Development'!$AO$90)</f>
        <v>#REF!</v>
      </c>
      <c r="N44" s="131" t="e">
        <f>INDEX('Overdue Actions'!I107:I$126,'People Development'!$AO$90)</f>
        <v>#REF!</v>
      </c>
      <c r="O44" s="13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0" s="4" customFormat="1" ht="24.95" customHeight="1" x14ac:dyDescent="0.25">
      <c r="A45" s="126"/>
      <c r="B45" s="126"/>
      <c r="C45" s="126"/>
      <c r="D45" s="126"/>
      <c r="E45" s="126"/>
      <c r="F45" s="131">
        <f>INDEX('Overdue Actions'!A108:A$126,'People Development'!$AO$90)</f>
        <v>2</v>
      </c>
      <c r="G45" s="131" t="e">
        <f>INDEX('Overdue Actions'!B108:B$126,'People Development'!$AO$90)</f>
        <v>#REF!</v>
      </c>
      <c r="H45" s="131" t="e">
        <f>INDEX('Overdue Actions'!C108:C$126,'People Development'!$AO$90)</f>
        <v>#REF!</v>
      </c>
      <c r="I45" s="131" t="e">
        <f>INDEX('Overdue Actions'!D108:D$126,'People Development'!$AO$90)</f>
        <v>#REF!</v>
      </c>
      <c r="J45" s="131" t="e">
        <f>INDEX('Overdue Actions'!E108:E$126,'People Development'!$AO$90)</f>
        <v>#REF!</v>
      </c>
      <c r="K45" s="131" t="str">
        <f>INDEX('Overdue Actions'!F108:F$126,'People Development'!$AO$90)</f>
        <v>N/A</v>
      </c>
      <c r="L45" s="131" t="e">
        <f>INDEX('Overdue Actions'!G108:G$126,'People Development'!$AO$90)</f>
        <v>#REF!</v>
      </c>
      <c r="M45" s="131" t="e">
        <f>INDEX('Overdue Actions'!H108:H$126,'People Development'!$AO$90)</f>
        <v>#REF!</v>
      </c>
      <c r="N45" s="131" t="e">
        <f>INDEX('Overdue Actions'!I108:I$126,'People Development'!$AO$90)</f>
        <v>#REF!</v>
      </c>
      <c r="O45" s="13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0" s="4" customFormat="1" ht="24.95" customHeight="1" x14ac:dyDescent="0.25">
      <c r="A46" s="126"/>
      <c r="B46" s="126"/>
      <c r="C46" s="126"/>
      <c r="D46" s="126"/>
      <c r="E46" s="126"/>
      <c r="F46" s="131">
        <f>INDEX('Overdue Actions'!A109:A$126,'People Development'!$AO$90)</f>
        <v>3</v>
      </c>
      <c r="G46" s="131" t="e">
        <f>INDEX('Overdue Actions'!B109:B$126,'People Development'!$AO$90)</f>
        <v>#REF!</v>
      </c>
      <c r="H46" s="131" t="e">
        <f>INDEX('Overdue Actions'!C109:C$126,'People Development'!$AO$90)</f>
        <v>#REF!</v>
      </c>
      <c r="I46" s="131" t="e">
        <f>INDEX('Overdue Actions'!D109:D$126,'People Development'!$AO$90)</f>
        <v>#REF!</v>
      </c>
      <c r="J46" s="131" t="e">
        <f>INDEX('Overdue Actions'!E109:E$126,'People Development'!$AO$90)</f>
        <v>#REF!</v>
      </c>
      <c r="K46" s="131" t="str">
        <f>INDEX('Overdue Actions'!F109:F$126,'People Development'!$AO$90)</f>
        <v>N/A</v>
      </c>
      <c r="L46" s="131" t="e">
        <f>INDEX('Overdue Actions'!G109:G$126,'People Development'!$AO$90)</f>
        <v>#REF!</v>
      </c>
      <c r="M46" s="131" t="e">
        <f>INDEX('Overdue Actions'!H109:H$126,'People Development'!$AO$90)</f>
        <v>#REF!</v>
      </c>
      <c r="N46" s="131" t="e">
        <f>INDEX('Overdue Actions'!I109:I$126,'People Development'!$AO$90)</f>
        <v>#REF!</v>
      </c>
      <c r="O46" s="13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0" s="4" customFormat="1" ht="24.95" customHeight="1" x14ac:dyDescent="0.25">
      <c r="A47" s="126"/>
      <c r="B47" s="126"/>
      <c r="C47" s="126"/>
      <c r="D47" s="126"/>
      <c r="E47" s="126"/>
      <c r="F47" s="131">
        <f>INDEX('Overdue Actions'!A110:A$126,'People Development'!$AO$90)</f>
        <v>4</v>
      </c>
      <c r="G47" s="131" t="e">
        <f>INDEX('Overdue Actions'!B110:B$126,'People Development'!$AO$90)</f>
        <v>#REF!</v>
      </c>
      <c r="H47" s="131" t="e">
        <f>INDEX('Overdue Actions'!C110:C$126,'People Development'!$AO$90)</f>
        <v>#REF!</v>
      </c>
      <c r="I47" s="131" t="e">
        <f>INDEX('Overdue Actions'!D110:D$126,'People Development'!$AO$90)</f>
        <v>#REF!</v>
      </c>
      <c r="J47" s="131" t="e">
        <f>INDEX('Overdue Actions'!E110:E$126,'People Development'!$AO$90)</f>
        <v>#REF!</v>
      </c>
      <c r="K47" s="131" t="e">
        <f>INDEX('Overdue Actions'!F110:F$126,'People Development'!$AO$90)</f>
        <v>#REF!</v>
      </c>
      <c r="L47" s="131" t="e">
        <f>INDEX('Overdue Actions'!G110:G$126,'People Development'!$AO$90)</f>
        <v>#REF!</v>
      </c>
      <c r="M47" s="131" t="e">
        <f>INDEX('Overdue Actions'!H110:H$126,'People Development'!$AO$90)</f>
        <v>#REF!</v>
      </c>
      <c r="N47" s="131" t="e">
        <f>INDEX('Overdue Actions'!I110:I$126,'People Development'!$AO$90)</f>
        <v>#REF!</v>
      </c>
      <c r="O47" s="13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0" s="4" customFormat="1" ht="24.95" customHeight="1" x14ac:dyDescent="0.25">
      <c r="A48" s="126"/>
      <c r="B48" s="126"/>
      <c r="C48" s="126"/>
      <c r="D48" s="126"/>
      <c r="E48" s="126"/>
      <c r="F48" s="131">
        <f>INDEX('Overdue Actions'!A111:A$126,'People Development'!$AO$90)</f>
        <v>5</v>
      </c>
      <c r="G48" s="131" t="e">
        <f>INDEX('Overdue Actions'!B111:B$126,'People Development'!$AO$90)</f>
        <v>#REF!</v>
      </c>
      <c r="H48" s="131" t="e">
        <f>INDEX('Overdue Actions'!C111:C$126,'People Development'!$AO$90)</f>
        <v>#REF!</v>
      </c>
      <c r="I48" s="131" t="e">
        <f>INDEX('Overdue Actions'!D111:D$126,'People Development'!$AO$90)</f>
        <v>#REF!</v>
      </c>
      <c r="J48" s="131" t="e">
        <f>INDEX('Overdue Actions'!E111:E$126,'People Development'!$AO$90)</f>
        <v>#REF!</v>
      </c>
      <c r="K48" s="131" t="e">
        <f>INDEX('Overdue Actions'!F111:F$126,'People Development'!$AO$90)</f>
        <v>#REF!</v>
      </c>
      <c r="L48" s="131" t="e">
        <f>INDEX('Overdue Actions'!G111:G$126,'People Development'!$AO$90)</f>
        <v>#REF!</v>
      </c>
      <c r="M48" s="131" t="e">
        <f>INDEX('Overdue Actions'!H111:H$126,'People Development'!$AO$90)</f>
        <v>#REF!</v>
      </c>
      <c r="N48" s="131" t="e">
        <f>INDEX('Overdue Actions'!I111:I$126,'People Development'!$AO$90)</f>
        <v>#REF!</v>
      </c>
      <c r="O48" s="133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s="4" customFormat="1" ht="24.95" customHeight="1" x14ac:dyDescent="0.25">
      <c r="A49" s="126"/>
      <c r="B49" s="126"/>
      <c r="C49" s="126"/>
      <c r="D49" s="126"/>
      <c r="E49" s="126"/>
      <c r="F49" s="131">
        <f>INDEX('Overdue Actions'!A112:A$126,'People Development'!$AO$90)</f>
        <v>6</v>
      </c>
      <c r="G49" s="131" t="e">
        <f>INDEX('Overdue Actions'!B112:B$126,'People Development'!$AO$90)</f>
        <v>#REF!</v>
      </c>
      <c r="H49" s="131" t="e">
        <f>INDEX('Overdue Actions'!C112:C$126,'People Development'!$AO$90)</f>
        <v>#REF!</v>
      </c>
      <c r="I49" s="131" t="e">
        <f>INDEX('Overdue Actions'!D112:D$126,'People Development'!$AO$90)</f>
        <v>#REF!</v>
      </c>
      <c r="J49" s="131" t="e">
        <f>INDEX('Overdue Actions'!E112:E$126,'People Development'!$AO$90)</f>
        <v>#REF!</v>
      </c>
      <c r="K49" s="131" t="e">
        <f>INDEX('Overdue Actions'!F112:F$126,'People Development'!$AO$90)</f>
        <v>#REF!</v>
      </c>
      <c r="L49" s="131" t="e">
        <f>INDEX('Overdue Actions'!G112:G$126,'People Development'!$AO$90)</f>
        <v>#REF!</v>
      </c>
      <c r="M49" s="131" t="str">
        <f>INDEX('Overdue Actions'!H112:H$126,'People Development'!$AO$90)</f>
        <v>N/A</v>
      </c>
      <c r="N49" s="131" t="e">
        <f>INDEX('Overdue Actions'!I112:I$126,'People Development'!$AO$90)</f>
        <v>#REF!</v>
      </c>
      <c r="O49" s="133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s="4" customFormat="1" ht="24.95" customHeight="1" x14ac:dyDescent="0.25">
      <c r="A50" s="126"/>
      <c r="B50" s="126"/>
      <c r="C50" s="126"/>
      <c r="D50" s="126"/>
      <c r="E50" s="126"/>
      <c r="F50" s="131">
        <f>INDEX('Overdue Actions'!A113:A$126,'People Development'!$AO$90)</f>
        <v>7</v>
      </c>
      <c r="G50" s="131" t="e">
        <f>INDEX('Overdue Actions'!B113:B$126,'People Development'!$AO$90)</f>
        <v>#REF!</v>
      </c>
      <c r="H50" s="131" t="e">
        <f>INDEX('Overdue Actions'!C113:C$126,'People Development'!$AO$90)</f>
        <v>#REF!</v>
      </c>
      <c r="I50" s="131" t="e">
        <f>INDEX('Overdue Actions'!D113:D$126,'People Development'!$AO$90)</f>
        <v>#REF!</v>
      </c>
      <c r="J50" s="131" t="e">
        <f>INDEX('Overdue Actions'!E113:E$126,'People Development'!$AO$90)</f>
        <v>#REF!</v>
      </c>
      <c r="K50" s="131" t="e">
        <f>INDEX('Overdue Actions'!F113:F$126,'People Development'!$AO$90)</f>
        <v>#REF!</v>
      </c>
      <c r="L50" s="131" t="e">
        <f>INDEX('Overdue Actions'!G113:G$126,'People Development'!$AO$90)</f>
        <v>#REF!</v>
      </c>
      <c r="M50" s="131" t="e">
        <f>INDEX('Overdue Actions'!H113:H$126,'People Development'!$AO$90)</f>
        <v>#REF!</v>
      </c>
      <c r="N50" s="131" t="e">
        <f>INDEX('Overdue Actions'!I113:I$126,'People Development'!$AO$90)</f>
        <v>#REF!</v>
      </c>
      <c r="O50" s="133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s="4" customFormat="1" ht="24.95" customHeight="1" x14ac:dyDescent="0.25">
      <c r="A51" s="126"/>
      <c r="B51" s="126"/>
      <c r="C51" s="126"/>
      <c r="D51" s="126"/>
      <c r="E51" s="126"/>
      <c r="F51" s="131">
        <f>INDEX('Overdue Actions'!A114:A$126,'People Development'!$AO$90)</f>
        <v>8</v>
      </c>
      <c r="G51" s="131" t="e">
        <f>INDEX('Overdue Actions'!B114:B$126,'People Development'!$AO$90)</f>
        <v>#REF!</v>
      </c>
      <c r="H51" s="131" t="e">
        <f>INDEX('Overdue Actions'!C114:C$126,'People Development'!$AO$90)</f>
        <v>#REF!</v>
      </c>
      <c r="I51" s="131" t="e">
        <f>INDEX('Overdue Actions'!D114:D$126,'People Development'!$AO$90)</f>
        <v>#REF!</v>
      </c>
      <c r="J51" s="131" t="e">
        <f>INDEX('Overdue Actions'!E114:E$126,'People Development'!$AO$90)</f>
        <v>#REF!</v>
      </c>
      <c r="K51" s="131" t="e">
        <f>INDEX('Overdue Actions'!F114:F$126,'People Development'!$AO$90)</f>
        <v>#REF!</v>
      </c>
      <c r="L51" s="131" t="e">
        <f>INDEX('Overdue Actions'!G114:G$126,'People Development'!$AO$90)</f>
        <v>#REF!</v>
      </c>
      <c r="M51" s="131" t="e">
        <f>INDEX('Overdue Actions'!H114:H$126,'People Development'!$AO$90)</f>
        <v>#REF!</v>
      </c>
      <c r="N51" s="131" t="e">
        <f>INDEX('Overdue Actions'!I114:I$126,'People Development'!$AO$90)</f>
        <v>#REF!</v>
      </c>
      <c r="O51" s="133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s="4" customFormat="1" ht="24.95" customHeight="1" x14ac:dyDescent="0.25">
      <c r="A52" s="126"/>
      <c r="B52" s="126"/>
      <c r="C52" s="126"/>
      <c r="D52" s="126"/>
      <c r="E52" s="126"/>
      <c r="F52" s="131">
        <f>INDEX('Overdue Actions'!A115:A$126,'People Development'!$AO$90)</f>
        <v>9</v>
      </c>
      <c r="G52" s="131" t="e">
        <f>INDEX('Overdue Actions'!B115:B$126,'People Development'!$AO$90)</f>
        <v>#REF!</v>
      </c>
      <c r="H52" s="131" t="e">
        <f>INDEX('Overdue Actions'!C115:C$126,'People Development'!$AO$90)</f>
        <v>#REF!</v>
      </c>
      <c r="I52" s="131" t="e">
        <f>INDEX('Overdue Actions'!D115:D$126,'People Development'!$AO$90)</f>
        <v>#REF!</v>
      </c>
      <c r="J52" s="131" t="e">
        <f>INDEX('Overdue Actions'!E115:E$126,'People Development'!$AO$90)</f>
        <v>#REF!</v>
      </c>
      <c r="K52" s="131" t="e">
        <f>INDEX('Overdue Actions'!F115:F$126,'People Development'!$AO$90)</f>
        <v>#REF!</v>
      </c>
      <c r="L52" s="131" t="e">
        <f>INDEX('Overdue Actions'!G115:G$126,'People Development'!$AO$90)</f>
        <v>#REF!</v>
      </c>
      <c r="M52" s="131" t="e">
        <f>INDEX('Overdue Actions'!H115:H$126,'People Development'!$AO$90)</f>
        <v>#REF!</v>
      </c>
      <c r="N52" s="131" t="e">
        <f>INDEX('Overdue Actions'!I115:I$126,'People Development'!$AO$90)</f>
        <v>#REF!</v>
      </c>
      <c r="O52" s="133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s="4" customFormat="1" ht="24.95" customHeight="1" x14ac:dyDescent="0.25">
      <c r="A53" s="126"/>
      <c r="B53" s="126"/>
      <c r="C53" s="126"/>
      <c r="D53" s="126"/>
      <c r="E53" s="126"/>
      <c r="F53" s="131">
        <f>INDEX('Overdue Actions'!A116:A$126,'People Development'!$AO$90)</f>
        <v>10</v>
      </c>
      <c r="G53" s="131" t="e">
        <f>INDEX('Overdue Actions'!B116:B$126,'People Development'!$AO$90)</f>
        <v>#REF!</v>
      </c>
      <c r="H53" s="131" t="e">
        <f>INDEX('Overdue Actions'!C116:C$126,'People Development'!$AO$90)</f>
        <v>#REF!</v>
      </c>
      <c r="I53" s="131" t="e">
        <f>INDEX('Overdue Actions'!D116:D$126,'People Development'!$AO$90)</f>
        <v>#REF!</v>
      </c>
      <c r="J53" s="131" t="e">
        <f>INDEX('Overdue Actions'!E116:E$126,'People Development'!$AO$90)</f>
        <v>#REF!</v>
      </c>
      <c r="K53" s="131" t="e">
        <f>INDEX('Overdue Actions'!F116:F$126,'People Development'!$AO$90)</f>
        <v>#REF!</v>
      </c>
      <c r="L53" s="131" t="e">
        <f>INDEX('Overdue Actions'!G116:G$126,'People Development'!$AO$90)</f>
        <v>#REF!</v>
      </c>
      <c r="M53" s="131" t="e">
        <f>INDEX('Overdue Actions'!H116:H$126,'People Development'!$AO$90)</f>
        <v>#REF!</v>
      </c>
      <c r="N53" s="131" t="e">
        <f>INDEX('Overdue Actions'!I116:I$126,'People Development'!$AO$90)</f>
        <v>#REF!</v>
      </c>
      <c r="O53" s="133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x14ac:dyDescent="0.25">
      <c r="A54" s="104"/>
      <c r="B54" s="104"/>
      <c r="C54" s="104"/>
      <c r="D54" s="104"/>
      <c r="E54" s="104"/>
      <c r="F54" s="118"/>
      <c r="G54" s="118"/>
      <c r="H54" s="118"/>
      <c r="I54" s="118"/>
      <c r="J54" s="118"/>
      <c r="K54" s="120"/>
      <c r="L54" s="120"/>
      <c r="M54" s="118"/>
      <c r="N54" s="118"/>
      <c r="O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</row>
    <row r="55" spans="1:40" x14ac:dyDescent="0.25">
      <c r="A55" s="104"/>
      <c r="B55" s="104"/>
      <c r="C55" s="104"/>
      <c r="D55" s="104"/>
      <c r="E55" s="104"/>
      <c r="F55" s="118"/>
      <c r="G55" s="118"/>
      <c r="H55" s="118"/>
      <c r="I55" s="118"/>
      <c r="J55" s="118"/>
      <c r="K55" s="120"/>
      <c r="L55" s="120"/>
      <c r="M55" s="118"/>
      <c r="N55" s="118"/>
      <c r="O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spans="1:40" x14ac:dyDescent="0.25">
      <c r="A56" s="104"/>
      <c r="B56" s="104"/>
      <c r="C56" s="104"/>
      <c r="D56" s="104"/>
      <c r="E56" s="104"/>
      <c r="F56" s="118"/>
      <c r="G56" s="118"/>
      <c r="H56" s="118"/>
      <c r="I56" s="118"/>
      <c r="J56" s="118"/>
      <c r="K56" s="120"/>
      <c r="L56" s="120"/>
      <c r="M56" s="118"/>
      <c r="N56" s="118"/>
      <c r="O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</row>
    <row r="57" spans="1:40" x14ac:dyDescent="0.25">
      <c r="A57" s="104"/>
      <c r="B57" s="104"/>
      <c r="C57" s="104"/>
      <c r="D57" s="104"/>
      <c r="E57" s="104"/>
      <c r="F57" s="118"/>
      <c r="G57" s="118"/>
      <c r="H57" s="118"/>
      <c r="I57" s="118"/>
      <c r="J57" s="118"/>
      <c r="K57" s="120"/>
      <c r="L57" s="120"/>
      <c r="M57" s="118"/>
      <c r="N57" s="118"/>
      <c r="O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</row>
    <row r="58" spans="1:40" x14ac:dyDescent="0.25">
      <c r="A58" s="104"/>
      <c r="B58" s="104"/>
      <c r="C58" s="104"/>
      <c r="D58" s="104"/>
      <c r="E58" s="104"/>
      <c r="F58" s="118"/>
      <c r="G58" s="118"/>
      <c r="H58" s="118"/>
      <c r="I58" s="118"/>
      <c r="J58" s="118"/>
      <c r="K58" s="120"/>
      <c r="L58" s="120"/>
      <c r="M58" s="118"/>
      <c r="N58" s="118"/>
      <c r="O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</row>
    <row r="59" spans="1:40" x14ac:dyDescent="0.25">
      <c r="A59" s="104"/>
      <c r="B59" s="104"/>
      <c r="C59" s="104"/>
      <c r="D59" s="104"/>
      <c r="E59" s="104"/>
      <c r="F59" s="118"/>
      <c r="G59" s="118"/>
      <c r="H59" s="118"/>
      <c r="I59" s="118"/>
      <c r="J59" s="118"/>
      <c r="K59" s="120"/>
      <c r="L59" s="120"/>
      <c r="M59" s="118"/>
      <c r="N59" s="118"/>
      <c r="O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</row>
    <row r="60" spans="1:40" x14ac:dyDescent="0.25">
      <c r="A60" s="104"/>
      <c r="B60" s="104"/>
      <c r="C60" s="104"/>
      <c r="D60" s="104"/>
      <c r="E60" s="104"/>
      <c r="F60" s="118"/>
      <c r="G60" s="118"/>
      <c r="H60" s="118"/>
      <c r="I60" s="118"/>
      <c r="J60" s="118"/>
      <c r="K60" s="120"/>
      <c r="L60" s="120"/>
      <c r="M60" s="120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spans="1:40" x14ac:dyDescent="0.25">
      <c r="A61" s="104"/>
      <c r="B61" s="104"/>
      <c r="C61" s="104"/>
      <c r="D61" s="104"/>
      <c r="E61" s="104"/>
      <c r="F61" s="118"/>
      <c r="G61" s="118"/>
      <c r="H61" s="118"/>
      <c r="I61" s="118"/>
      <c r="J61" s="118"/>
      <c r="K61" s="120"/>
      <c r="L61" s="120"/>
      <c r="M61" s="120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</row>
    <row r="62" spans="1:40" x14ac:dyDescent="0.25">
      <c r="A62" s="104"/>
      <c r="B62" s="104"/>
      <c r="C62" s="104"/>
      <c r="D62" s="104"/>
      <c r="E62" s="104"/>
      <c r="F62" s="118"/>
      <c r="G62" s="118"/>
      <c r="H62" s="118"/>
      <c r="I62" s="118"/>
      <c r="J62" s="118"/>
      <c r="K62" s="120"/>
      <c r="L62" s="120"/>
      <c r="M62" s="120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</row>
    <row r="63" spans="1:40" x14ac:dyDescent="0.25">
      <c r="A63" s="104"/>
      <c r="B63" s="104"/>
      <c r="C63" s="104"/>
      <c r="D63" s="104"/>
      <c r="E63" s="104"/>
      <c r="F63" s="118"/>
      <c r="G63" s="118"/>
      <c r="H63" s="118"/>
      <c r="I63" s="118"/>
      <c r="J63" s="118"/>
      <c r="K63" s="120"/>
      <c r="L63" s="120"/>
      <c r="M63" s="120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</row>
    <row r="64" spans="1:40" x14ac:dyDescent="0.25">
      <c r="A64" s="104"/>
      <c r="B64" s="104"/>
      <c r="C64" s="104"/>
      <c r="D64" s="104"/>
      <c r="E64" s="104"/>
      <c r="F64" s="118"/>
      <c r="G64" s="118"/>
      <c r="H64" s="118"/>
      <c r="I64" s="118"/>
      <c r="J64" s="118"/>
      <c r="K64" s="120"/>
      <c r="L64" s="120"/>
      <c r="M64" s="120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</row>
    <row r="65" spans="1:40" x14ac:dyDescent="0.25">
      <c r="A65" s="104"/>
      <c r="B65" s="104"/>
      <c r="C65" s="104"/>
      <c r="D65" s="104"/>
      <c r="E65" s="104"/>
      <c r="F65" s="118"/>
      <c r="G65" s="118"/>
      <c r="H65" s="118"/>
      <c r="I65" s="118"/>
      <c r="J65" s="118"/>
      <c r="K65" s="120"/>
      <c r="L65" s="120"/>
      <c r="M65" s="120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</row>
    <row r="66" spans="1:40" x14ac:dyDescent="0.25">
      <c r="A66" s="104"/>
      <c r="B66" s="104"/>
      <c r="C66" s="104"/>
      <c r="D66" s="104"/>
      <c r="E66" s="104"/>
    </row>
    <row r="67" spans="1:40" x14ac:dyDescent="0.25">
      <c r="A67" s="104"/>
      <c r="B67" s="104"/>
      <c r="C67" s="104"/>
      <c r="D67" s="104"/>
      <c r="E67" s="104"/>
    </row>
    <row r="90" spans="41:41" x14ac:dyDescent="0.25">
      <c r="AO90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F45:F53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croll Bar 1">
              <controlPr defaultSize="0" autoPict="0">
                <anchor moveWithCells="1">
                  <from>
                    <xdr:col>15</xdr:col>
                    <xdr:colOff>95250</xdr:colOff>
                    <xdr:row>41</xdr:row>
                    <xdr:rowOff>180975</xdr:rowOff>
                  </from>
                  <to>
                    <xdr:col>15</xdr:col>
                    <xdr:colOff>295275</xdr:colOff>
                    <xdr:row>52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3608-BE6C-462B-AC12-9EDDDF5C41F5}">
  <sheetPr codeName="Sheet15">
    <tabColor theme="8"/>
    <pageSetUpPr autoPageBreaks="0"/>
  </sheetPr>
  <dimension ref="A1:AO90"/>
  <sheetViews>
    <sheetView showGridLines="0" zoomScale="70" zoomScaleNormal="70" zoomScaleSheetLayoutView="75" workbookViewId="0">
      <selection activeCell="F44" sqref="F44:O53"/>
    </sheetView>
  </sheetViews>
  <sheetFormatPr defaultRowHeight="15" x14ac:dyDescent="0.25"/>
  <cols>
    <col min="5" max="5" width="13.85546875" customWidth="1"/>
    <col min="6" max="6" width="3.5703125" bestFit="1" customWidth="1"/>
    <col min="7" max="7" width="19" bestFit="1" customWidth="1"/>
    <col min="8" max="8" width="132.7109375" bestFit="1" customWidth="1"/>
    <col min="9" max="9" width="114.5703125" bestFit="1" customWidth="1"/>
    <col min="10" max="10" width="45.140625" bestFit="1" customWidth="1"/>
    <col min="11" max="11" width="10.85546875" style="100" bestFit="1" customWidth="1"/>
    <col min="12" max="12" width="12" style="100" bestFit="1" customWidth="1"/>
    <col min="13" max="13" width="8.85546875" style="100" customWidth="1"/>
    <col min="14" max="14" width="17.7109375" bestFit="1" customWidth="1"/>
  </cols>
  <sheetData>
    <row r="1" spans="1:40" x14ac:dyDescent="0.25">
      <c r="A1" s="104"/>
      <c r="B1" s="104"/>
      <c r="C1" s="104"/>
      <c r="D1" s="104"/>
      <c r="E1" s="104"/>
      <c r="F1" s="117"/>
      <c r="G1" s="117"/>
      <c r="H1" s="117"/>
      <c r="I1" s="117"/>
      <c r="J1" s="117"/>
      <c r="K1" s="119"/>
      <c r="L1" s="119"/>
      <c r="M1" s="119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</row>
    <row r="2" spans="1:40" x14ac:dyDescent="0.25">
      <c r="A2" s="104"/>
      <c r="B2" s="104"/>
      <c r="C2" s="104"/>
      <c r="D2" s="104"/>
      <c r="E2" s="104"/>
      <c r="F2" s="117"/>
      <c r="G2" s="117"/>
      <c r="H2" s="117"/>
      <c r="I2" s="117"/>
      <c r="J2" s="117"/>
      <c r="K2" s="119"/>
      <c r="L2" s="119"/>
      <c r="M2" s="119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</row>
    <row r="3" spans="1:40" x14ac:dyDescent="0.25">
      <c r="A3" s="104"/>
      <c r="B3" s="104"/>
      <c r="C3" s="104"/>
      <c r="D3" s="104"/>
      <c r="E3" s="104"/>
      <c r="F3" s="117"/>
      <c r="G3" s="117"/>
      <c r="H3" s="117"/>
      <c r="I3" s="117"/>
      <c r="J3" s="117"/>
      <c r="K3" s="119"/>
      <c r="L3" s="119"/>
      <c r="M3" s="119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</row>
    <row r="4" spans="1:40" x14ac:dyDescent="0.25">
      <c r="A4" s="104"/>
      <c r="B4" s="104"/>
      <c r="C4" s="104"/>
      <c r="D4" s="104"/>
      <c r="E4" s="104"/>
      <c r="F4" s="117"/>
      <c r="G4" s="117"/>
      <c r="H4" s="117"/>
      <c r="I4" s="117"/>
      <c r="J4" s="117"/>
      <c r="K4" s="119"/>
      <c r="L4" s="119"/>
      <c r="M4" s="119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</row>
    <row r="5" spans="1:40" x14ac:dyDescent="0.25">
      <c r="A5" s="104"/>
      <c r="B5" s="104"/>
      <c r="C5" s="104"/>
      <c r="D5" s="104"/>
      <c r="E5" s="104"/>
      <c r="F5" s="117"/>
      <c r="G5" s="117"/>
      <c r="H5" s="117"/>
      <c r="I5" s="117"/>
      <c r="J5" s="117"/>
      <c r="K5" s="119"/>
      <c r="L5" s="119"/>
      <c r="M5" s="119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</row>
    <row r="6" spans="1:40" x14ac:dyDescent="0.25">
      <c r="A6" s="104"/>
      <c r="B6" s="104"/>
      <c r="C6" s="104"/>
      <c r="D6" s="104"/>
      <c r="E6" s="104"/>
      <c r="F6" s="117"/>
      <c r="G6" s="117"/>
      <c r="H6" s="117"/>
      <c r="I6" s="117"/>
      <c r="J6" s="117"/>
      <c r="K6" s="119"/>
      <c r="L6" s="119"/>
      <c r="M6" s="119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</row>
    <row r="7" spans="1:40" x14ac:dyDescent="0.25">
      <c r="A7" s="104"/>
      <c r="B7" s="104"/>
      <c r="C7" s="104"/>
      <c r="D7" s="104"/>
      <c r="E7" s="104"/>
      <c r="F7" s="118"/>
      <c r="G7" s="118"/>
      <c r="H7" s="118"/>
      <c r="I7" s="118"/>
      <c r="J7" s="118"/>
      <c r="K7" s="120"/>
      <c r="L7" s="120"/>
      <c r="M7" s="120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</row>
    <row r="8" spans="1:40" x14ac:dyDescent="0.25">
      <c r="A8" s="104"/>
      <c r="B8" s="104"/>
      <c r="C8" s="104"/>
      <c r="D8" s="104"/>
      <c r="E8" s="104"/>
      <c r="F8" s="118"/>
      <c r="G8" s="118"/>
      <c r="H8" s="118"/>
      <c r="I8" s="118"/>
      <c r="J8" s="118"/>
      <c r="K8" s="120"/>
      <c r="L8" s="120"/>
      <c r="M8" s="120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</row>
    <row r="9" spans="1:40" x14ac:dyDescent="0.25">
      <c r="A9" s="104"/>
      <c r="B9" s="104"/>
      <c r="C9" s="104"/>
      <c r="D9" s="104"/>
      <c r="E9" s="104"/>
      <c r="F9" s="118"/>
      <c r="G9" s="118"/>
      <c r="H9" s="118"/>
      <c r="I9" s="118"/>
      <c r="J9" s="118"/>
      <c r="K9" s="120"/>
      <c r="L9" s="120"/>
      <c r="M9" s="120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x14ac:dyDescent="0.25">
      <c r="A10" s="104"/>
      <c r="B10" s="104"/>
      <c r="C10" s="104"/>
      <c r="D10" s="104"/>
      <c r="E10" s="104"/>
      <c r="F10" s="118"/>
      <c r="G10" s="118"/>
      <c r="H10" s="118"/>
      <c r="I10" s="118"/>
      <c r="J10" s="118"/>
      <c r="K10" s="120"/>
      <c r="L10" s="120"/>
      <c r="M10" s="120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</row>
    <row r="11" spans="1:40" x14ac:dyDescent="0.25">
      <c r="A11" s="104"/>
      <c r="B11" s="104"/>
      <c r="C11" s="104"/>
      <c r="D11" s="104"/>
      <c r="E11" s="104"/>
      <c r="F11" s="118"/>
      <c r="G11" s="118"/>
      <c r="H11" s="118"/>
      <c r="I11" s="118"/>
      <c r="J11" s="118"/>
      <c r="K11" s="120"/>
      <c r="L11" s="120"/>
      <c r="M11" s="120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</row>
    <row r="12" spans="1:40" x14ac:dyDescent="0.25">
      <c r="A12" s="104"/>
      <c r="B12" s="104"/>
      <c r="C12" s="104"/>
      <c r="D12" s="104"/>
      <c r="E12" s="104"/>
      <c r="F12" s="118"/>
      <c r="G12" s="118"/>
      <c r="H12" s="118"/>
      <c r="I12" s="118"/>
      <c r="J12" s="118"/>
      <c r="K12" s="120"/>
      <c r="L12" s="120"/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</row>
    <row r="13" spans="1:40" x14ac:dyDescent="0.25">
      <c r="A13" s="104"/>
      <c r="B13" s="104"/>
      <c r="C13" s="104"/>
      <c r="D13" s="104"/>
      <c r="E13" s="104"/>
      <c r="F13" s="118"/>
      <c r="G13" s="118"/>
      <c r="H13" s="118"/>
      <c r="I13" s="118"/>
      <c r="J13" s="118"/>
      <c r="K13" s="120"/>
      <c r="L13" s="120"/>
      <c r="M13" s="120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</row>
    <row r="14" spans="1:40" x14ac:dyDescent="0.25">
      <c r="A14" s="104"/>
      <c r="B14" s="104"/>
      <c r="C14" s="104"/>
      <c r="D14" s="104"/>
      <c r="E14" s="104"/>
      <c r="F14" s="118"/>
      <c r="G14" s="118"/>
      <c r="H14" s="118"/>
      <c r="I14" s="118"/>
      <c r="J14" s="118"/>
      <c r="K14" s="120"/>
      <c r="L14" s="120"/>
      <c r="M14" s="120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</row>
    <row r="15" spans="1:40" x14ac:dyDescent="0.25">
      <c r="A15" s="104"/>
      <c r="B15" s="104"/>
      <c r="C15" s="104"/>
      <c r="D15" s="104"/>
      <c r="E15" s="104"/>
      <c r="F15" s="118"/>
      <c r="G15" s="118"/>
      <c r="H15" s="118"/>
      <c r="I15" s="118"/>
      <c r="J15" s="118"/>
      <c r="K15" s="120"/>
      <c r="L15" s="120"/>
      <c r="M15" s="120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</row>
    <row r="16" spans="1:40" x14ac:dyDescent="0.25">
      <c r="A16" s="104"/>
      <c r="B16" s="104"/>
      <c r="C16" s="104"/>
      <c r="D16" s="104"/>
      <c r="E16" s="104"/>
      <c r="F16" s="118"/>
      <c r="G16" s="118"/>
      <c r="H16" s="118"/>
      <c r="I16" s="118"/>
      <c r="J16" s="118"/>
      <c r="K16" s="120"/>
      <c r="L16" s="120"/>
      <c r="M16" s="120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</row>
    <row r="17" spans="1:40" x14ac:dyDescent="0.25">
      <c r="A17" s="104"/>
      <c r="B17" s="104"/>
      <c r="C17" s="104"/>
      <c r="D17" s="104"/>
      <c r="E17" s="104"/>
      <c r="F17" s="118"/>
      <c r="G17" s="118"/>
      <c r="H17" s="118"/>
      <c r="I17" s="118"/>
      <c r="J17" s="118"/>
      <c r="K17" s="120"/>
      <c r="L17" s="120"/>
      <c r="M17" s="120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</row>
    <row r="18" spans="1:40" x14ac:dyDescent="0.25">
      <c r="A18" s="104"/>
      <c r="B18" s="104"/>
      <c r="C18" s="104"/>
      <c r="D18" s="104"/>
      <c r="E18" s="104"/>
      <c r="F18" s="118"/>
      <c r="G18" s="118"/>
      <c r="H18" s="118"/>
      <c r="I18" s="118"/>
      <c r="J18" s="118"/>
      <c r="K18" s="120"/>
      <c r="L18" s="120"/>
      <c r="M18" s="120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</row>
    <row r="19" spans="1:40" x14ac:dyDescent="0.25">
      <c r="A19" s="104"/>
      <c r="B19" s="104"/>
      <c r="C19" s="104"/>
      <c r="D19" s="104"/>
      <c r="E19" s="104"/>
      <c r="F19" s="118"/>
      <c r="G19" s="118"/>
      <c r="H19" s="118"/>
      <c r="I19" s="118"/>
      <c r="J19" s="118"/>
      <c r="K19" s="120"/>
      <c r="L19" s="120"/>
      <c r="M19" s="120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</row>
    <row r="20" spans="1:40" x14ac:dyDescent="0.25">
      <c r="A20" s="104"/>
      <c r="B20" s="104"/>
      <c r="C20" s="104"/>
      <c r="D20" s="104"/>
      <c r="E20" s="104"/>
      <c r="F20" s="118"/>
      <c r="G20" s="118"/>
      <c r="H20" s="118"/>
      <c r="I20" s="118"/>
      <c r="J20" s="118"/>
      <c r="K20" s="120"/>
      <c r="L20" s="120"/>
      <c r="M20" s="120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</row>
    <row r="21" spans="1:40" x14ac:dyDescent="0.25">
      <c r="A21" s="104"/>
      <c r="B21" s="104"/>
      <c r="C21" s="104"/>
      <c r="D21" s="104"/>
      <c r="E21" s="104"/>
      <c r="F21" s="118"/>
      <c r="G21" s="118"/>
      <c r="H21" s="118"/>
      <c r="I21" s="118"/>
      <c r="J21" s="118"/>
      <c r="K21" s="120"/>
      <c r="L21" s="120"/>
      <c r="M21" s="120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x14ac:dyDescent="0.25">
      <c r="A22" s="104"/>
      <c r="B22" s="104"/>
      <c r="C22" s="104"/>
      <c r="D22" s="104"/>
      <c r="E22" s="104"/>
      <c r="F22" s="118"/>
      <c r="G22" s="118"/>
      <c r="H22" s="118"/>
      <c r="I22" s="118"/>
      <c r="J22" s="118"/>
      <c r="K22" s="120"/>
      <c r="L22" s="120"/>
      <c r="M22" s="120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</row>
    <row r="23" spans="1:40" x14ac:dyDescent="0.25">
      <c r="A23" s="104"/>
      <c r="B23" s="104"/>
      <c r="C23" s="104"/>
      <c r="D23" s="104"/>
      <c r="E23" s="104"/>
      <c r="F23" s="118"/>
      <c r="G23" s="118"/>
      <c r="H23" s="118"/>
      <c r="I23" s="118"/>
      <c r="J23" s="118"/>
      <c r="K23" s="120"/>
      <c r="L23" s="120"/>
      <c r="M23" s="120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</row>
    <row r="24" spans="1:40" x14ac:dyDescent="0.25">
      <c r="A24" s="104"/>
      <c r="B24" s="104"/>
      <c r="C24" s="104"/>
      <c r="D24" s="104"/>
      <c r="E24" s="104"/>
      <c r="F24" s="118"/>
      <c r="G24" s="118"/>
      <c r="H24" s="118"/>
      <c r="I24" s="118"/>
      <c r="J24" s="118"/>
      <c r="K24" s="120"/>
      <c r="L24" s="120"/>
      <c r="M24" s="120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</row>
    <row r="25" spans="1:40" x14ac:dyDescent="0.25">
      <c r="A25" s="104"/>
      <c r="B25" s="104"/>
      <c r="C25" s="104"/>
      <c r="D25" s="104"/>
      <c r="E25" s="104"/>
      <c r="F25" s="118"/>
      <c r="G25" s="118"/>
      <c r="H25" s="118"/>
      <c r="I25" s="118"/>
      <c r="J25" s="118"/>
      <c r="K25" s="120"/>
      <c r="L25" s="120"/>
      <c r="M25" s="120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</row>
    <row r="26" spans="1:40" x14ac:dyDescent="0.25">
      <c r="A26" s="104"/>
      <c r="B26" s="104"/>
      <c r="C26" s="104"/>
      <c r="D26" s="104"/>
      <c r="E26" s="104"/>
      <c r="F26" s="118"/>
      <c r="G26" s="118"/>
      <c r="H26" s="118"/>
      <c r="I26" s="118"/>
      <c r="J26" s="118"/>
      <c r="K26" s="120"/>
      <c r="L26" s="120"/>
      <c r="M26" s="120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</row>
    <row r="27" spans="1:40" x14ac:dyDescent="0.25">
      <c r="A27" s="104"/>
      <c r="B27" s="104"/>
      <c r="C27" s="104"/>
      <c r="D27" s="104"/>
      <c r="E27" s="104"/>
      <c r="F27" s="118"/>
      <c r="G27" s="118"/>
      <c r="H27" s="118"/>
      <c r="I27" s="118"/>
      <c r="J27" s="118"/>
      <c r="K27" s="120"/>
      <c r="L27" s="120"/>
      <c r="M27" s="120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</row>
    <row r="28" spans="1:40" x14ac:dyDescent="0.25">
      <c r="A28" s="104"/>
      <c r="B28" s="104"/>
      <c r="C28" s="104"/>
      <c r="D28" s="104"/>
      <c r="E28" s="104"/>
      <c r="F28" s="118"/>
      <c r="G28" s="118"/>
      <c r="H28" s="118"/>
      <c r="I28" s="118"/>
      <c r="J28" s="118"/>
      <c r="K28" s="120"/>
      <c r="L28" s="120"/>
      <c r="M28" s="120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</row>
    <row r="29" spans="1:40" x14ac:dyDescent="0.25">
      <c r="A29" s="104"/>
      <c r="B29" s="104"/>
      <c r="C29" s="104"/>
      <c r="D29" s="104"/>
      <c r="E29" s="104"/>
      <c r="F29" s="118"/>
      <c r="G29" s="118"/>
      <c r="H29" s="118"/>
      <c r="I29" s="118"/>
      <c r="J29" s="118"/>
      <c r="K29" s="120"/>
      <c r="L29" s="120"/>
      <c r="M29" s="120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</row>
    <row r="30" spans="1:40" x14ac:dyDescent="0.25">
      <c r="A30" s="104"/>
      <c r="B30" s="104"/>
      <c r="C30" s="104"/>
      <c r="D30" s="104"/>
      <c r="E30" s="104"/>
      <c r="F30" s="118"/>
      <c r="G30" s="118"/>
      <c r="H30" s="118"/>
      <c r="I30" s="118"/>
      <c r="J30" s="118"/>
      <c r="K30" s="120"/>
      <c r="L30" s="120"/>
      <c r="M30" s="120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</row>
    <row r="31" spans="1:40" x14ac:dyDescent="0.25">
      <c r="A31" s="104"/>
      <c r="B31" s="104"/>
      <c r="C31" s="104"/>
      <c r="D31" s="104"/>
      <c r="E31" s="104"/>
      <c r="F31" s="118"/>
      <c r="G31" s="118"/>
      <c r="H31" s="118"/>
      <c r="I31" s="118"/>
      <c r="J31" s="118"/>
      <c r="K31" s="120"/>
      <c r="L31" s="120"/>
      <c r="M31" s="120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</row>
    <row r="32" spans="1:40" x14ac:dyDescent="0.25">
      <c r="A32" s="104"/>
      <c r="B32" s="104"/>
      <c r="C32" s="104"/>
      <c r="D32" s="104"/>
      <c r="E32" s="104"/>
      <c r="F32" s="118"/>
      <c r="G32" s="118"/>
      <c r="H32" s="118"/>
      <c r="I32" s="118"/>
      <c r="J32" s="118"/>
      <c r="K32" s="120"/>
      <c r="L32" s="120"/>
      <c r="M32" s="120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</row>
    <row r="33" spans="1:40" x14ac:dyDescent="0.25">
      <c r="A33" s="104"/>
      <c r="B33" s="104"/>
      <c r="C33" s="104"/>
      <c r="D33" s="104"/>
      <c r="E33" s="104"/>
      <c r="F33" s="118"/>
      <c r="G33" s="118"/>
      <c r="H33" s="118"/>
      <c r="I33" s="118"/>
      <c r="J33" s="118"/>
      <c r="K33" s="120"/>
      <c r="L33" s="120"/>
      <c r="M33" s="120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</row>
    <row r="34" spans="1:40" x14ac:dyDescent="0.25">
      <c r="A34" s="104"/>
      <c r="B34" s="104"/>
      <c r="C34" s="104"/>
      <c r="D34" s="104"/>
      <c r="E34" s="104"/>
      <c r="F34" s="118"/>
      <c r="G34" s="118"/>
      <c r="H34" s="118"/>
      <c r="I34" s="118"/>
      <c r="J34" s="118"/>
      <c r="K34" s="120"/>
      <c r="L34" s="120"/>
      <c r="M34" s="120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</row>
    <row r="35" spans="1:40" x14ac:dyDescent="0.25">
      <c r="A35" s="104"/>
      <c r="B35" s="104"/>
      <c r="C35" s="104"/>
      <c r="D35" s="104"/>
      <c r="E35" s="104"/>
      <c r="F35" s="118"/>
      <c r="G35" s="118"/>
      <c r="H35" s="118"/>
      <c r="I35" s="118"/>
      <c r="J35" s="118"/>
      <c r="K35" s="120"/>
      <c r="L35" s="120"/>
      <c r="M35" s="120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</row>
    <row r="36" spans="1:40" x14ac:dyDescent="0.25">
      <c r="A36" s="104"/>
      <c r="B36" s="104"/>
      <c r="C36" s="104"/>
      <c r="D36" s="104"/>
      <c r="E36" s="104"/>
      <c r="F36" s="118"/>
      <c r="G36" s="118"/>
      <c r="H36" s="118"/>
      <c r="I36" s="118"/>
      <c r="J36" s="118"/>
      <c r="K36" s="120"/>
      <c r="L36" s="120"/>
      <c r="M36" s="120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</row>
    <row r="37" spans="1:40" x14ac:dyDescent="0.25">
      <c r="A37" s="104"/>
      <c r="B37" s="104"/>
      <c r="C37" s="104"/>
      <c r="D37" s="104"/>
      <c r="E37" s="104"/>
      <c r="F37" s="118"/>
      <c r="G37" s="118"/>
      <c r="H37" s="118"/>
      <c r="I37" s="118"/>
      <c r="J37" s="118"/>
      <c r="K37" s="120"/>
      <c r="L37" s="120"/>
      <c r="M37" s="120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</row>
    <row r="38" spans="1:40" x14ac:dyDescent="0.25">
      <c r="A38" s="104"/>
      <c r="B38" s="104"/>
      <c r="C38" s="104"/>
      <c r="D38" s="104"/>
      <c r="E38" s="104"/>
      <c r="F38" s="118"/>
      <c r="G38" s="118"/>
      <c r="H38" s="118"/>
      <c r="I38" s="118"/>
      <c r="J38" s="118"/>
      <c r="K38" s="120"/>
      <c r="L38" s="120"/>
      <c r="M38" s="120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</row>
    <row r="39" spans="1:40" x14ac:dyDescent="0.25">
      <c r="A39" s="104"/>
      <c r="B39" s="104"/>
      <c r="C39" s="104"/>
      <c r="D39" s="104"/>
      <c r="E39" s="104"/>
      <c r="F39" s="118"/>
      <c r="G39" s="118"/>
      <c r="H39" s="118"/>
      <c r="I39" s="118"/>
      <c r="J39" s="118"/>
      <c r="K39" s="120"/>
      <c r="L39" s="120"/>
      <c r="M39" s="120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</row>
    <row r="40" spans="1:40" x14ac:dyDescent="0.25">
      <c r="A40" s="104"/>
      <c r="B40" s="104"/>
      <c r="C40" s="104"/>
      <c r="D40" s="104"/>
      <c r="E40" s="104"/>
      <c r="F40" s="118"/>
      <c r="G40" s="118"/>
      <c r="H40" s="118"/>
      <c r="I40" s="118"/>
      <c r="J40" s="118"/>
      <c r="K40" s="120"/>
      <c r="L40" s="120"/>
      <c r="M40" s="120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</row>
    <row r="41" spans="1:40" x14ac:dyDescent="0.25">
      <c r="A41" s="104"/>
      <c r="B41" s="104"/>
      <c r="C41" s="104"/>
      <c r="D41" s="104"/>
      <c r="E41" s="104"/>
      <c r="F41" s="118"/>
      <c r="G41" s="118"/>
      <c r="H41" s="118"/>
      <c r="I41" s="118"/>
      <c r="J41" s="118"/>
      <c r="K41" s="120"/>
      <c r="L41" s="120"/>
      <c r="M41" s="120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</row>
    <row r="42" spans="1:40" x14ac:dyDescent="0.25">
      <c r="A42" s="104"/>
      <c r="B42" s="104"/>
      <c r="C42" s="104"/>
      <c r="D42" s="104"/>
      <c r="E42" s="104"/>
      <c r="F42" s="118"/>
      <c r="G42" s="118"/>
      <c r="H42" s="118"/>
      <c r="I42" s="118"/>
      <c r="J42" s="118"/>
      <c r="K42" s="120"/>
      <c r="L42" s="120"/>
      <c r="M42" s="120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</row>
    <row r="43" spans="1:40" s="4" customFormat="1" ht="24.95" customHeight="1" x14ac:dyDescent="0.25">
      <c r="A43" s="126"/>
      <c r="B43" s="126"/>
      <c r="C43" s="126"/>
      <c r="D43" s="126"/>
      <c r="E43" s="126"/>
      <c r="F43" s="122" t="e">
        <f>'Overdue Actions'!A1</f>
        <v>#REF!</v>
      </c>
      <c r="G43" s="123" t="e">
        <f>'Overdue Actions'!B1</f>
        <v>#REF!</v>
      </c>
      <c r="H43" s="123" t="e">
        <f>'Overdue Actions'!C1</f>
        <v>#REF!</v>
      </c>
      <c r="I43" s="123" t="e">
        <f>'Overdue Actions'!D1</f>
        <v>#REF!</v>
      </c>
      <c r="J43" s="123" t="e">
        <f>'Overdue Actions'!E1</f>
        <v>#REF!</v>
      </c>
      <c r="K43" s="124" t="e">
        <f>'Overdue Actions'!F1</f>
        <v>#REF!</v>
      </c>
      <c r="L43" s="124" t="str">
        <f>'Overdue Actions'!G1</f>
        <v>ETC</v>
      </c>
      <c r="M43" s="123" t="str">
        <f>'Overdue Actions'!H1</f>
        <v>Overdue</v>
      </c>
      <c r="N43" s="123" t="str">
        <f>'Overdue Actions'!I1</f>
        <v>Completion Status</v>
      </c>
      <c r="O43" s="123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</row>
    <row r="44" spans="1:40" s="4" customFormat="1" ht="24.95" customHeight="1" x14ac:dyDescent="0.25">
      <c r="A44" s="126"/>
      <c r="B44" s="126"/>
      <c r="C44" s="126"/>
      <c r="D44" s="126"/>
      <c r="E44" s="126"/>
      <c r="F44" s="131">
        <f>INDEX('Overdue Actions'!A129:A$140,Digitalization!$AO$90)</f>
        <v>1</v>
      </c>
      <c r="G44" s="131" t="e">
        <f>INDEX('Overdue Actions'!B129:B$140,Digitalization!$AO$90)</f>
        <v>#REF!</v>
      </c>
      <c r="H44" s="131" t="e">
        <f>INDEX('Overdue Actions'!C129:C$140,Digitalization!$AO$90)</f>
        <v>#REF!</v>
      </c>
      <c r="I44" s="131" t="e">
        <f>INDEX('Overdue Actions'!D129:D$140,Digitalization!$AO$90)</f>
        <v>#REF!</v>
      </c>
      <c r="J44" s="131" t="e">
        <f>INDEX('Overdue Actions'!E129:E$140,Digitalization!$AO$90)</f>
        <v>#REF!</v>
      </c>
      <c r="K44" s="131" t="str">
        <f>INDEX('Overdue Actions'!F129:F$140,Digitalization!$AO$90)</f>
        <v>N/A</v>
      </c>
      <c r="L44" s="131" t="str">
        <f>INDEX('Overdue Actions'!G129:G$140,Digitalization!$AO$90)</f>
        <v>N/A</v>
      </c>
      <c r="M44" s="131" t="e">
        <f>INDEX('Overdue Actions'!H129:H$140,Digitalization!$AO$90)</f>
        <v>#REF!</v>
      </c>
      <c r="N44" s="131" t="e">
        <f>INDEX('Overdue Actions'!I129:I$140,Digitalization!$AO$90)</f>
        <v>#REF!</v>
      </c>
      <c r="O44" s="13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</row>
    <row r="45" spans="1:40" s="4" customFormat="1" ht="24.95" customHeight="1" x14ac:dyDescent="0.25">
      <c r="A45" s="126"/>
      <c r="B45" s="126"/>
      <c r="C45" s="126"/>
      <c r="D45" s="126"/>
      <c r="E45" s="126"/>
      <c r="F45" s="131">
        <f>INDEX('Overdue Actions'!A130:A$140,Digitalization!$AO$90)</f>
        <v>0</v>
      </c>
      <c r="G45" s="131">
        <f>INDEX('Overdue Actions'!B130:B$140,Digitalization!$AO$90)</f>
        <v>0</v>
      </c>
      <c r="H45" s="131">
        <f>INDEX('Overdue Actions'!C130:C$140,Digitalization!$AO$90)</f>
        <v>0</v>
      </c>
      <c r="I45" s="131">
        <f>INDEX('Overdue Actions'!D130:D$140,Digitalization!$AO$90)</f>
        <v>0</v>
      </c>
      <c r="J45" s="131">
        <f>INDEX('Overdue Actions'!E130:E$140,Digitalization!$AO$90)</f>
        <v>0</v>
      </c>
      <c r="K45" s="131">
        <f>INDEX('Overdue Actions'!F130:F$140,Digitalization!$AO$90)</f>
        <v>0</v>
      </c>
      <c r="L45" s="131">
        <f>INDEX('Overdue Actions'!G130:G$140,Digitalization!$AO$90)</f>
        <v>0</v>
      </c>
      <c r="M45" s="131">
        <f>INDEX('Overdue Actions'!H130:H$140,Digitalization!$AO$90)</f>
        <v>0</v>
      </c>
      <c r="N45" s="131">
        <f>INDEX('Overdue Actions'!I130:I$140,Digitalization!$AO$90)</f>
        <v>0</v>
      </c>
      <c r="O45" s="13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</row>
    <row r="46" spans="1:40" s="4" customFormat="1" ht="24.95" customHeight="1" x14ac:dyDescent="0.25">
      <c r="A46" s="126"/>
      <c r="B46" s="126"/>
      <c r="C46" s="126"/>
      <c r="D46" s="126"/>
      <c r="E46" s="126"/>
      <c r="F46" s="131">
        <f>INDEX('Overdue Actions'!A131:A$140,Digitalization!$AO$90)</f>
        <v>0</v>
      </c>
      <c r="G46" s="131">
        <f>INDEX('Overdue Actions'!B131:B$140,Digitalization!$AO$90)</f>
        <v>0</v>
      </c>
      <c r="H46" s="131">
        <f>INDEX('Overdue Actions'!C131:C$140,Digitalization!$AO$90)</f>
        <v>0</v>
      </c>
      <c r="I46" s="131">
        <f>INDEX('Overdue Actions'!D131:D$140,Digitalization!$AO$90)</f>
        <v>0</v>
      </c>
      <c r="J46" s="131">
        <f>INDEX('Overdue Actions'!E131:E$140,Digitalization!$AO$90)</f>
        <v>0</v>
      </c>
      <c r="K46" s="131">
        <f>INDEX('Overdue Actions'!F131:F$140,Digitalization!$AO$90)</f>
        <v>0</v>
      </c>
      <c r="L46" s="131">
        <f>INDEX('Overdue Actions'!G131:G$140,Digitalization!$AO$90)</f>
        <v>0</v>
      </c>
      <c r="M46" s="131">
        <f>INDEX('Overdue Actions'!H131:H$140,Digitalization!$AO$90)</f>
        <v>0</v>
      </c>
      <c r="N46" s="131">
        <f>INDEX('Overdue Actions'!I131:I$140,Digitalization!$AO$90)</f>
        <v>0</v>
      </c>
      <c r="O46" s="13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</row>
    <row r="47" spans="1:40" s="4" customFormat="1" ht="24.95" customHeight="1" x14ac:dyDescent="0.25">
      <c r="A47" s="126"/>
      <c r="B47" s="126"/>
      <c r="C47" s="126"/>
      <c r="D47" s="126"/>
      <c r="E47" s="126"/>
      <c r="F47" s="131">
        <f>INDEX('Overdue Actions'!A132:A$140,Digitalization!$AO$90)</f>
        <v>0</v>
      </c>
      <c r="G47" s="131">
        <f>INDEX('Overdue Actions'!B132:B$140,Digitalization!$AO$90)</f>
        <v>0</v>
      </c>
      <c r="H47" s="131">
        <f>INDEX('Overdue Actions'!C132:C$140,Digitalization!$AO$90)</f>
        <v>0</v>
      </c>
      <c r="I47" s="131">
        <f>INDEX('Overdue Actions'!D132:D$140,Digitalization!$AO$90)</f>
        <v>0</v>
      </c>
      <c r="J47" s="131">
        <f>INDEX('Overdue Actions'!E132:E$140,Digitalization!$AO$90)</f>
        <v>0</v>
      </c>
      <c r="K47" s="131">
        <f>INDEX('Overdue Actions'!F132:F$140,Digitalization!$AO$90)</f>
        <v>0</v>
      </c>
      <c r="L47" s="131">
        <f>INDEX('Overdue Actions'!G132:G$140,Digitalization!$AO$90)</f>
        <v>0</v>
      </c>
      <c r="M47" s="131">
        <f>INDEX('Overdue Actions'!H132:H$140,Digitalization!$AO$90)</f>
        <v>0</v>
      </c>
      <c r="N47" s="131">
        <f>INDEX('Overdue Actions'!I132:I$140,Digitalization!$AO$90)</f>
        <v>0</v>
      </c>
      <c r="O47" s="13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</row>
    <row r="48" spans="1:40" s="4" customFormat="1" ht="24.95" customHeight="1" x14ac:dyDescent="0.25">
      <c r="A48" s="126"/>
      <c r="B48" s="126"/>
      <c r="C48" s="126"/>
      <c r="D48" s="126"/>
      <c r="E48" s="126"/>
      <c r="F48" s="131">
        <f>INDEX('Overdue Actions'!A133:A$140,Digitalization!$AO$90)</f>
        <v>0</v>
      </c>
      <c r="G48" s="131">
        <f>INDEX('Overdue Actions'!B133:B$140,Digitalization!$AO$90)</f>
        <v>0</v>
      </c>
      <c r="H48" s="131">
        <f>INDEX('Overdue Actions'!C133:C$140,Digitalization!$AO$90)</f>
        <v>0</v>
      </c>
      <c r="I48" s="131">
        <f>INDEX('Overdue Actions'!D133:D$140,Digitalization!$AO$90)</f>
        <v>0</v>
      </c>
      <c r="J48" s="131">
        <f>INDEX('Overdue Actions'!E133:E$140,Digitalization!$AO$90)</f>
        <v>0</v>
      </c>
      <c r="K48" s="131">
        <f>INDEX('Overdue Actions'!F133:F$140,Digitalization!$AO$90)</f>
        <v>0</v>
      </c>
      <c r="L48" s="131">
        <f>INDEX('Overdue Actions'!G133:G$140,Digitalization!$AO$90)</f>
        <v>0</v>
      </c>
      <c r="M48" s="131">
        <f>INDEX('Overdue Actions'!H133:H$140,Digitalization!$AO$90)</f>
        <v>0</v>
      </c>
      <c r="N48" s="131">
        <f>INDEX('Overdue Actions'!I133:I$140,Digitalization!$AO$90)</f>
        <v>0</v>
      </c>
      <c r="O48" s="133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</row>
    <row r="49" spans="1:40" s="4" customFormat="1" ht="24.95" customHeight="1" x14ac:dyDescent="0.25">
      <c r="A49" s="126"/>
      <c r="B49" s="126"/>
      <c r="C49" s="126"/>
      <c r="D49" s="126"/>
      <c r="E49" s="126"/>
      <c r="F49" s="131">
        <f>INDEX('Overdue Actions'!A134:A$140,Digitalization!$AO$90)</f>
        <v>0</v>
      </c>
      <c r="G49" s="131">
        <f>INDEX('Overdue Actions'!B134:B$140,Digitalization!$AO$90)</f>
        <v>0</v>
      </c>
      <c r="H49" s="131">
        <f>INDEX('Overdue Actions'!C134:C$140,Digitalization!$AO$90)</f>
        <v>0</v>
      </c>
      <c r="I49" s="131">
        <f>INDEX('Overdue Actions'!D134:D$140,Digitalization!$AO$90)</f>
        <v>0</v>
      </c>
      <c r="J49" s="131">
        <f>INDEX('Overdue Actions'!E134:E$140,Digitalization!$AO$90)</f>
        <v>0</v>
      </c>
      <c r="K49" s="131">
        <f>INDEX('Overdue Actions'!F134:F$140,Digitalization!$AO$90)</f>
        <v>0</v>
      </c>
      <c r="L49" s="131">
        <f>INDEX('Overdue Actions'!G134:G$140,Digitalization!$AO$90)</f>
        <v>0</v>
      </c>
      <c r="M49" s="131">
        <f>INDEX('Overdue Actions'!H134:H$140,Digitalization!$AO$90)</f>
        <v>0</v>
      </c>
      <c r="N49" s="131">
        <f>INDEX('Overdue Actions'!I134:I$140,Digitalization!$AO$90)</f>
        <v>0</v>
      </c>
      <c r="O49" s="133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</row>
    <row r="50" spans="1:40" s="4" customFormat="1" ht="24.95" customHeight="1" x14ac:dyDescent="0.25">
      <c r="A50" s="126"/>
      <c r="B50" s="126"/>
      <c r="C50" s="126"/>
      <c r="D50" s="126"/>
      <c r="E50" s="126"/>
      <c r="F50" s="131">
        <f>INDEX('Overdue Actions'!A135:A$140,Digitalization!$AO$90)</f>
        <v>0</v>
      </c>
      <c r="G50" s="131">
        <f>INDEX('Overdue Actions'!B135:B$140,Digitalization!$AO$90)</f>
        <v>0</v>
      </c>
      <c r="H50" s="131">
        <f>INDEX('Overdue Actions'!C135:C$140,Digitalization!$AO$90)</f>
        <v>0</v>
      </c>
      <c r="I50" s="131">
        <f>INDEX('Overdue Actions'!D135:D$140,Digitalization!$AO$90)</f>
        <v>0</v>
      </c>
      <c r="J50" s="131">
        <f>INDEX('Overdue Actions'!E135:E$140,Digitalization!$AO$90)</f>
        <v>0</v>
      </c>
      <c r="K50" s="131">
        <f>INDEX('Overdue Actions'!F135:F$140,Digitalization!$AO$90)</f>
        <v>0</v>
      </c>
      <c r="L50" s="131">
        <f>INDEX('Overdue Actions'!G135:G$140,Digitalization!$AO$90)</f>
        <v>0</v>
      </c>
      <c r="M50" s="131">
        <f>INDEX('Overdue Actions'!H135:H$140,Digitalization!$AO$90)</f>
        <v>0</v>
      </c>
      <c r="N50" s="131">
        <f>INDEX('Overdue Actions'!I135:I$140,Digitalization!$AO$90)</f>
        <v>0</v>
      </c>
      <c r="O50" s="133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</row>
    <row r="51" spans="1:40" s="4" customFormat="1" ht="24.95" customHeight="1" x14ac:dyDescent="0.25">
      <c r="A51" s="126"/>
      <c r="B51" s="126"/>
      <c r="C51" s="126"/>
      <c r="D51" s="126"/>
      <c r="E51" s="126"/>
      <c r="F51" s="131">
        <f>INDEX('Overdue Actions'!A136:A$140,Digitalization!$AO$90)</f>
        <v>0</v>
      </c>
      <c r="G51" s="131">
        <f>INDEX('Overdue Actions'!B136:B$140,Digitalization!$AO$90)</f>
        <v>0</v>
      </c>
      <c r="H51" s="131">
        <f>INDEX('Overdue Actions'!C136:C$140,Digitalization!$AO$90)</f>
        <v>0</v>
      </c>
      <c r="I51" s="131">
        <f>INDEX('Overdue Actions'!D136:D$140,Digitalization!$AO$90)</f>
        <v>0</v>
      </c>
      <c r="J51" s="131">
        <f>INDEX('Overdue Actions'!E136:E$140,Digitalization!$AO$90)</f>
        <v>0</v>
      </c>
      <c r="K51" s="131">
        <f>INDEX('Overdue Actions'!F136:F$140,Digitalization!$AO$90)</f>
        <v>0</v>
      </c>
      <c r="L51" s="131">
        <f>INDEX('Overdue Actions'!G136:G$140,Digitalization!$AO$90)</f>
        <v>0</v>
      </c>
      <c r="M51" s="131">
        <f>INDEX('Overdue Actions'!H136:H$140,Digitalization!$AO$90)</f>
        <v>0</v>
      </c>
      <c r="N51" s="131">
        <f>INDEX('Overdue Actions'!I136:I$140,Digitalization!$AO$90)</f>
        <v>0</v>
      </c>
      <c r="O51" s="133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</row>
    <row r="52" spans="1:40" s="4" customFormat="1" ht="24.95" customHeight="1" x14ac:dyDescent="0.25">
      <c r="A52" s="126"/>
      <c r="B52" s="126"/>
      <c r="C52" s="126"/>
      <c r="D52" s="126"/>
      <c r="E52" s="126"/>
      <c r="F52" s="131">
        <f>INDEX('Overdue Actions'!A137:A$140,Digitalization!$AO$90)</f>
        <v>0</v>
      </c>
      <c r="G52" s="131">
        <f>INDEX('Overdue Actions'!B137:B$140,Digitalization!$AO$90)</f>
        <v>0</v>
      </c>
      <c r="H52" s="131">
        <f>INDEX('Overdue Actions'!C137:C$140,Digitalization!$AO$90)</f>
        <v>0</v>
      </c>
      <c r="I52" s="131">
        <f>INDEX('Overdue Actions'!D137:D$140,Digitalization!$AO$90)</f>
        <v>0</v>
      </c>
      <c r="J52" s="131">
        <f>INDEX('Overdue Actions'!E137:E$140,Digitalization!$AO$90)</f>
        <v>0</v>
      </c>
      <c r="K52" s="131">
        <f>INDEX('Overdue Actions'!F137:F$140,Digitalization!$AO$90)</f>
        <v>0</v>
      </c>
      <c r="L52" s="131">
        <f>INDEX('Overdue Actions'!G137:G$140,Digitalization!$AO$90)</f>
        <v>0</v>
      </c>
      <c r="M52" s="131">
        <f>INDEX('Overdue Actions'!H137:H$140,Digitalization!$AO$90)</f>
        <v>0</v>
      </c>
      <c r="N52" s="131">
        <f>INDEX('Overdue Actions'!I137:I$140,Digitalization!$AO$90)</f>
        <v>0</v>
      </c>
      <c r="O52" s="133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</row>
    <row r="53" spans="1:40" s="4" customFormat="1" ht="24.95" customHeight="1" x14ac:dyDescent="0.25">
      <c r="A53" s="126"/>
      <c r="B53" s="126"/>
      <c r="C53" s="126"/>
      <c r="D53" s="126"/>
      <c r="E53" s="126"/>
      <c r="F53" s="131">
        <f>INDEX('Overdue Actions'!A138:A$140,Digitalization!$AO$90)</f>
        <v>0</v>
      </c>
      <c r="G53" s="131">
        <f>INDEX('Overdue Actions'!B138:B$140,Digitalization!$AO$90)</f>
        <v>0</v>
      </c>
      <c r="H53" s="131">
        <f>INDEX('Overdue Actions'!C138:C$140,Digitalization!$AO$90)</f>
        <v>0</v>
      </c>
      <c r="I53" s="131">
        <f>INDEX('Overdue Actions'!D138:D$140,Digitalization!$AO$90)</f>
        <v>0</v>
      </c>
      <c r="J53" s="131">
        <f>INDEX('Overdue Actions'!E138:E$140,Digitalization!$AO$90)</f>
        <v>0</v>
      </c>
      <c r="K53" s="131">
        <f>INDEX('Overdue Actions'!F138:F$140,Digitalization!$AO$90)</f>
        <v>0</v>
      </c>
      <c r="L53" s="131">
        <f>INDEX('Overdue Actions'!G138:G$140,Digitalization!$AO$90)</f>
        <v>0</v>
      </c>
      <c r="M53" s="131">
        <f>INDEX('Overdue Actions'!H138:H$140,Digitalization!$AO$90)</f>
        <v>0</v>
      </c>
      <c r="N53" s="131">
        <f>INDEX('Overdue Actions'!I138:I$140,Digitalization!$AO$90)</f>
        <v>0</v>
      </c>
      <c r="O53" s="133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</row>
    <row r="54" spans="1:40" x14ac:dyDescent="0.25">
      <c r="A54" s="104"/>
      <c r="B54" s="104"/>
      <c r="C54" s="104"/>
      <c r="D54" s="104"/>
      <c r="E54" s="104"/>
      <c r="F54" s="118"/>
      <c r="G54" s="118"/>
      <c r="H54" s="118"/>
      <c r="I54" s="118"/>
      <c r="J54" s="118"/>
      <c r="K54" s="120"/>
      <c r="L54" s="120"/>
      <c r="M54" s="118"/>
      <c r="N54" s="118"/>
      <c r="O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</row>
    <row r="55" spans="1:40" x14ac:dyDescent="0.25">
      <c r="A55" s="104"/>
      <c r="B55" s="104"/>
      <c r="C55" s="104"/>
      <c r="D55" s="104"/>
      <c r="E55" s="104"/>
      <c r="F55" s="118"/>
      <c r="G55" s="118"/>
      <c r="H55" s="118"/>
      <c r="I55" s="118"/>
      <c r="J55" s="118"/>
      <c r="K55" s="120"/>
      <c r="L55" s="120"/>
      <c r="M55" s="118"/>
      <c r="N55" s="118"/>
      <c r="O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</row>
    <row r="56" spans="1:40" x14ac:dyDescent="0.25">
      <c r="A56" s="104"/>
      <c r="B56" s="104"/>
      <c r="C56" s="104"/>
      <c r="D56" s="104"/>
      <c r="E56" s="104"/>
      <c r="F56" s="118"/>
      <c r="G56" s="118"/>
      <c r="H56" s="118"/>
      <c r="I56" s="118"/>
      <c r="J56" s="118"/>
      <c r="K56" s="120"/>
      <c r="L56" s="120"/>
      <c r="M56" s="118"/>
      <c r="N56" s="118"/>
      <c r="O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</row>
    <row r="57" spans="1:40" x14ac:dyDescent="0.25">
      <c r="A57" s="104"/>
      <c r="B57" s="104"/>
      <c r="C57" s="104"/>
      <c r="D57" s="104"/>
      <c r="E57" s="104"/>
      <c r="F57" s="118"/>
      <c r="G57" s="118"/>
      <c r="H57" s="118"/>
      <c r="I57" s="118"/>
      <c r="J57" s="118"/>
      <c r="K57" s="120"/>
      <c r="L57" s="120"/>
      <c r="M57" s="118"/>
      <c r="N57" s="118"/>
      <c r="O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</row>
    <row r="58" spans="1:40" x14ac:dyDescent="0.25">
      <c r="A58" s="104"/>
      <c r="B58" s="104"/>
      <c r="C58" s="104"/>
      <c r="D58" s="104"/>
      <c r="E58" s="104"/>
      <c r="F58" s="118"/>
      <c r="G58" s="118"/>
      <c r="H58" s="118"/>
      <c r="I58" s="118"/>
      <c r="J58" s="118"/>
      <c r="K58" s="120"/>
      <c r="L58" s="120"/>
      <c r="M58" s="118"/>
      <c r="N58" s="118"/>
      <c r="O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</row>
    <row r="59" spans="1:40" x14ac:dyDescent="0.25">
      <c r="A59" s="104"/>
      <c r="B59" s="104"/>
      <c r="C59" s="104"/>
      <c r="D59" s="104"/>
      <c r="E59" s="104"/>
      <c r="F59" s="118"/>
      <c r="G59" s="118"/>
      <c r="H59" s="118"/>
      <c r="I59" s="118"/>
      <c r="J59" s="118"/>
      <c r="K59" s="120"/>
      <c r="L59" s="120"/>
      <c r="M59" s="118"/>
      <c r="N59" s="118"/>
      <c r="O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</row>
    <row r="60" spans="1:40" x14ac:dyDescent="0.25">
      <c r="A60" s="104"/>
      <c r="B60" s="104"/>
      <c r="C60" s="104"/>
      <c r="D60" s="104"/>
      <c r="E60" s="104"/>
      <c r="F60" s="118"/>
      <c r="G60" s="118"/>
      <c r="H60" s="118"/>
      <c r="I60" s="118"/>
      <c r="J60" s="118"/>
      <c r="K60" s="120"/>
      <c r="L60" s="120"/>
      <c r="M60" s="120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</row>
    <row r="61" spans="1:40" x14ac:dyDescent="0.25">
      <c r="A61" s="104"/>
      <c r="B61" s="104"/>
      <c r="C61" s="104"/>
      <c r="D61" s="104"/>
      <c r="E61" s="104"/>
      <c r="F61" s="118"/>
      <c r="G61" s="118"/>
      <c r="H61" s="118"/>
      <c r="I61" s="118"/>
      <c r="J61" s="118"/>
      <c r="K61" s="120"/>
      <c r="L61" s="120"/>
      <c r="M61" s="120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</row>
    <row r="62" spans="1:40" x14ac:dyDescent="0.25">
      <c r="A62" s="104"/>
      <c r="B62" s="104"/>
      <c r="C62" s="104"/>
      <c r="D62" s="104"/>
      <c r="E62" s="104"/>
      <c r="F62" s="118"/>
      <c r="G62" s="118"/>
      <c r="H62" s="118"/>
      <c r="I62" s="118"/>
      <c r="J62" s="118"/>
      <c r="K62" s="120"/>
      <c r="L62" s="120"/>
      <c r="M62" s="120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</row>
    <row r="63" spans="1:40" x14ac:dyDescent="0.25">
      <c r="A63" s="104"/>
      <c r="B63" s="104"/>
      <c r="C63" s="104"/>
      <c r="D63" s="104"/>
      <c r="E63" s="104"/>
      <c r="F63" s="118"/>
      <c r="G63" s="118"/>
      <c r="H63" s="118"/>
      <c r="I63" s="118"/>
      <c r="J63" s="118"/>
      <c r="K63" s="120"/>
      <c r="L63" s="120"/>
      <c r="M63" s="120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</row>
    <row r="64" spans="1:40" x14ac:dyDescent="0.25">
      <c r="A64" s="104"/>
      <c r="B64" s="104"/>
      <c r="C64" s="104"/>
      <c r="D64" s="104"/>
      <c r="E64" s="104"/>
      <c r="F64" s="118"/>
      <c r="G64" s="118"/>
      <c r="H64" s="118"/>
      <c r="I64" s="118"/>
      <c r="J64" s="118"/>
      <c r="K64" s="120"/>
      <c r="L64" s="120"/>
      <c r="M64" s="120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</row>
    <row r="65" spans="1:40" x14ac:dyDescent="0.25">
      <c r="A65" s="104"/>
      <c r="B65" s="104"/>
      <c r="C65" s="104"/>
      <c r="D65" s="104"/>
      <c r="E65" s="104"/>
      <c r="F65" s="118"/>
      <c r="G65" s="118"/>
      <c r="H65" s="118"/>
      <c r="I65" s="118"/>
      <c r="J65" s="118"/>
      <c r="K65" s="120"/>
      <c r="L65" s="120"/>
      <c r="M65" s="120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</row>
    <row r="66" spans="1:40" x14ac:dyDescent="0.25">
      <c r="A66" s="104"/>
      <c r="B66" s="104"/>
      <c r="C66" s="104"/>
      <c r="D66" s="104"/>
      <c r="E66" s="104"/>
    </row>
    <row r="67" spans="1:40" x14ac:dyDescent="0.25">
      <c r="A67" s="104"/>
      <c r="B67" s="104"/>
      <c r="C67" s="104"/>
      <c r="D67" s="104"/>
      <c r="E67" s="104"/>
    </row>
    <row r="90" spans="41:41" x14ac:dyDescent="0.25">
      <c r="AO90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F45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15</xdr:col>
                    <xdr:colOff>95250</xdr:colOff>
                    <xdr:row>41</xdr:row>
                    <xdr:rowOff>180975</xdr:rowOff>
                  </from>
                  <to>
                    <xdr:col>15</xdr:col>
                    <xdr:colOff>295275</xdr:colOff>
                    <xdr:row>52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C00000"/>
  </sheetPr>
  <dimension ref="A1"/>
  <sheetViews>
    <sheetView showGridLines="0" workbookViewId="0">
      <selection activeCell="H32" sqref="H32"/>
    </sheetView>
  </sheetViews>
  <sheetFormatPr defaultRowHeight="15" x14ac:dyDescent="0.25"/>
  <cols>
    <col min="1" max="1" width="18.5703125" bestFit="1" customWidth="1"/>
    <col min="2" max="2" width="14.28515625" customWidth="1"/>
    <col min="3" max="3" width="11.85546875" customWidth="1"/>
  </cols>
  <sheetData/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43"/>
  <sheetViews>
    <sheetView zoomScale="85" zoomScaleNormal="85" workbookViewId="0">
      <pane ySplit="1" topLeftCell="A2" activePane="bottomLeft" state="frozen"/>
      <selection pane="bottomLeft" activeCell="D49" sqref="D49"/>
    </sheetView>
  </sheetViews>
  <sheetFormatPr defaultRowHeight="15" x14ac:dyDescent="0.25"/>
  <cols>
    <col min="1" max="1" width="6" bestFit="1" customWidth="1"/>
    <col min="2" max="2" width="13.42578125" customWidth="1"/>
    <col min="3" max="3" width="28.140625" customWidth="1"/>
    <col min="4" max="4" width="58.85546875" customWidth="1"/>
    <col min="5" max="5" width="34" customWidth="1"/>
    <col min="6" max="7" width="16" customWidth="1"/>
    <col min="8" max="8" width="35.140625" customWidth="1"/>
    <col min="9" max="9" width="12.7109375" customWidth="1"/>
    <col min="10" max="11" width="13" customWidth="1"/>
    <col min="12" max="12" width="13.28515625" customWidth="1"/>
    <col min="13" max="13" width="12.140625" customWidth="1"/>
  </cols>
  <sheetData>
    <row r="1" spans="1:13" x14ac:dyDescent="0.25">
      <c r="A1" t="s">
        <v>3</v>
      </c>
      <c r="B1" t="s">
        <v>23</v>
      </c>
      <c r="C1" t="s">
        <v>0</v>
      </c>
      <c r="D1" t="s">
        <v>4</v>
      </c>
      <c r="E1" t="s">
        <v>19</v>
      </c>
      <c r="F1" t="s">
        <v>5</v>
      </c>
      <c r="G1" t="s">
        <v>15</v>
      </c>
      <c r="H1" t="s">
        <v>14</v>
      </c>
      <c r="I1" t="s">
        <v>16</v>
      </c>
      <c r="J1" t="s">
        <v>1</v>
      </c>
      <c r="K1" t="s">
        <v>2</v>
      </c>
      <c r="L1" t="s">
        <v>22</v>
      </c>
      <c r="M1" t="s">
        <v>27</v>
      </c>
    </row>
    <row r="2" spans="1:13" x14ac:dyDescent="0.25">
      <c r="A2">
        <v>1</v>
      </c>
      <c r="B2" t="s">
        <v>24</v>
      </c>
      <c r="C2" t="s">
        <v>8</v>
      </c>
      <c r="D2" t="s">
        <v>9</v>
      </c>
      <c r="E2" t="s">
        <v>10</v>
      </c>
      <c r="F2" t="s">
        <v>11</v>
      </c>
      <c r="G2">
        <v>0</v>
      </c>
      <c r="H2">
        <v>1</v>
      </c>
      <c r="I2" t="s">
        <v>18</v>
      </c>
      <c r="J2">
        <v>44197</v>
      </c>
      <c r="K2">
        <v>44531</v>
      </c>
      <c r="L2">
        <f>K2-J2</f>
        <v>334</v>
      </c>
      <c r="M2">
        <v>1</v>
      </c>
    </row>
    <row r="3" spans="1:13" x14ac:dyDescent="0.25">
      <c r="A3">
        <v>1</v>
      </c>
      <c r="B3" t="s">
        <v>24</v>
      </c>
      <c r="C3" t="s">
        <v>7</v>
      </c>
      <c r="D3" t="s">
        <v>30</v>
      </c>
      <c r="E3" t="s">
        <v>10</v>
      </c>
      <c r="F3" t="s">
        <v>11</v>
      </c>
      <c r="H3" t="s">
        <v>41</v>
      </c>
      <c r="J3">
        <v>44287</v>
      </c>
      <c r="K3">
        <v>44896</v>
      </c>
      <c r="L3">
        <f t="shared" ref="L3:L14" si="0">K3-J3</f>
        <v>609</v>
      </c>
      <c r="M3">
        <v>1</v>
      </c>
    </row>
    <row r="4" spans="1:13" x14ac:dyDescent="0.25">
      <c r="A4">
        <v>2</v>
      </c>
      <c r="B4" t="s">
        <v>24</v>
      </c>
      <c r="C4" t="s">
        <v>7</v>
      </c>
      <c r="D4" t="s">
        <v>31</v>
      </c>
      <c r="E4" t="s">
        <v>10</v>
      </c>
      <c r="F4" t="s">
        <v>11</v>
      </c>
      <c r="H4" t="s">
        <v>17</v>
      </c>
      <c r="J4">
        <v>44287</v>
      </c>
      <c r="K4">
        <v>44317</v>
      </c>
      <c r="L4">
        <f t="shared" si="0"/>
        <v>30</v>
      </c>
      <c r="M4">
        <v>1</v>
      </c>
    </row>
    <row r="5" spans="1:13" x14ac:dyDescent="0.25">
      <c r="A5">
        <v>3</v>
      </c>
      <c r="B5" t="s">
        <v>24</v>
      </c>
      <c r="C5" t="s">
        <v>7</v>
      </c>
      <c r="D5" t="s">
        <v>32</v>
      </c>
      <c r="E5" t="s">
        <v>10</v>
      </c>
      <c r="F5" t="s">
        <v>11</v>
      </c>
      <c r="H5" t="s">
        <v>41</v>
      </c>
      <c r="J5">
        <v>44317</v>
      </c>
      <c r="K5">
        <v>44531</v>
      </c>
      <c r="L5">
        <f t="shared" si="0"/>
        <v>214</v>
      </c>
      <c r="M5">
        <v>1</v>
      </c>
    </row>
    <row r="6" spans="1:13" x14ac:dyDescent="0.25">
      <c r="A6">
        <v>4</v>
      </c>
      <c r="B6" t="s">
        <v>24</v>
      </c>
      <c r="C6" t="s">
        <v>7</v>
      </c>
      <c r="D6" t="s">
        <v>33</v>
      </c>
      <c r="E6" t="s">
        <v>10</v>
      </c>
      <c r="F6" t="s">
        <v>11</v>
      </c>
      <c r="H6" t="s">
        <v>42</v>
      </c>
      <c r="J6">
        <v>44378</v>
      </c>
      <c r="K6">
        <v>44531</v>
      </c>
      <c r="L6">
        <f t="shared" si="0"/>
        <v>153</v>
      </c>
      <c r="M6">
        <v>1</v>
      </c>
    </row>
    <row r="7" spans="1:13" x14ac:dyDescent="0.25">
      <c r="A7">
        <v>5</v>
      </c>
      <c r="B7" t="s">
        <v>24</v>
      </c>
      <c r="C7" t="s">
        <v>6</v>
      </c>
      <c r="D7" t="s">
        <v>34</v>
      </c>
      <c r="E7" t="s">
        <v>28</v>
      </c>
      <c r="F7" t="s">
        <v>11</v>
      </c>
      <c r="H7" t="s">
        <v>50</v>
      </c>
      <c r="J7">
        <v>44378</v>
      </c>
      <c r="K7">
        <v>44896</v>
      </c>
      <c r="L7">
        <f t="shared" si="0"/>
        <v>518</v>
      </c>
      <c r="M7">
        <v>1</v>
      </c>
    </row>
    <row r="8" spans="1:13" x14ac:dyDescent="0.25">
      <c r="A8">
        <v>6</v>
      </c>
      <c r="B8" t="s">
        <v>24</v>
      </c>
      <c r="C8" t="s">
        <v>6</v>
      </c>
      <c r="D8" t="s">
        <v>35</v>
      </c>
      <c r="E8" t="s">
        <v>28</v>
      </c>
      <c r="F8" t="s">
        <v>11</v>
      </c>
      <c r="H8" t="s">
        <v>43</v>
      </c>
      <c r="J8" t="s">
        <v>51</v>
      </c>
      <c r="K8" t="s">
        <v>51</v>
      </c>
      <c r="L8" t="s">
        <v>51</v>
      </c>
      <c r="M8">
        <v>1</v>
      </c>
    </row>
    <row r="9" spans="1:13" x14ac:dyDescent="0.25">
      <c r="A9">
        <v>7</v>
      </c>
      <c r="B9" t="s">
        <v>24</v>
      </c>
      <c r="C9" t="s">
        <v>6</v>
      </c>
      <c r="D9" t="s">
        <v>49</v>
      </c>
      <c r="E9" t="s">
        <v>28</v>
      </c>
      <c r="F9" t="s">
        <v>11</v>
      </c>
      <c r="H9" t="s">
        <v>44</v>
      </c>
      <c r="J9">
        <v>44378</v>
      </c>
      <c r="K9">
        <v>44531</v>
      </c>
      <c r="L9">
        <f t="shared" si="0"/>
        <v>153</v>
      </c>
      <c r="M9">
        <v>1</v>
      </c>
    </row>
    <row r="10" spans="1:13" x14ac:dyDescent="0.25">
      <c r="A10">
        <v>9</v>
      </c>
      <c r="B10" t="s">
        <v>24</v>
      </c>
      <c r="C10" t="s">
        <v>6</v>
      </c>
      <c r="D10" t="s">
        <v>36</v>
      </c>
      <c r="E10" t="s">
        <v>28</v>
      </c>
      <c r="F10" t="s">
        <v>11</v>
      </c>
      <c r="H10" t="s">
        <v>45</v>
      </c>
      <c r="J10">
        <v>44440</v>
      </c>
      <c r="K10">
        <v>44621</v>
      </c>
      <c r="L10">
        <f t="shared" si="0"/>
        <v>181</v>
      </c>
      <c r="M10">
        <v>1</v>
      </c>
    </row>
    <row r="11" spans="1:13" x14ac:dyDescent="0.25">
      <c r="A11">
        <v>10</v>
      </c>
      <c r="B11" t="s">
        <v>24</v>
      </c>
      <c r="C11" t="s">
        <v>6</v>
      </c>
      <c r="D11" t="s">
        <v>37</v>
      </c>
      <c r="E11" t="s">
        <v>28</v>
      </c>
      <c r="F11" t="s">
        <v>11</v>
      </c>
      <c r="H11" t="s">
        <v>46</v>
      </c>
      <c r="J11">
        <v>44440</v>
      </c>
      <c r="K11">
        <v>44531</v>
      </c>
      <c r="L11">
        <f t="shared" si="0"/>
        <v>91</v>
      </c>
      <c r="M11">
        <v>1</v>
      </c>
    </row>
    <row r="12" spans="1:13" x14ac:dyDescent="0.25">
      <c r="A12">
        <v>11</v>
      </c>
      <c r="B12" t="s">
        <v>24</v>
      </c>
      <c r="C12" t="s">
        <v>8</v>
      </c>
      <c r="D12" t="s">
        <v>38</v>
      </c>
      <c r="E12" t="s">
        <v>29</v>
      </c>
      <c r="F12" t="s">
        <v>11</v>
      </c>
      <c r="H12" t="s">
        <v>17</v>
      </c>
      <c r="J12">
        <v>44287</v>
      </c>
      <c r="K12">
        <v>44593</v>
      </c>
      <c r="L12">
        <f t="shared" si="0"/>
        <v>306</v>
      </c>
      <c r="M12">
        <v>1</v>
      </c>
    </row>
    <row r="13" spans="1:13" x14ac:dyDescent="0.25">
      <c r="A13">
        <v>12</v>
      </c>
      <c r="B13" t="s">
        <v>24</v>
      </c>
      <c r="C13" t="s">
        <v>8</v>
      </c>
      <c r="D13" t="s">
        <v>40</v>
      </c>
      <c r="E13" t="s">
        <v>29</v>
      </c>
      <c r="F13" t="s">
        <v>11</v>
      </c>
      <c r="H13" t="s">
        <v>47</v>
      </c>
      <c r="J13">
        <v>44378</v>
      </c>
      <c r="K13">
        <v>44531</v>
      </c>
      <c r="L13">
        <f t="shared" si="0"/>
        <v>153</v>
      </c>
      <c r="M13">
        <v>1</v>
      </c>
    </row>
    <row r="14" spans="1:13" x14ac:dyDescent="0.25">
      <c r="A14">
        <v>13</v>
      </c>
      <c r="B14" t="s">
        <v>24</v>
      </c>
      <c r="C14" t="s">
        <v>8</v>
      </c>
      <c r="D14" t="s">
        <v>39</v>
      </c>
      <c r="E14" t="s">
        <v>29</v>
      </c>
      <c r="F14" t="s">
        <v>11</v>
      </c>
      <c r="H14" t="s">
        <v>48</v>
      </c>
      <c r="J14">
        <v>44440</v>
      </c>
      <c r="K14">
        <v>44896</v>
      </c>
      <c r="L14">
        <f t="shared" si="0"/>
        <v>456</v>
      </c>
      <c r="M14">
        <v>1</v>
      </c>
    </row>
    <row r="15" spans="1:13" ht="45" customHeight="1" x14ac:dyDescent="0.25">
      <c r="A15">
        <v>14.3333333333333</v>
      </c>
      <c r="B15" t="s">
        <v>26</v>
      </c>
      <c r="C15" t="s">
        <v>52</v>
      </c>
      <c r="D15" t="s">
        <v>53</v>
      </c>
      <c r="E15" t="s">
        <v>55</v>
      </c>
      <c r="F15" t="s">
        <v>11</v>
      </c>
      <c r="H15" t="s">
        <v>67</v>
      </c>
      <c r="M15">
        <v>1</v>
      </c>
    </row>
    <row r="16" spans="1:13" x14ac:dyDescent="0.25">
      <c r="A16">
        <v>15.4848484848485</v>
      </c>
      <c r="B16" t="s">
        <v>26</v>
      </c>
      <c r="C16" t="s">
        <v>52</v>
      </c>
      <c r="D16" t="s">
        <v>54</v>
      </c>
      <c r="E16" t="s">
        <v>55</v>
      </c>
      <c r="F16" t="s">
        <v>11</v>
      </c>
      <c r="M16">
        <v>1</v>
      </c>
    </row>
    <row r="17" spans="1:13" x14ac:dyDescent="0.25">
      <c r="A17">
        <v>16.636363636363601</v>
      </c>
      <c r="B17" t="s">
        <v>26</v>
      </c>
      <c r="C17" t="s">
        <v>64</v>
      </c>
      <c r="D17" t="s">
        <v>56</v>
      </c>
      <c r="E17" t="s">
        <v>58</v>
      </c>
      <c r="F17" t="s">
        <v>11</v>
      </c>
      <c r="M17">
        <v>1</v>
      </c>
    </row>
    <row r="18" spans="1:13" x14ac:dyDescent="0.25">
      <c r="A18">
        <v>17.7878787878788</v>
      </c>
      <c r="B18" t="s">
        <v>26</v>
      </c>
      <c r="C18" t="s">
        <v>64</v>
      </c>
      <c r="D18" t="s">
        <v>57</v>
      </c>
      <c r="E18" t="s">
        <v>58</v>
      </c>
      <c r="F18" t="s">
        <v>11</v>
      </c>
      <c r="M18">
        <v>1</v>
      </c>
    </row>
    <row r="19" spans="1:13" x14ac:dyDescent="0.25">
      <c r="A19">
        <v>18.939393939393899</v>
      </c>
      <c r="B19" t="s">
        <v>26</v>
      </c>
      <c r="C19" t="s">
        <v>65</v>
      </c>
      <c r="D19" t="s">
        <v>59</v>
      </c>
      <c r="E19" t="s">
        <v>55</v>
      </c>
      <c r="F19" t="s">
        <v>11</v>
      </c>
      <c r="M19">
        <v>1</v>
      </c>
    </row>
    <row r="20" spans="1:13" x14ac:dyDescent="0.25">
      <c r="A20">
        <v>20.090909090909101</v>
      </c>
      <c r="B20" t="s">
        <v>26</v>
      </c>
      <c r="C20" t="s">
        <v>65</v>
      </c>
      <c r="D20" t="s">
        <v>60</v>
      </c>
      <c r="E20" t="s">
        <v>55</v>
      </c>
      <c r="F20" t="s">
        <v>11</v>
      </c>
      <c r="M20">
        <v>1</v>
      </c>
    </row>
    <row r="21" spans="1:13" x14ac:dyDescent="0.25">
      <c r="A21">
        <v>21.2424242424242</v>
      </c>
      <c r="B21" t="s">
        <v>26</v>
      </c>
      <c r="C21" t="s">
        <v>66</v>
      </c>
      <c r="D21" t="s">
        <v>61</v>
      </c>
      <c r="E21" t="s">
        <v>63</v>
      </c>
      <c r="F21" t="s">
        <v>11</v>
      </c>
      <c r="M21">
        <v>1</v>
      </c>
    </row>
    <row r="22" spans="1:13" x14ac:dyDescent="0.25">
      <c r="A22">
        <v>22.393939393939402</v>
      </c>
      <c r="B22" t="s">
        <v>26</v>
      </c>
      <c r="C22" t="s">
        <v>66</v>
      </c>
      <c r="D22" t="s">
        <v>62</v>
      </c>
      <c r="E22" t="s">
        <v>63</v>
      </c>
      <c r="F22" t="s">
        <v>11</v>
      </c>
      <c r="M22">
        <v>1</v>
      </c>
    </row>
    <row r="23" spans="1:13" x14ac:dyDescent="0.25">
      <c r="A23">
        <v>23.545454545454501</v>
      </c>
      <c r="F23" t="s">
        <v>11</v>
      </c>
      <c r="M23">
        <v>1</v>
      </c>
    </row>
    <row r="24" spans="1:13" x14ac:dyDescent="0.25">
      <c r="A24">
        <v>24.696969696969699</v>
      </c>
      <c r="F24" t="s">
        <v>11</v>
      </c>
      <c r="M24">
        <v>1</v>
      </c>
    </row>
    <row r="25" spans="1:13" x14ac:dyDescent="0.25">
      <c r="A25">
        <v>25.848484848484802</v>
      </c>
      <c r="F25" t="s">
        <v>11</v>
      </c>
      <c r="M25">
        <v>1</v>
      </c>
    </row>
    <row r="26" spans="1:13" x14ac:dyDescent="0.25">
      <c r="A26">
        <v>27</v>
      </c>
      <c r="F26" t="s">
        <v>11</v>
      </c>
      <c r="M26">
        <v>1</v>
      </c>
    </row>
    <row r="27" spans="1:13" x14ac:dyDescent="0.25">
      <c r="A27">
        <v>28.151515151515099</v>
      </c>
      <c r="F27" t="s">
        <v>11</v>
      </c>
      <c r="M27">
        <v>1</v>
      </c>
    </row>
    <row r="28" spans="1:13" x14ac:dyDescent="0.25">
      <c r="A28">
        <v>29.303030303030301</v>
      </c>
      <c r="F28" t="s">
        <v>11</v>
      </c>
      <c r="M28">
        <v>1</v>
      </c>
    </row>
    <row r="29" spans="1:13" x14ac:dyDescent="0.25">
      <c r="A29">
        <v>30.4545454545454</v>
      </c>
      <c r="F29" t="s">
        <v>11</v>
      </c>
      <c r="M29">
        <v>1</v>
      </c>
    </row>
    <row r="30" spans="1:13" x14ac:dyDescent="0.25">
      <c r="A30">
        <v>31.606060606060598</v>
      </c>
      <c r="F30" t="s">
        <v>11</v>
      </c>
      <c r="M30">
        <v>1</v>
      </c>
    </row>
    <row r="31" spans="1:13" x14ac:dyDescent="0.25">
      <c r="A31">
        <v>32.757575757575701</v>
      </c>
      <c r="F31" t="s">
        <v>11</v>
      </c>
      <c r="M31">
        <v>1</v>
      </c>
    </row>
    <row r="32" spans="1:13" x14ac:dyDescent="0.25">
      <c r="A32">
        <v>33.909090909090899</v>
      </c>
      <c r="F32" t="s">
        <v>11</v>
      </c>
      <c r="M32">
        <v>1</v>
      </c>
    </row>
    <row r="33" spans="1:13" x14ac:dyDescent="0.25">
      <c r="A33">
        <v>35.060606060605998</v>
      </c>
      <c r="F33" t="s">
        <v>11</v>
      </c>
      <c r="M33">
        <v>1</v>
      </c>
    </row>
    <row r="34" spans="1:13" x14ac:dyDescent="0.25">
      <c r="A34">
        <v>36.212121212121197</v>
      </c>
      <c r="F34" t="s">
        <v>11</v>
      </c>
      <c r="M34">
        <v>1</v>
      </c>
    </row>
    <row r="35" spans="1:13" x14ac:dyDescent="0.25">
      <c r="A35">
        <v>37.363636363636303</v>
      </c>
      <c r="F35" t="s">
        <v>11</v>
      </c>
      <c r="M35">
        <v>1</v>
      </c>
    </row>
    <row r="36" spans="1:13" x14ac:dyDescent="0.25">
      <c r="A36">
        <v>38.515151515151501</v>
      </c>
      <c r="F36" t="s">
        <v>11</v>
      </c>
      <c r="M36">
        <v>1</v>
      </c>
    </row>
    <row r="37" spans="1:13" x14ac:dyDescent="0.25">
      <c r="A37">
        <v>39.6666666666666</v>
      </c>
      <c r="F37" t="s">
        <v>11</v>
      </c>
      <c r="M37">
        <v>1</v>
      </c>
    </row>
    <row r="38" spans="1:13" x14ac:dyDescent="0.25">
      <c r="A38">
        <v>40.818181818181799</v>
      </c>
      <c r="F38" t="s">
        <v>11</v>
      </c>
      <c r="M38">
        <v>1</v>
      </c>
    </row>
    <row r="39" spans="1:13" x14ac:dyDescent="0.25">
      <c r="A39">
        <v>41.969696969696898</v>
      </c>
      <c r="F39" t="s">
        <v>11</v>
      </c>
      <c r="M39">
        <v>1</v>
      </c>
    </row>
    <row r="40" spans="1:13" x14ac:dyDescent="0.25">
      <c r="A40">
        <v>43.121212121212103</v>
      </c>
      <c r="F40" t="s">
        <v>11</v>
      </c>
      <c r="M40">
        <v>1</v>
      </c>
    </row>
    <row r="41" spans="1:13" x14ac:dyDescent="0.25">
      <c r="A41">
        <v>44.272727272727202</v>
      </c>
      <c r="F41" t="s">
        <v>11</v>
      </c>
      <c r="M41">
        <v>1</v>
      </c>
    </row>
    <row r="42" spans="1:13" x14ac:dyDescent="0.25">
      <c r="A42">
        <v>45.424242424242401</v>
      </c>
      <c r="F42" t="s">
        <v>11</v>
      </c>
      <c r="M42">
        <v>1</v>
      </c>
    </row>
    <row r="43" spans="1:13" x14ac:dyDescent="0.25">
      <c r="A43">
        <v>46.5757575757575</v>
      </c>
      <c r="F43" t="s">
        <v>11</v>
      </c>
      <c r="M43">
        <v>1</v>
      </c>
    </row>
  </sheetData>
  <dataValidations count="1">
    <dataValidation type="list" allowBlank="1" showInputMessage="1" showErrorMessage="1" sqref="F2:F43" xr:uid="{00000000-0002-0000-0100-000000000000}">
      <formula1>"Done, Not Done"</formula1>
    </dataValidation>
  </dataValidations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5165-0A93-4DF6-B76D-0038D5641CEB}">
  <sheetPr codeName="Sheet4"/>
  <dimension ref="A1:T122"/>
  <sheetViews>
    <sheetView topLeftCell="I1" zoomScale="80" zoomScaleNormal="80" workbookViewId="0">
      <pane ySplit="2" topLeftCell="A3" activePane="bottomLeft" state="frozen"/>
      <selection pane="bottomLeft" activeCell="S3" sqref="S3"/>
    </sheetView>
  </sheetViews>
  <sheetFormatPr defaultRowHeight="15" x14ac:dyDescent="0.25"/>
  <cols>
    <col min="1" max="1" width="6" style="5" bestFit="1" customWidth="1"/>
    <col min="2" max="2" width="25.28515625" style="5" customWidth="1"/>
    <col min="3" max="3" width="51.140625" style="5" bestFit="1" customWidth="1"/>
    <col min="4" max="4" width="62.42578125" style="18" customWidth="1"/>
    <col min="5" max="5" width="22.28515625" style="16" customWidth="1"/>
    <col min="6" max="6" width="41.85546875" style="18" customWidth="1"/>
    <col min="7" max="7" width="37.28515625" style="18" customWidth="1"/>
    <col min="8" max="8" width="44.5703125" style="20" customWidth="1"/>
    <col min="9" max="9" width="45.140625" style="20" customWidth="1"/>
    <col min="10" max="10" width="15.42578125" style="19" customWidth="1"/>
    <col min="11" max="11" width="13" style="21" customWidth="1"/>
    <col min="12" max="12" width="30.140625" style="21" customWidth="1"/>
    <col min="13" max="13" width="33" style="21" customWidth="1"/>
    <col min="14" max="14" width="22.85546875" style="46" customWidth="1"/>
    <col min="15" max="15" width="24.5703125" style="18" customWidth="1"/>
    <col min="16" max="16" width="14.28515625" style="22" customWidth="1"/>
    <col min="17" max="17" width="35.85546875" style="18" customWidth="1"/>
    <col min="18" max="18" width="13.28515625" style="19" customWidth="1"/>
    <col min="19" max="20" width="18.28515625" style="19" customWidth="1"/>
    <col min="21" max="16384" width="9.140625" style="19"/>
  </cols>
  <sheetData>
    <row r="1" spans="1:20" s="9" customFormat="1" ht="84" x14ac:dyDescent="0.25">
      <c r="D1" s="10"/>
      <c r="E1" s="12"/>
      <c r="F1" s="10"/>
      <c r="G1" s="10"/>
      <c r="H1" s="137"/>
      <c r="I1" s="137"/>
      <c r="J1" s="41" t="s">
        <v>191</v>
      </c>
      <c r="K1" s="138" t="s">
        <v>194</v>
      </c>
      <c r="L1" s="138"/>
      <c r="M1" s="138"/>
      <c r="N1" s="138"/>
      <c r="O1" s="11" t="s">
        <v>195</v>
      </c>
      <c r="P1" s="38"/>
      <c r="Q1" s="38"/>
      <c r="R1" s="38"/>
    </row>
    <row r="2" spans="1:20" s="18" customFormat="1" ht="71.25" customHeight="1" x14ac:dyDescent="0.25">
      <c r="A2" s="33" t="s">
        <v>74</v>
      </c>
      <c r="B2" s="34" t="s">
        <v>23</v>
      </c>
      <c r="C2" s="34" t="s">
        <v>68</v>
      </c>
      <c r="D2" s="31" t="s">
        <v>71</v>
      </c>
      <c r="E2" s="47" t="s">
        <v>190</v>
      </c>
      <c r="F2" s="31" t="s">
        <v>72</v>
      </c>
      <c r="G2" s="31" t="s">
        <v>19</v>
      </c>
      <c r="H2" s="42" t="s">
        <v>265</v>
      </c>
      <c r="I2" s="42" t="s">
        <v>264</v>
      </c>
      <c r="J2" s="41" t="s">
        <v>16</v>
      </c>
      <c r="K2" s="31" t="s">
        <v>1</v>
      </c>
      <c r="L2" s="31" t="s">
        <v>70</v>
      </c>
      <c r="M2" s="31" t="s">
        <v>69</v>
      </c>
      <c r="N2" s="44" t="s">
        <v>193</v>
      </c>
      <c r="O2" s="40" t="s">
        <v>196</v>
      </c>
      <c r="P2" s="31" t="s">
        <v>75</v>
      </c>
      <c r="Q2" s="31" t="s">
        <v>73</v>
      </c>
      <c r="R2" s="32" t="s">
        <v>22</v>
      </c>
    </row>
    <row r="3" spans="1:20" ht="27.75" customHeight="1" x14ac:dyDescent="0.25">
      <c r="A3" s="30">
        <v>1</v>
      </c>
      <c r="B3" s="8" t="s">
        <v>24</v>
      </c>
      <c r="C3" s="15" t="s">
        <v>8</v>
      </c>
      <c r="D3" s="13" t="s">
        <v>38</v>
      </c>
      <c r="E3" s="16" t="s">
        <v>72</v>
      </c>
      <c r="F3" s="17" t="s">
        <v>117</v>
      </c>
      <c r="G3" s="18" t="s">
        <v>154</v>
      </c>
      <c r="H3" s="48"/>
      <c r="I3" s="49"/>
      <c r="K3" s="21">
        <v>44357</v>
      </c>
      <c r="L3" s="21">
        <v>44525</v>
      </c>
      <c r="N3" s="45">
        <v>0.75</v>
      </c>
      <c r="O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" s="35" t="str">
        <f t="shared" ref="P3:P22" ca="1" si="0">IFERROR(IF(L3="NA","Please add ETC",IF(L3&gt;TODAY(),"Note Due",IF(L3&lt;=TODAY(),"Due"))),"Fix the ETC")</f>
        <v>Due</v>
      </c>
      <c r="Q3" s="36" t="str">
        <f t="shared" ref="Q3:Q34" ca="1" si="1">IF(L3="NA","Please add ETC",IF(L3&lt;TODAY(),IF(M3="","Beyond ETC",IF(M3&gt;L3,"Beyond ETC",IF(M3&lt;=L3,"Within ETC"))),IF(M3="","Within ETC",IF(M3&lt;=L3,"Within ETC","Fix Actual completion date"))))</f>
        <v>Beyond ETC</v>
      </c>
      <c r="R3" s="37">
        <f t="shared" ref="R3:R34" si="2">IFERROR(L3-K3,"")</f>
        <v>168</v>
      </c>
      <c r="S3" s="23" t="s">
        <v>76</v>
      </c>
      <c r="T3" s="23" t="str">
        <f ca="1">IF(L3="NA","Please add ETC",IF(L3&lt;TODAY(),IF(M3="","Beyond ETC",IF(M3&gt;L3,"Beyond ETC",IF(M3&lt;=L3,"Within ETC"))),IF(M3="","Not due yet",IF(M3&lt;=L3,"Within ETC","Fix Actual completion date"))))</f>
        <v>Beyond ETC</v>
      </c>
    </row>
    <row r="4" spans="1:20" ht="27.75" customHeight="1" x14ac:dyDescent="0.25">
      <c r="A4" s="30">
        <v>2</v>
      </c>
      <c r="B4" s="8" t="s">
        <v>24</v>
      </c>
      <c r="C4" s="15" t="s">
        <v>8</v>
      </c>
      <c r="D4" s="13" t="s">
        <v>38</v>
      </c>
      <c r="E4" s="16" t="s">
        <v>72</v>
      </c>
      <c r="F4" s="17" t="s">
        <v>118</v>
      </c>
      <c r="G4" s="18" t="s">
        <v>155</v>
      </c>
      <c r="H4" s="48"/>
      <c r="I4" s="49"/>
      <c r="K4" s="21">
        <v>44323</v>
      </c>
      <c r="L4" s="21">
        <v>44499</v>
      </c>
      <c r="N4" s="45">
        <v>0.9</v>
      </c>
      <c r="O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" s="35" t="str">
        <f t="shared" ca="1" si="0"/>
        <v>Due</v>
      </c>
      <c r="Q4" s="36" t="str">
        <f t="shared" ca="1" si="1"/>
        <v>Beyond ETC</v>
      </c>
      <c r="R4" s="37">
        <f t="shared" si="2"/>
        <v>176</v>
      </c>
    </row>
    <row r="5" spans="1:20" ht="27.75" customHeight="1" x14ac:dyDescent="0.25">
      <c r="A5" s="30">
        <v>3</v>
      </c>
      <c r="B5" s="8" t="s">
        <v>24</v>
      </c>
      <c r="C5" s="15" t="s">
        <v>8</v>
      </c>
      <c r="D5" s="13" t="s">
        <v>77</v>
      </c>
      <c r="E5" s="16" t="s">
        <v>72</v>
      </c>
      <c r="F5" s="17" t="s">
        <v>119</v>
      </c>
      <c r="G5" s="18" t="s">
        <v>156</v>
      </c>
      <c r="H5" s="48"/>
      <c r="I5" s="49"/>
      <c r="K5" s="21">
        <v>44355</v>
      </c>
      <c r="L5" s="21">
        <v>44368</v>
      </c>
      <c r="N5" s="45">
        <v>1</v>
      </c>
      <c r="O5" s="39" t="s">
        <v>197</v>
      </c>
      <c r="P5" s="35" t="str">
        <f t="shared" ca="1" si="0"/>
        <v>Due</v>
      </c>
      <c r="Q5" s="36" t="str">
        <f t="shared" ca="1" si="1"/>
        <v>Beyond ETC</v>
      </c>
      <c r="R5" s="37">
        <f t="shared" si="2"/>
        <v>13</v>
      </c>
    </row>
    <row r="6" spans="1:20" ht="27.75" customHeight="1" x14ac:dyDescent="0.25">
      <c r="A6" s="30">
        <v>4</v>
      </c>
      <c r="B6" s="8" t="s">
        <v>24</v>
      </c>
      <c r="C6" s="15" t="s">
        <v>8</v>
      </c>
      <c r="D6" s="13" t="s">
        <v>78</v>
      </c>
      <c r="E6" s="16" t="s">
        <v>72</v>
      </c>
      <c r="F6" s="17" t="s">
        <v>120</v>
      </c>
      <c r="G6" s="18" t="s">
        <v>157</v>
      </c>
      <c r="H6" s="48"/>
      <c r="I6" s="49"/>
      <c r="K6" s="21">
        <v>44357</v>
      </c>
      <c r="L6" s="21">
        <v>44406</v>
      </c>
      <c r="N6" s="45">
        <v>1</v>
      </c>
      <c r="O6" s="39" t="s">
        <v>197</v>
      </c>
      <c r="P6" s="35" t="str">
        <f t="shared" ca="1" si="0"/>
        <v>Due</v>
      </c>
      <c r="Q6" s="36" t="str">
        <f t="shared" ca="1" si="1"/>
        <v>Beyond ETC</v>
      </c>
      <c r="R6" s="37">
        <f t="shared" si="2"/>
        <v>49</v>
      </c>
    </row>
    <row r="7" spans="1:20" ht="27.75" customHeight="1" x14ac:dyDescent="0.25">
      <c r="A7" s="30">
        <v>5</v>
      </c>
      <c r="B7" s="8" t="s">
        <v>24</v>
      </c>
      <c r="C7" s="15" t="s">
        <v>79</v>
      </c>
      <c r="D7" s="13" t="s">
        <v>80</v>
      </c>
      <c r="E7" s="16" t="s">
        <v>72</v>
      </c>
      <c r="F7" s="17" t="s">
        <v>121</v>
      </c>
      <c r="G7" s="18" t="s">
        <v>158</v>
      </c>
      <c r="H7" s="48"/>
      <c r="I7" s="49"/>
      <c r="K7" s="21">
        <v>44364</v>
      </c>
      <c r="L7" s="21">
        <v>44499</v>
      </c>
      <c r="N7" s="45">
        <v>0.7</v>
      </c>
      <c r="O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" s="35" t="str">
        <f t="shared" ca="1" si="0"/>
        <v>Due</v>
      </c>
      <c r="Q7" s="36" t="str">
        <f t="shared" ca="1" si="1"/>
        <v>Beyond ETC</v>
      </c>
      <c r="R7" s="37">
        <f t="shared" si="2"/>
        <v>135</v>
      </c>
    </row>
    <row r="8" spans="1:20" ht="23.25" customHeight="1" x14ac:dyDescent="0.25">
      <c r="A8" s="30">
        <v>6</v>
      </c>
      <c r="B8" s="8" t="s">
        <v>24</v>
      </c>
      <c r="C8" s="15" t="s">
        <v>79</v>
      </c>
      <c r="D8" s="13" t="s">
        <v>30</v>
      </c>
      <c r="E8" s="16" t="s">
        <v>72</v>
      </c>
      <c r="F8" s="17" t="s">
        <v>122</v>
      </c>
      <c r="G8" s="18" t="s">
        <v>158</v>
      </c>
      <c r="H8" s="48"/>
      <c r="I8" s="49"/>
      <c r="K8" s="21">
        <v>44409</v>
      </c>
      <c r="L8" s="21">
        <v>44530</v>
      </c>
      <c r="N8" s="45">
        <v>0.4</v>
      </c>
      <c r="O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" s="35" t="str">
        <f t="shared" ca="1" si="0"/>
        <v>Due</v>
      </c>
      <c r="Q8" s="36" t="str">
        <f t="shared" ca="1" si="1"/>
        <v>Beyond ETC</v>
      </c>
      <c r="R8" s="37">
        <f t="shared" si="2"/>
        <v>121</v>
      </c>
    </row>
    <row r="9" spans="1:20" s="70" customFormat="1" ht="45" x14ac:dyDescent="0.25">
      <c r="A9" s="61">
        <v>7</v>
      </c>
      <c r="B9" s="62" t="s">
        <v>24</v>
      </c>
      <c r="C9" s="63" t="s">
        <v>79</v>
      </c>
      <c r="D9" s="64" t="s">
        <v>81</v>
      </c>
      <c r="E9" s="65" t="s">
        <v>72</v>
      </c>
      <c r="F9" s="66" t="s">
        <v>123</v>
      </c>
      <c r="G9" s="67" t="s">
        <v>159</v>
      </c>
      <c r="H9" s="68"/>
      <c r="I9" s="69"/>
      <c r="K9" s="71">
        <v>44423</v>
      </c>
      <c r="L9" s="71">
        <v>44469</v>
      </c>
      <c r="M9" s="71"/>
      <c r="N9" s="72">
        <v>0.75</v>
      </c>
      <c r="O9" s="73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" s="74" t="str">
        <f t="shared" ca="1" si="0"/>
        <v>Due</v>
      </c>
      <c r="Q9" s="75" t="str">
        <f t="shared" ca="1" si="1"/>
        <v>Beyond ETC</v>
      </c>
      <c r="R9" s="76">
        <f t="shared" si="2"/>
        <v>46</v>
      </c>
    </row>
    <row r="10" spans="1:20" ht="30" x14ac:dyDescent="0.25">
      <c r="A10" s="30">
        <v>8</v>
      </c>
      <c r="B10" s="8" t="s">
        <v>24</v>
      </c>
      <c r="C10" s="15" t="s">
        <v>79</v>
      </c>
      <c r="D10" s="13" t="s">
        <v>33</v>
      </c>
      <c r="E10" s="16" t="s">
        <v>72</v>
      </c>
      <c r="F10" s="17" t="s">
        <v>124</v>
      </c>
      <c r="G10" s="18" t="s">
        <v>160</v>
      </c>
      <c r="H10" s="48"/>
      <c r="I10" s="49"/>
      <c r="J10" s="24"/>
      <c r="K10" s="25">
        <v>44348</v>
      </c>
      <c r="L10" s="25">
        <v>44560</v>
      </c>
      <c r="M10" s="25"/>
      <c r="N10" s="45">
        <v>0.5</v>
      </c>
      <c r="O1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" s="35" t="str">
        <f t="shared" ca="1" si="0"/>
        <v>Due</v>
      </c>
      <c r="Q10" s="36" t="str">
        <f t="shared" ca="1" si="1"/>
        <v>Beyond ETC</v>
      </c>
      <c r="R10" s="37">
        <f t="shared" si="2"/>
        <v>212</v>
      </c>
    </row>
    <row r="11" spans="1:20" ht="30" x14ac:dyDescent="0.25">
      <c r="A11" s="30">
        <v>9</v>
      </c>
      <c r="B11" s="8" t="s">
        <v>24</v>
      </c>
      <c r="C11" s="15" t="s">
        <v>6</v>
      </c>
      <c r="D11" s="13" t="s">
        <v>36</v>
      </c>
      <c r="E11" s="16" t="s">
        <v>72</v>
      </c>
      <c r="F11" s="17" t="s">
        <v>125</v>
      </c>
      <c r="G11" s="18" t="s">
        <v>161</v>
      </c>
      <c r="H11" s="48"/>
      <c r="I11" s="49"/>
      <c r="J11" s="26"/>
      <c r="K11" s="25"/>
      <c r="L11" s="25"/>
      <c r="M11" s="25"/>
      <c r="N11" s="45">
        <v>1</v>
      </c>
      <c r="O11" s="39" t="s">
        <v>197</v>
      </c>
      <c r="P11" s="35" t="str">
        <f t="shared" ca="1" si="0"/>
        <v>Due</v>
      </c>
      <c r="Q11" s="36" t="str">
        <f t="shared" ca="1" si="1"/>
        <v>Beyond ETC</v>
      </c>
      <c r="R11" s="37">
        <f t="shared" si="2"/>
        <v>0</v>
      </c>
    </row>
    <row r="12" spans="1:20" ht="30" x14ac:dyDescent="0.25">
      <c r="A12" s="30">
        <v>10</v>
      </c>
      <c r="B12" s="8" t="s">
        <v>24</v>
      </c>
      <c r="C12" s="15" t="s">
        <v>6</v>
      </c>
      <c r="D12" s="13" t="s">
        <v>36</v>
      </c>
      <c r="E12" s="16" t="s">
        <v>72</v>
      </c>
      <c r="F12" s="17" t="s">
        <v>126</v>
      </c>
      <c r="G12" s="18" t="s">
        <v>161</v>
      </c>
      <c r="H12" s="48"/>
      <c r="I12" s="49"/>
      <c r="J12" s="24"/>
      <c r="K12" s="25"/>
      <c r="L12" s="25"/>
      <c r="M12" s="25"/>
      <c r="N12" s="45">
        <v>1</v>
      </c>
      <c r="O1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2" s="35" t="str">
        <f t="shared" ca="1" si="0"/>
        <v>Due</v>
      </c>
      <c r="Q12" s="36" t="str">
        <f t="shared" ca="1" si="1"/>
        <v>Beyond ETC</v>
      </c>
      <c r="R12" s="37">
        <f t="shared" si="2"/>
        <v>0</v>
      </c>
    </row>
    <row r="13" spans="1:20" ht="30" x14ac:dyDescent="0.25">
      <c r="A13" s="30">
        <v>11</v>
      </c>
      <c r="B13" s="8" t="s">
        <v>24</v>
      </c>
      <c r="C13" s="15" t="s">
        <v>6</v>
      </c>
      <c r="D13" s="13" t="s">
        <v>37</v>
      </c>
      <c r="E13" s="16" t="s">
        <v>72</v>
      </c>
      <c r="F13" s="17" t="s">
        <v>127</v>
      </c>
      <c r="G13" s="18" t="s">
        <v>162</v>
      </c>
      <c r="H13" s="48"/>
      <c r="I13" s="49"/>
      <c r="J13" s="24"/>
      <c r="K13" s="25"/>
      <c r="L13" s="25"/>
      <c r="M13" s="25"/>
      <c r="N13" s="45">
        <v>0.5</v>
      </c>
      <c r="O1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3" s="35" t="str">
        <f t="shared" ca="1" si="0"/>
        <v>Due</v>
      </c>
      <c r="Q13" s="36" t="str">
        <f t="shared" ca="1" si="1"/>
        <v>Beyond ETC</v>
      </c>
      <c r="R13" s="37">
        <f t="shared" si="2"/>
        <v>0</v>
      </c>
    </row>
    <row r="14" spans="1:20" s="70" customFormat="1" ht="45" x14ac:dyDescent="0.25">
      <c r="A14" s="61">
        <v>12</v>
      </c>
      <c r="B14" s="62" t="s">
        <v>24</v>
      </c>
      <c r="C14" s="63" t="s">
        <v>6</v>
      </c>
      <c r="D14" s="64" t="s">
        <v>82</v>
      </c>
      <c r="E14" s="65" t="s">
        <v>72</v>
      </c>
      <c r="F14" s="66" t="s">
        <v>128</v>
      </c>
      <c r="G14" s="67" t="s">
        <v>159</v>
      </c>
      <c r="H14" s="68"/>
      <c r="I14" s="69"/>
      <c r="K14" s="71"/>
      <c r="L14" s="71"/>
      <c r="M14" s="71"/>
      <c r="N14" s="72">
        <v>0.5</v>
      </c>
      <c r="O14" s="73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4" s="74" t="str">
        <f t="shared" ca="1" si="0"/>
        <v>Due</v>
      </c>
      <c r="Q14" s="75" t="str">
        <f t="shared" ca="1" si="1"/>
        <v>Beyond ETC</v>
      </c>
      <c r="R14" s="76">
        <f t="shared" si="2"/>
        <v>0</v>
      </c>
    </row>
    <row r="15" spans="1:20" ht="30" x14ac:dyDescent="0.25">
      <c r="A15" s="30">
        <v>13</v>
      </c>
      <c r="B15" s="8" t="s">
        <v>24</v>
      </c>
      <c r="C15" s="15" t="s">
        <v>6</v>
      </c>
      <c r="D15" s="13" t="s">
        <v>35</v>
      </c>
      <c r="E15" s="16" t="s">
        <v>72</v>
      </c>
      <c r="F15" s="43" t="s">
        <v>129</v>
      </c>
      <c r="G15" s="18" t="s">
        <v>159</v>
      </c>
      <c r="H15" s="48"/>
      <c r="I15" s="49"/>
      <c r="J15" s="26"/>
      <c r="K15" s="27"/>
      <c r="L15" s="27"/>
      <c r="M15" s="25"/>
      <c r="N15" s="45">
        <v>0.7</v>
      </c>
      <c r="O1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5" s="35" t="str">
        <f t="shared" ca="1" si="0"/>
        <v>Due</v>
      </c>
      <c r="Q15" s="36" t="str">
        <f t="shared" ca="1" si="1"/>
        <v>Beyond ETC</v>
      </c>
      <c r="R15" s="37">
        <f t="shared" si="2"/>
        <v>0</v>
      </c>
    </row>
    <row r="16" spans="1:20" ht="30" x14ac:dyDescent="0.25">
      <c r="A16" s="30">
        <v>14</v>
      </c>
      <c r="B16" s="8" t="s">
        <v>24</v>
      </c>
      <c r="C16" s="15" t="s">
        <v>6</v>
      </c>
      <c r="D16" s="13" t="s">
        <v>35</v>
      </c>
      <c r="E16" s="16" t="s">
        <v>72</v>
      </c>
      <c r="F16" s="17" t="s">
        <v>130</v>
      </c>
      <c r="G16" s="18" t="s">
        <v>163</v>
      </c>
      <c r="H16" s="48"/>
      <c r="I16" s="49"/>
      <c r="J16" s="24"/>
      <c r="K16" s="25"/>
      <c r="L16" s="25"/>
      <c r="M16" s="25"/>
      <c r="N16" s="45">
        <v>1</v>
      </c>
      <c r="O16" s="39" t="s">
        <v>197</v>
      </c>
      <c r="P16" s="35" t="str">
        <f t="shared" ca="1" si="0"/>
        <v>Due</v>
      </c>
      <c r="Q16" s="36" t="str">
        <f t="shared" ca="1" si="1"/>
        <v>Beyond ETC</v>
      </c>
      <c r="R16" s="37">
        <f t="shared" si="2"/>
        <v>0</v>
      </c>
    </row>
    <row r="17" spans="1:18" ht="30" x14ac:dyDescent="0.25">
      <c r="A17" s="30">
        <v>15</v>
      </c>
      <c r="B17" s="8" t="s">
        <v>24</v>
      </c>
      <c r="C17" s="15" t="s">
        <v>6</v>
      </c>
      <c r="D17" s="13" t="s">
        <v>35</v>
      </c>
      <c r="E17" s="16" t="s">
        <v>72</v>
      </c>
      <c r="F17" s="17" t="s">
        <v>131</v>
      </c>
      <c r="G17" s="18" t="s">
        <v>164</v>
      </c>
      <c r="H17" s="48"/>
      <c r="I17" s="49"/>
      <c r="J17" s="24"/>
      <c r="K17" s="25"/>
      <c r="L17" s="25"/>
      <c r="M17" s="25"/>
      <c r="N17" s="45">
        <v>0.3</v>
      </c>
      <c r="O1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7" s="35" t="str">
        <f t="shared" ca="1" si="0"/>
        <v>Due</v>
      </c>
      <c r="Q17" s="36" t="str">
        <f t="shared" ca="1" si="1"/>
        <v>Beyond ETC</v>
      </c>
      <c r="R17" s="37">
        <f t="shared" si="2"/>
        <v>0</v>
      </c>
    </row>
    <row r="18" spans="1:18" ht="45" x14ac:dyDescent="0.25">
      <c r="A18" s="30">
        <v>16</v>
      </c>
      <c r="B18" s="8" t="s">
        <v>24</v>
      </c>
      <c r="C18" s="15" t="s">
        <v>6</v>
      </c>
      <c r="D18" s="13" t="s">
        <v>83</v>
      </c>
      <c r="E18" s="16" t="s">
        <v>72</v>
      </c>
      <c r="F18" s="17" t="s">
        <v>132</v>
      </c>
      <c r="G18" s="18" t="s">
        <v>165</v>
      </c>
      <c r="H18" s="48"/>
      <c r="I18" s="49"/>
      <c r="J18" s="24"/>
      <c r="K18" s="25"/>
      <c r="L18" s="25"/>
      <c r="M18" s="25"/>
      <c r="N18" s="45">
        <v>0.85</v>
      </c>
      <c r="O1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8" s="35" t="str">
        <f t="shared" ca="1" si="0"/>
        <v>Due</v>
      </c>
      <c r="Q18" s="36" t="str">
        <f t="shared" ca="1" si="1"/>
        <v>Beyond ETC</v>
      </c>
      <c r="R18" s="37">
        <f t="shared" si="2"/>
        <v>0</v>
      </c>
    </row>
    <row r="19" spans="1:18" ht="30" x14ac:dyDescent="0.25">
      <c r="A19" s="30">
        <v>17</v>
      </c>
      <c r="B19" s="8" t="s">
        <v>84</v>
      </c>
      <c r="C19" s="15" t="s">
        <v>85</v>
      </c>
      <c r="D19" s="13" t="s">
        <v>86</v>
      </c>
      <c r="E19" s="16" t="s">
        <v>72</v>
      </c>
      <c r="F19" s="17" t="s">
        <v>133</v>
      </c>
      <c r="G19" s="18" t="s">
        <v>166</v>
      </c>
      <c r="H19" s="48"/>
      <c r="I19" s="49"/>
      <c r="K19" s="21">
        <v>44409</v>
      </c>
      <c r="L19" s="21" t="s">
        <v>183</v>
      </c>
      <c r="N19" s="45">
        <v>1</v>
      </c>
      <c r="O1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9" s="35" t="str">
        <f t="shared" ca="1" si="0"/>
        <v>Note Due</v>
      </c>
      <c r="Q19" s="36" t="str">
        <f t="shared" ca="1" si="1"/>
        <v>Within ETC</v>
      </c>
      <c r="R19" s="37" t="str">
        <f t="shared" si="2"/>
        <v/>
      </c>
    </row>
    <row r="20" spans="1:18" ht="45" x14ac:dyDescent="0.25">
      <c r="A20" s="30">
        <v>18</v>
      </c>
      <c r="B20" s="8" t="s">
        <v>84</v>
      </c>
      <c r="C20" s="15" t="s">
        <v>85</v>
      </c>
      <c r="D20" s="13" t="s">
        <v>87</v>
      </c>
      <c r="E20" s="16" t="s">
        <v>72</v>
      </c>
      <c r="F20" s="17" t="s">
        <v>134</v>
      </c>
      <c r="G20" s="18" t="s">
        <v>167</v>
      </c>
      <c r="H20" s="48"/>
      <c r="I20" s="49"/>
      <c r="K20" s="21">
        <v>44470</v>
      </c>
      <c r="L20" s="21" t="s">
        <v>183</v>
      </c>
      <c r="N20" s="45">
        <v>1</v>
      </c>
      <c r="O2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0" s="35" t="str">
        <f t="shared" ca="1" si="0"/>
        <v>Note Due</v>
      </c>
      <c r="Q20" s="36" t="str">
        <f t="shared" ca="1" si="1"/>
        <v>Within ETC</v>
      </c>
      <c r="R20" s="37" t="str">
        <f t="shared" si="2"/>
        <v/>
      </c>
    </row>
    <row r="21" spans="1:18" ht="30" x14ac:dyDescent="0.25">
      <c r="A21" s="30">
        <v>19</v>
      </c>
      <c r="B21" s="8" t="s">
        <v>84</v>
      </c>
      <c r="C21" s="15" t="s">
        <v>85</v>
      </c>
      <c r="D21" s="13" t="s">
        <v>88</v>
      </c>
      <c r="E21" s="16" t="s">
        <v>72</v>
      </c>
      <c r="F21" s="17" t="s">
        <v>135</v>
      </c>
      <c r="G21" s="18" t="s">
        <v>168</v>
      </c>
      <c r="H21" s="48"/>
      <c r="I21" s="49"/>
      <c r="K21" s="21">
        <v>44562</v>
      </c>
      <c r="L21" s="21" t="s">
        <v>183</v>
      </c>
      <c r="N21" s="45">
        <v>1</v>
      </c>
      <c r="O2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1" s="35" t="str">
        <f t="shared" ca="1" si="0"/>
        <v>Note Due</v>
      </c>
      <c r="Q21" s="36" t="str">
        <f t="shared" ca="1" si="1"/>
        <v>Within ETC</v>
      </c>
      <c r="R21" s="37" t="str">
        <f t="shared" si="2"/>
        <v/>
      </c>
    </row>
    <row r="22" spans="1:18" x14ac:dyDescent="0.25">
      <c r="A22" s="30">
        <v>20</v>
      </c>
      <c r="B22" s="8" t="s">
        <v>84</v>
      </c>
      <c r="C22" s="15" t="s">
        <v>85</v>
      </c>
      <c r="D22" s="13" t="s">
        <v>88</v>
      </c>
      <c r="E22" s="16" t="s">
        <v>72</v>
      </c>
      <c r="F22" s="17" t="s">
        <v>136</v>
      </c>
      <c r="G22" s="18" t="s">
        <v>169</v>
      </c>
      <c r="H22" s="48"/>
      <c r="I22" s="49"/>
      <c r="K22" s="21">
        <v>44562</v>
      </c>
      <c r="L22" s="21">
        <v>44651</v>
      </c>
      <c r="N22" s="45">
        <v>1</v>
      </c>
      <c r="O2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2" s="35" t="str">
        <f t="shared" ca="1" si="0"/>
        <v>Due</v>
      </c>
      <c r="Q22" s="36" t="str">
        <f t="shared" ca="1" si="1"/>
        <v>Beyond ETC</v>
      </c>
      <c r="R22" s="37">
        <f t="shared" si="2"/>
        <v>89</v>
      </c>
    </row>
    <row r="23" spans="1:18" ht="30" x14ac:dyDescent="0.25">
      <c r="A23" s="30">
        <v>21</v>
      </c>
      <c r="B23" s="8" t="s">
        <v>84</v>
      </c>
      <c r="C23" s="15" t="s">
        <v>89</v>
      </c>
      <c r="D23" s="13" t="s">
        <v>90</v>
      </c>
      <c r="E23" s="16" t="s">
        <v>72</v>
      </c>
      <c r="F23" s="13" t="s">
        <v>137</v>
      </c>
      <c r="G23" s="18" t="s">
        <v>169</v>
      </c>
      <c r="H23" s="48"/>
      <c r="I23" s="49"/>
      <c r="K23" s="21">
        <v>44652</v>
      </c>
      <c r="L23" s="21" t="s">
        <v>183</v>
      </c>
      <c r="N23" s="45">
        <v>1</v>
      </c>
      <c r="O2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3" s="35"/>
      <c r="Q23" s="36" t="str">
        <f t="shared" ca="1" si="1"/>
        <v>Within ETC</v>
      </c>
      <c r="R23" s="37" t="str">
        <f t="shared" si="2"/>
        <v/>
      </c>
    </row>
    <row r="24" spans="1:18" x14ac:dyDescent="0.25">
      <c r="A24" s="30">
        <v>22</v>
      </c>
      <c r="B24" s="8" t="s">
        <v>84</v>
      </c>
      <c r="C24" s="15" t="s">
        <v>89</v>
      </c>
      <c r="D24" s="13" t="s">
        <v>90</v>
      </c>
      <c r="E24" s="16" t="s">
        <v>72</v>
      </c>
      <c r="F24" s="17" t="s">
        <v>138</v>
      </c>
      <c r="G24" s="18" t="s">
        <v>170</v>
      </c>
      <c r="H24" s="48"/>
      <c r="I24" s="49"/>
      <c r="K24" s="21">
        <v>44409</v>
      </c>
      <c r="L24" s="21">
        <v>44742</v>
      </c>
      <c r="N24" s="45">
        <v>1</v>
      </c>
      <c r="O2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4" s="35"/>
      <c r="Q24" s="36" t="str">
        <f t="shared" ca="1" si="1"/>
        <v>Beyond ETC</v>
      </c>
      <c r="R24" s="37">
        <f t="shared" si="2"/>
        <v>333</v>
      </c>
    </row>
    <row r="25" spans="1:18" ht="30" x14ac:dyDescent="0.25">
      <c r="A25" s="30">
        <v>23</v>
      </c>
      <c r="B25" s="8" t="s">
        <v>84</v>
      </c>
      <c r="C25" s="15" t="s">
        <v>91</v>
      </c>
      <c r="D25" s="13" t="s">
        <v>92</v>
      </c>
      <c r="E25" s="16" t="s">
        <v>72</v>
      </c>
      <c r="F25" s="17" t="s">
        <v>139</v>
      </c>
      <c r="G25" s="18" t="s">
        <v>171</v>
      </c>
      <c r="H25" s="48"/>
      <c r="I25" s="49"/>
      <c r="K25" s="21">
        <v>44440</v>
      </c>
      <c r="L25" s="21" t="s">
        <v>183</v>
      </c>
      <c r="N25" s="45">
        <v>1</v>
      </c>
      <c r="O2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5" s="35"/>
      <c r="Q25" s="36" t="str">
        <f t="shared" ca="1" si="1"/>
        <v>Within ETC</v>
      </c>
      <c r="R25" s="37" t="str">
        <f t="shared" si="2"/>
        <v/>
      </c>
    </row>
    <row r="26" spans="1:18" x14ac:dyDescent="0.25">
      <c r="A26" s="30">
        <v>24</v>
      </c>
      <c r="B26" s="8" t="s">
        <v>84</v>
      </c>
      <c r="C26" s="15" t="s">
        <v>91</v>
      </c>
      <c r="D26" s="13" t="s">
        <v>93</v>
      </c>
      <c r="E26" s="16" t="s">
        <v>72</v>
      </c>
      <c r="F26" s="17" t="s">
        <v>140</v>
      </c>
      <c r="G26" s="18" t="s">
        <v>168</v>
      </c>
      <c r="H26" s="48"/>
      <c r="I26" s="49"/>
      <c r="K26" s="21">
        <v>44562</v>
      </c>
      <c r="L26" s="21">
        <v>44926</v>
      </c>
      <c r="N26" s="45">
        <v>1</v>
      </c>
      <c r="O2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6" s="35"/>
      <c r="Q26" s="36" t="str">
        <f t="shared" ca="1" si="1"/>
        <v>Beyond ETC</v>
      </c>
      <c r="R26" s="37">
        <f t="shared" si="2"/>
        <v>364</v>
      </c>
    </row>
    <row r="27" spans="1:18" ht="30" x14ac:dyDescent="0.25">
      <c r="A27" s="30">
        <v>25</v>
      </c>
      <c r="B27" s="8" t="s">
        <v>84</v>
      </c>
      <c r="C27" s="15" t="s">
        <v>91</v>
      </c>
      <c r="D27" s="13" t="s">
        <v>93</v>
      </c>
      <c r="E27" s="16" t="s">
        <v>72</v>
      </c>
      <c r="F27" s="17" t="s">
        <v>141</v>
      </c>
      <c r="G27" s="18" t="s">
        <v>167</v>
      </c>
      <c r="H27" s="48"/>
      <c r="I27" s="49"/>
      <c r="K27" s="21">
        <v>44562</v>
      </c>
      <c r="L27" s="21" t="s">
        <v>183</v>
      </c>
      <c r="N27" s="45">
        <v>1</v>
      </c>
      <c r="O2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7" s="35"/>
      <c r="Q27" s="36" t="str">
        <f t="shared" ca="1" si="1"/>
        <v>Within ETC</v>
      </c>
      <c r="R27" s="37" t="str">
        <f t="shared" si="2"/>
        <v/>
      </c>
    </row>
    <row r="28" spans="1:18" x14ac:dyDescent="0.25">
      <c r="A28" s="30">
        <v>26</v>
      </c>
      <c r="B28" s="8" t="s">
        <v>84</v>
      </c>
      <c r="C28" s="15" t="s">
        <v>91</v>
      </c>
      <c r="D28" s="13" t="s">
        <v>94</v>
      </c>
      <c r="E28" s="16" t="s">
        <v>72</v>
      </c>
      <c r="F28" s="17" t="s">
        <v>142</v>
      </c>
      <c r="G28" s="18" t="s">
        <v>167</v>
      </c>
      <c r="H28" s="48"/>
      <c r="I28" s="49"/>
      <c r="K28" s="21">
        <v>44562</v>
      </c>
      <c r="L28" s="21" t="s">
        <v>183</v>
      </c>
      <c r="N28" s="45">
        <v>1</v>
      </c>
      <c r="O2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8" s="35"/>
      <c r="Q28" s="36" t="str">
        <f t="shared" ca="1" si="1"/>
        <v>Within ETC</v>
      </c>
      <c r="R28" s="37" t="str">
        <f t="shared" si="2"/>
        <v/>
      </c>
    </row>
    <row r="29" spans="1:18" ht="30" x14ac:dyDescent="0.25">
      <c r="A29" s="30">
        <v>27</v>
      </c>
      <c r="B29" s="8" t="s">
        <v>84</v>
      </c>
      <c r="C29" s="15" t="s">
        <v>91</v>
      </c>
      <c r="D29" s="13" t="s">
        <v>94</v>
      </c>
      <c r="E29" s="16" t="s">
        <v>72</v>
      </c>
      <c r="F29" s="17" t="s">
        <v>143</v>
      </c>
      <c r="G29" s="18" t="s">
        <v>167</v>
      </c>
      <c r="H29" s="48"/>
      <c r="I29" s="49"/>
      <c r="K29" s="21">
        <v>44562</v>
      </c>
      <c r="N29" s="45">
        <v>1</v>
      </c>
      <c r="O2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29" s="35"/>
      <c r="Q29" s="36" t="str">
        <f t="shared" ca="1" si="1"/>
        <v>Beyond ETC</v>
      </c>
      <c r="R29" s="37">
        <f t="shared" si="2"/>
        <v>-44562</v>
      </c>
    </row>
    <row r="30" spans="1:18" ht="30" x14ac:dyDescent="0.25">
      <c r="A30" s="30">
        <v>28</v>
      </c>
      <c r="B30" s="8" t="s">
        <v>25</v>
      </c>
      <c r="C30" s="15" t="s">
        <v>95</v>
      </c>
      <c r="D30" s="14" t="s">
        <v>96</v>
      </c>
      <c r="E30" s="16" t="s">
        <v>72</v>
      </c>
      <c r="F30" s="17" t="s">
        <v>198</v>
      </c>
      <c r="G30" s="29" t="s">
        <v>172</v>
      </c>
      <c r="H30" s="50"/>
      <c r="I30" s="51"/>
      <c r="K30" s="25" t="s">
        <v>255</v>
      </c>
      <c r="L30" s="25" t="s">
        <v>186</v>
      </c>
      <c r="N30" s="45">
        <v>0</v>
      </c>
      <c r="O3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0" s="35"/>
      <c r="Q30" s="36" t="str">
        <f t="shared" ca="1" si="1"/>
        <v>Within ETC</v>
      </c>
      <c r="R30" s="37" t="str">
        <f t="shared" si="2"/>
        <v/>
      </c>
    </row>
    <row r="31" spans="1:18" ht="30" x14ac:dyDescent="0.25">
      <c r="A31" s="30">
        <v>29</v>
      </c>
      <c r="B31" s="8" t="s">
        <v>25</v>
      </c>
      <c r="C31" s="15" t="s">
        <v>95</v>
      </c>
      <c r="D31" s="14" t="s">
        <v>96</v>
      </c>
      <c r="E31" s="16" t="s">
        <v>72</v>
      </c>
      <c r="F31" s="28" t="s">
        <v>144</v>
      </c>
      <c r="G31" s="29" t="s">
        <v>172</v>
      </c>
      <c r="H31" s="50"/>
      <c r="I31" s="51"/>
      <c r="K31" s="25" t="s">
        <v>186</v>
      </c>
      <c r="L31" s="25" t="s">
        <v>189</v>
      </c>
      <c r="N31" s="45">
        <v>0</v>
      </c>
      <c r="O3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1" s="35"/>
      <c r="Q31" s="36" t="str">
        <f t="shared" ca="1" si="1"/>
        <v>Within ETC</v>
      </c>
      <c r="R31" s="37" t="str">
        <f t="shared" si="2"/>
        <v/>
      </c>
    </row>
    <row r="32" spans="1:18" ht="30" x14ac:dyDescent="0.25">
      <c r="A32" s="30">
        <v>30</v>
      </c>
      <c r="B32" s="8" t="s">
        <v>25</v>
      </c>
      <c r="C32" s="15" t="s">
        <v>95</v>
      </c>
      <c r="D32" s="14" t="s">
        <v>96</v>
      </c>
      <c r="E32" s="16" t="s">
        <v>72</v>
      </c>
      <c r="F32" s="28" t="s">
        <v>199</v>
      </c>
      <c r="G32" s="29" t="s">
        <v>172</v>
      </c>
      <c r="H32" s="50"/>
      <c r="I32" s="51"/>
      <c r="K32" s="25" t="s">
        <v>189</v>
      </c>
      <c r="L32" s="25" t="s">
        <v>187</v>
      </c>
      <c r="N32" s="45">
        <v>0</v>
      </c>
      <c r="O3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2" s="35"/>
      <c r="Q32" s="36" t="str">
        <f t="shared" ca="1" si="1"/>
        <v>Within ETC</v>
      </c>
      <c r="R32" s="37" t="str">
        <f t="shared" si="2"/>
        <v/>
      </c>
    </row>
    <row r="33" spans="1:18" ht="30" x14ac:dyDescent="0.25">
      <c r="A33" s="30">
        <v>31</v>
      </c>
      <c r="B33" s="8" t="s">
        <v>25</v>
      </c>
      <c r="C33" s="15" t="s">
        <v>95</v>
      </c>
      <c r="D33" s="14" t="s">
        <v>96</v>
      </c>
      <c r="E33" s="16" t="s">
        <v>192</v>
      </c>
      <c r="F33" s="28" t="s">
        <v>145</v>
      </c>
      <c r="G33" s="29" t="s">
        <v>172</v>
      </c>
      <c r="H33" s="50"/>
      <c r="I33" s="52">
        <v>100</v>
      </c>
      <c r="K33" s="25" t="s">
        <v>188</v>
      </c>
      <c r="L33" s="25" t="s">
        <v>256</v>
      </c>
      <c r="N33" s="45">
        <v>0</v>
      </c>
      <c r="O3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3" s="35"/>
      <c r="Q33" s="36" t="str">
        <f t="shared" ca="1" si="1"/>
        <v>Within ETC</v>
      </c>
      <c r="R33" s="37" t="str">
        <f t="shared" si="2"/>
        <v/>
      </c>
    </row>
    <row r="34" spans="1:18" ht="30" x14ac:dyDescent="0.25">
      <c r="A34" s="30">
        <v>32</v>
      </c>
      <c r="B34" s="8" t="s">
        <v>25</v>
      </c>
      <c r="C34" s="15" t="s">
        <v>95</v>
      </c>
      <c r="D34" s="14" t="s">
        <v>96</v>
      </c>
      <c r="E34" s="16" t="s">
        <v>72</v>
      </c>
      <c r="F34" s="28" t="s">
        <v>147</v>
      </c>
      <c r="G34" s="29" t="s">
        <v>172</v>
      </c>
      <c r="H34" s="50"/>
      <c r="I34" s="51"/>
      <c r="K34" s="25" t="s">
        <v>188</v>
      </c>
      <c r="L34" s="25" t="s">
        <v>256</v>
      </c>
      <c r="N34" s="45">
        <v>0</v>
      </c>
      <c r="O3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4" s="35"/>
      <c r="Q34" s="36" t="str">
        <f t="shared" ca="1" si="1"/>
        <v>Within ETC</v>
      </c>
      <c r="R34" s="37" t="str">
        <f t="shared" si="2"/>
        <v/>
      </c>
    </row>
    <row r="35" spans="1:18" ht="30" x14ac:dyDescent="0.25">
      <c r="A35" s="30">
        <v>33</v>
      </c>
      <c r="B35" s="8" t="s">
        <v>25</v>
      </c>
      <c r="C35" s="15" t="s">
        <v>95</v>
      </c>
      <c r="D35" s="14" t="s">
        <v>97</v>
      </c>
      <c r="E35" s="16" t="s">
        <v>72</v>
      </c>
      <c r="F35" s="28" t="s">
        <v>200</v>
      </c>
      <c r="G35" s="29" t="s">
        <v>172</v>
      </c>
      <c r="H35" s="50"/>
      <c r="I35" s="51"/>
      <c r="K35" s="25" t="s">
        <v>255</v>
      </c>
      <c r="L35" s="25" t="s">
        <v>186</v>
      </c>
      <c r="N35" s="45">
        <v>0</v>
      </c>
      <c r="O3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5" s="35"/>
      <c r="Q35" s="36" t="str">
        <f t="shared" ref="Q35:Q66" ca="1" si="3">IF(L35="NA","Please add ETC",IF(L35&lt;TODAY(),IF(M35="","Beyond ETC",IF(M35&gt;L35,"Beyond ETC",IF(M35&lt;=L35,"Within ETC"))),IF(M35="","Within ETC",IF(M35&lt;=L35,"Within ETC","Fix Actual completion date"))))</f>
        <v>Within ETC</v>
      </c>
      <c r="R35" s="37" t="str">
        <f t="shared" ref="R35:R66" si="4">IFERROR(L35-K35,"")</f>
        <v/>
      </c>
    </row>
    <row r="36" spans="1:18" ht="30" x14ac:dyDescent="0.25">
      <c r="A36" s="30">
        <v>34</v>
      </c>
      <c r="B36" s="8" t="s">
        <v>25</v>
      </c>
      <c r="C36" s="15" t="s">
        <v>95</v>
      </c>
      <c r="D36" s="14" t="s">
        <v>97</v>
      </c>
      <c r="E36" s="16" t="s">
        <v>72</v>
      </c>
      <c r="F36" s="28" t="s">
        <v>201</v>
      </c>
      <c r="G36" s="29" t="s">
        <v>172</v>
      </c>
      <c r="H36" s="50"/>
      <c r="I36" s="51"/>
      <c r="K36" s="25" t="s">
        <v>186</v>
      </c>
      <c r="L36" s="25" t="s">
        <v>257</v>
      </c>
      <c r="N36" s="45">
        <v>0</v>
      </c>
      <c r="O3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6" s="35"/>
      <c r="Q36" s="36" t="str">
        <f t="shared" ca="1" si="3"/>
        <v>Within ETC</v>
      </c>
      <c r="R36" s="37" t="str">
        <f t="shared" si="4"/>
        <v/>
      </c>
    </row>
    <row r="37" spans="1:18" ht="30" x14ac:dyDescent="0.25">
      <c r="A37" s="30">
        <v>35</v>
      </c>
      <c r="B37" s="8" t="s">
        <v>25</v>
      </c>
      <c r="C37" s="15" t="s">
        <v>95</v>
      </c>
      <c r="D37" s="14" t="s">
        <v>97</v>
      </c>
      <c r="E37" s="16" t="s">
        <v>72</v>
      </c>
      <c r="F37" s="28" t="s">
        <v>202</v>
      </c>
      <c r="G37" s="29" t="s">
        <v>172</v>
      </c>
      <c r="H37" s="50"/>
      <c r="I37" s="51"/>
      <c r="K37" s="25" t="s">
        <v>257</v>
      </c>
      <c r="L37" s="25" t="s">
        <v>256</v>
      </c>
      <c r="N37" s="45">
        <v>0</v>
      </c>
      <c r="O3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7" s="35"/>
      <c r="Q37" s="36" t="str">
        <f t="shared" ca="1" si="3"/>
        <v>Within ETC</v>
      </c>
      <c r="R37" s="37" t="str">
        <f t="shared" si="4"/>
        <v/>
      </c>
    </row>
    <row r="38" spans="1:18" ht="45" x14ac:dyDescent="0.25">
      <c r="A38" s="30">
        <v>36</v>
      </c>
      <c r="B38" s="8" t="s">
        <v>25</v>
      </c>
      <c r="C38" s="15" t="s">
        <v>95</v>
      </c>
      <c r="D38" s="14" t="s">
        <v>98</v>
      </c>
      <c r="E38" s="16" t="s">
        <v>192</v>
      </c>
      <c r="F38" s="28" t="s">
        <v>203</v>
      </c>
      <c r="G38" s="29" t="s">
        <v>172</v>
      </c>
      <c r="H38" s="50"/>
      <c r="I38" s="52">
        <v>100</v>
      </c>
      <c r="K38" s="25" t="s">
        <v>255</v>
      </c>
      <c r="L38" s="25" t="s">
        <v>186</v>
      </c>
      <c r="N38" s="45">
        <v>0</v>
      </c>
      <c r="O3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8" s="35"/>
      <c r="Q38" s="36" t="str">
        <f t="shared" ca="1" si="3"/>
        <v>Within ETC</v>
      </c>
      <c r="R38" s="37" t="str">
        <f t="shared" si="4"/>
        <v/>
      </c>
    </row>
    <row r="39" spans="1:18" ht="30" x14ac:dyDescent="0.25">
      <c r="A39" s="30">
        <v>37</v>
      </c>
      <c r="B39" s="8" t="s">
        <v>25</v>
      </c>
      <c r="C39" s="15" t="s">
        <v>95</v>
      </c>
      <c r="D39" s="14" t="s">
        <v>98</v>
      </c>
      <c r="E39" s="16" t="s">
        <v>192</v>
      </c>
      <c r="F39" s="28" t="s">
        <v>204</v>
      </c>
      <c r="G39" s="29" t="s">
        <v>172</v>
      </c>
      <c r="H39" s="50"/>
      <c r="I39" s="52">
        <v>5</v>
      </c>
      <c r="K39" s="25" t="s">
        <v>255</v>
      </c>
      <c r="L39" s="25" t="s">
        <v>186</v>
      </c>
      <c r="N39" s="45">
        <v>0</v>
      </c>
      <c r="O3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39" s="35"/>
      <c r="Q39" s="36" t="str">
        <f t="shared" ca="1" si="3"/>
        <v>Within ETC</v>
      </c>
      <c r="R39" s="37" t="str">
        <f t="shared" si="4"/>
        <v/>
      </c>
    </row>
    <row r="40" spans="1:18" ht="30" x14ac:dyDescent="0.25">
      <c r="A40" s="30">
        <v>38</v>
      </c>
      <c r="B40" s="8" t="s">
        <v>25</v>
      </c>
      <c r="C40" s="15" t="s">
        <v>95</v>
      </c>
      <c r="D40" s="14" t="s">
        <v>98</v>
      </c>
      <c r="E40" s="16" t="s">
        <v>72</v>
      </c>
      <c r="F40" s="17" t="s">
        <v>205</v>
      </c>
      <c r="G40" s="29" t="s">
        <v>172</v>
      </c>
      <c r="H40" s="50"/>
      <c r="I40" s="51"/>
      <c r="K40" s="25" t="s">
        <v>186</v>
      </c>
      <c r="L40" s="25" t="s">
        <v>188</v>
      </c>
      <c r="N40" s="45">
        <v>0</v>
      </c>
      <c r="O4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0" s="35"/>
      <c r="Q40" s="36" t="str">
        <f t="shared" ca="1" si="3"/>
        <v>Within ETC</v>
      </c>
      <c r="R40" s="37" t="str">
        <f t="shared" si="4"/>
        <v/>
      </c>
    </row>
    <row r="41" spans="1:18" x14ac:dyDescent="0.25">
      <c r="A41" s="30">
        <v>39</v>
      </c>
      <c r="B41" s="8" t="s">
        <v>25</v>
      </c>
      <c r="C41" s="15" t="s">
        <v>95</v>
      </c>
      <c r="D41" s="14" t="s">
        <v>99</v>
      </c>
      <c r="E41" s="16" t="s">
        <v>72</v>
      </c>
      <c r="F41" s="28" t="s">
        <v>206</v>
      </c>
      <c r="G41" s="29" t="s">
        <v>173</v>
      </c>
      <c r="H41" s="50"/>
      <c r="I41" s="51"/>
      <c r="K41" s="25" t="s">
        <v>258</v>
      </c>
      <c r="L41" s="25" t="s">
        <v>189</v>
      </c>
      <c r="N41" s="45">
        <v>0</v>
      </c>
      <c r="O4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1" s="35"/>
      <c r="Q41" s="36" t="str">
        <f t="shared" ca="1" si="3"/>
        <v>Within ETC</v>
      </c>
      <c r="R41" s="37" t="str">
        <f t="shared" si="4"/>
        <v/>
      </c>
    </row>
    <row r="42" spans="1:18" ht="30" x14ac:dyDescent="0.25">
      <c r="A42" s="30">
        <v>40</v>
      </c>
      <c r="B42" s="8" t="s">
        <v>25</v>
      </c>
      <c r="C42" s="15" t="s">
        <v>95</v>
      </c>
      <c r="D42" s="14" t="s">
        <v>99</v>
      </c>
      <c r="E42" s="16" t="s">
        <v>72</v>
      </c>
      <c r="F42" s="28" t="s">
        <v>207</v>
      </c>
      <c r="G42" s="29" t="s">
        <v>173</v>
      </c>
      <c r="H42" s="50"/>
      <c r="I42" s="51"/>
      <c r="K42" s="25" t="s">
        <v>258</v>
      </c>
      <c r="L42" s="25" t="s">
        <v>189</v>
      </c>
      <c r="N42" s="45">
        <v>0</v>
      </c>
      <c r="O4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2" s="35"/>
      <c r="Q42" s="36" t="str">
        <f t="shared" ca="1" si="3"/>
        <v>Within ETC</v>
      </c>
      <c r="R42" s="37" t="str">
        <f t="shared" si="4"/>
        <v/>
      </c>
    </row>
    <row r="43" spans="1:18" ht="30" x14ac:dyDescent="0.25">
      <c r="A43" s="30">
        <v>41</v>
      </c>
      <c r="B43" s="8" t="s">
        <v>25</v>
      </c>
      <c r="C43" s="15" t="s">
        <v>95</v>
      </c>
      <c r="D43" s="14" t="s">
        <v>99</v>
      </c>
      <c r="E43" s="16" t="s">
        <v>192</v>
      </c>
      <c r="F43" s="28" t="s">
        <v>208</v>
      </c>
      <c r="G43" s="29" t="s">
        <v>173</v>
      </c>
      <c r="H43" s="50"/>
      <c r="I43" s="52">
        <v>100</v>
      </c>
      <c r="K43" s="25" t="s">
        <v>189</v>
      </c>
      <c r="L43" s="25" t="s">
        <v>259</v>
      </c>
      <c r="N43" s="45">
        <v>0</v>
      </c>
      <c r="O4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3" s="35"/>
      <c r="Q43" s="36" t="str">
        <f t="shared" ca="1" si="3"/>
        <v>Within ETC</v>
      </c>
      <c r="R43" s="37" t="str">
        <f t="shared" si="4"/>
        <v/>
      </c>
    </row>
    <row r="44" spans="1:18" ht="30" x14ac:dyDescent="0.25">
      <c r="A44" s="30">
        <v>42</v>
      </c>
      <c r="B44" s="8" t="s">
        <v>25</v>
      </c>
      <c r="C44" s="15" t="s">
        <v>95</v>
      </c>
      <c r="D44" s="14" t="s">
        <v>98</v>
      </c>
      <c r="E44" s="16" t="s">
        <v>72</v>
      </c>
      <c r="F44" s="28" t="s">
        <v>145</v>
      </c>
      <c r="G44" s="29" t="s">
        <v>172</v>
      </c>
      <c r="H44" s="50"/>
      <c r="I44" s="51"/>
      <c r="K44" s="25" t="s">
        <v>188</v>
      </c>
      <c r="L44" s="25" t="s">
        <v>256</v>
      </c>
      <c r="N44" s="45">
        <v>0</v>
      </c>
      <c r="O4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4" s="35"/>
      <c r="Q44" s="36" t="str">
        <f t="shared" ca="1" si="3"/>
        <v>Within ETC</v>
      </c>
      <c r="R44" s="37" t="str">
        <f t="shared" si="4"/>
        <v/>
      </c>
    </row>
    <row r="45" spans="1:18" ht="30" x14ac:dyDescent="0.25">
      <c r="A45" s="30">
        <v>43</v>
      </c>
      <c r="B45" s="8" t="s">
        <v>25</v>
      </c>
      <c r="C45" s="15" t="s">
        <v>95</v>
      </c>
      <c r="D45" s="14" t="s">
        <v>209</v>
      </c>
      <c r="E45" s="16" t="s">
        <v>72</v>
      </c>
      <c r="F45" s="28" t="s">
        <v>210</v>
      </c>
      <c r="G45" s="29" t="s">
        <v>211</v>
      </c>
      <c r="H45" s="50"/>
      <c r="I45" s="51"/>
      <c r="K45" s="21" t="s">
        <v>255</v>
      </c>
      <c r="L45" s="21" t="s">
        <v>186</v>
      </c>
      <c r="N45" s="45">
        <v>0</v>
      </c>
      <c r="O4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5" s="35"/>
      <c r="Q45" s="36" t="str">
        <f t="shared" ca="1" si="3"/>
        <v>Within ETC</v>
      </c>
      <c r="R45" s="37" t="str">
        <f t="shared" si="4"/>
        <v/>
      </c>
    </row>
    <row r="46" spans="1:18" ht="30" x14ac:dyDescent="0.25">
      <c r="A46" s="30">
        <v>44</v>
      </c>
      <c r="B46" s="8" t="s">
        <v>25</v>
      </c>
      <c r="C46" s="15" t="s">
        <v>95</v>
      </c>
      <c r="D46" s="14" t="s">
        <v>209</v>
      </c>
      <c r="E46" s="16" t="s">
        <v>192</v>
      </c>
      <c r="F46" s="28" t="s">
        <v>212</v>
      </c>
      <c r="G46" s="29" t="s">
        <v>211</v>
      </c>
      <c r="H46" s="50"/>
      <c r="I46" s="52">
        <v>100</v>
      </c>
      <c r="K46" s="21" t="s">
        <v>260</v>
      </c>
      <c r="L46" s="21" t="s">
        <v>261</v>
      </c>
      <c r="N46" s="45">
        <v>0</v>
      </c>
      <c r="O4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6" s="35"/>
      <c r="Q46" s="36" t="str">
        <f t="shared" ca="1" si="3"/>
        <v>Within ETC</v>
      </c>
      <c r="R46" s="37" t="str">
        <f t="shared" si="4"/>
        <v/>
      </c>
    </row>
    <row r="47" spans="1:18" ht="75" x14ac:dyDescent="0.25">
      <c r="A47" s="30">
        <v>45</v>
      </c>
      <c r="B47" s="8" t="s">
        <v>25</v>
      </c>
      <c r="C47" s="15" t="s">
        <v>95</v>
      </c>
      <c r="D47" s="14" t="s">
        <v>213</v>
      </c>
      <c r="E47" s="16" t="s">
        <v>72</v>
      </c>
      <c r="F47" s="28" t="s">
        <v>214</v>
      </c>
      <c r="G47" s="29" t="s">
        <v>174</v>
      </c>
      <c r="H47" s="50"/>
      <c r="I47" s="51"/>
      <c r="K47" s="25" t="s">
        <v>186</v>
      </c>
      <c r="L47" s="25" t="s">
        <v>187</v>
      </c>
      <c r="N47" s="45">
        <v>0</v>
      </c>
      <c r="O4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7" s="35"/>
      <c r="Q47" s="36" t="str">
        <f t="shared" ca="1" si="3"/>
        <v>Within ETC</v>
      </c>
      <c r="R47" s="37" t="str">
        <f t="shared" si="4"/>
        <v/>
      </c>
    </row>
    <row r="48" spans="1:18" ht="30" x14ac:dyDescent="0.25">
      <c r="A48" s="30">
        <v>46</v>
      </c>
      <c r="B48" s="8" t="s">
        <v>25</v>
      </c>
      <c r="C48" s="15" t="s">
        <v>95</v>
      </c>
      <c r="D48" s="14" t="s">
        <v>213</v>
      </c>
      <c r="E48" s="16" t="s">
        <v>72</v>
      </c>
      <c r="F48" s="28" t="s">
        <v>212</v>
      </c>
      <c r="G48" s="29" t="s">
        <v>174</v>
      </c>
      <c r="H48" s="50"/>
      <c r="I48" s="51"/>
      <c r="K48" s="25" t="s">
        <v>188</v>
      </c>
      <c r="L48" s="25" t="s">
        <v>256</v>
      </c>
      <c r="N48" s="45">
        <v>0</v>
      </c>
      <c r="O4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8" s="35"/>
      <c r="Q48" s="36" t="str">
        <f t="shared" ca="1" si="3"/>
        <v>Within ETC</v>
      </c>
      <c r="R48" s="37" t="str">
        <f t="shared" si="4"/>
        <v/>
      </c>
    </row>
    <row r="49" spans="1:18" ht="30" x14ac:dyDescent="0.25">
      <c r="A49" s="30">
        <v>47</v>
      </c>
      <c r="B49" s="8" t="s">
        <v>25</v>
      </c>
      <c r="C49" s="15" t="s">
        <v>95</v>
      </c>
      <c r="D49" s="14" t="s">
        <v>100</v>
      </c>
      <c r="E49" s="16" t="s">
        <v>72</v>
      </c>
      <c r="F49" s="28" t="s">
        <v>144</v>
      </c>
      <c r="G49" s="29" t="s">
        <v>174</v>
      </c>
      <c r="H49" s="50"/>
      <c r="I49" s="51"/>
      <c r="K49" s="25" t="s">
        <v>184</v>
      </c>
      <c r="L49" s="25" t="s">
        <v>186</v>
      </c>
      <c r="N49" s="45">
        <v>0</v>
      </c>
      <c r="O4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49" s="35"/>
      <c r="Q49" s="36" t="str">
        <f t="shared" ca="1" si="3"/>
        <v>Within ETC</v>
      </c>
      <c r="R49" s="37" t="str">
        <f t="shared" si="4"/>
        <v/>
      </c>
    </row>
    <row r="50" spans="1:18" ht="30" x14ac:dyDescent="0.25">
      <c r="A50" s="30">
        <v>48</v>
      </c>
      <c r="B50" s="8" t="s">
        <v>25</v>
      </c>
      <c r="C50" s="15" t="s">
        <v>95</v>
      </c>
      <c r="D50" s="14" t="s">
        <v>100</v>
      </c>
      <c r="E50" s="16" t="s">
        <v>72</v>
      </c>
      <c r="F50" s="28" t="s">
        <v>215</v>
      </c>
      <c r="G50" s="29" t="s">
        <v>174</v>
      </c>
      <c r="H50" s="50"/>
      <c r="I50" s="51"/>
      <c r="K50" s="25" t="s">
        <v>186</v>
      </c>
      <c r="L50" s="25" t="s">
        <v>189</v>
      </c>
      <c r="N50" s="45">
        <v>0</v>
      </c>
      <c r="O5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0" s="35"/>
      <c r="Q50" s="36" t="str">
        <f t="shared" ca="1" si="3"/>
        <v>Within ETC</v>
      </c>
      <c r="R50" s="37" t="str">
        <f t="shared" si="4"/>
        <v/>
      </c>
    </row>
    <row r="51" spans="1:18" ht="30" x14ac:dyDescent="0.25">
      <c r="A51" s="30">
        <v>49</v>
      </c>
      <c r="B51" s="8" t="s">
        <v>25</v>
      </c>
      <c r="C51" s="15" t="s">
        <v>95</v>
      </c>
      <c r="D51" s="14" t="s">
        <v>100</v>
      </c>
      <c r="E51" s="16" t="s">
        <v>72</v>
      </c>
      <c r="F51" s="28" t="s">
        <v>145</v>
      </c>
      <c r="G51" s="29" t="s">
        <v>174</v>
      </c>
      <c r="H51" s="50"/>
      <c r="I51" s="51"/>
      <c r="K51" s="25" t="s">
        <v>185</v>
      </c>
      <c r="L51" s="25" t="s">
        <v>188</v>
      </c>
      <c r="N51" s="45">
        <v>0</v>
      </c>
      <c r="O5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1" s="35"/>
      <c r="Q51" s="36" t="str">
        <f t="shared" ca="1" si="3"/>
        <v>Within ETC</v>
      </c>
      <c r="R51" s="37" t="str">
        <f t="shared" si="4"/>
        <v/>
      </c>
    </row>
    <row r="52" spans="1:18" ht="30" x14ac:dyDescent="0.25">
      <c r="A52" s="30">
        <v>50</v>
      </c>
      <c r="B52" s="77" t="s">
        <v>25</v>
      </c>
      <c r="C52" s="78" t="s">
        <v>95</v>
      </c>
      <c r="D52" s="14" t="s">
        <v>100</v>
      </c>
      <c r="E52" s="16" t="s">
        <v>192</v>
      </c>
      <c r="F52" s="28" t="s">
        <v>216</v>
      </c>
      <c r="G52" s="29" t="s">
        <v>174</v>
      </c>
      <c r="H52" s="50"/>
      <c r="I52" s="52">
        <v>100</v>
      </c>
      <c r="K52" s="25" t="s">
        <v>186</v>
      </c>
      <c r="L52" s="25" t="s">
        <v>189</v>
      </c>
      <c r="N52" s="45">
        <v>0</v>
      </c>
      <c r="O5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2" s="35"/>
      <c r="Q52" s="36" t="str">
        <f t="shared" ca="1" si="3"/>
        <v>Within ETC</v>
      </c>
      <c r="R52" s="37" t="str">
        <f t="shared" si="4"/>
        <v/>
      </c>
    </row>
    <row r="53" spans="1:18" ht="30" x14ac:dyDescent="0.25">
      <c r="A53" s="30">
        <v>51</v>
      </c>
      <c r="B53" s="77" t="s">
        <v>25</v>
      </c>
      <c r="C53" s="78" t="s">
        <v>95</v>
      </c>
      <c r="D53" s="14" t="s">
        <v>100</v>
      </c>
      <c r="E53" s="16" t="s">
        <v>72</v>
      </c>
      <c r="F53" s="28" t="s">
        <v>217</v>
      </c>
      <c r="G53" s="29" t="s">
        <v>174</v>
      </c>
      <c r="H53" s="50"/>
      <c r="I53" s="51"/>
      <c r="K53" s="25" t="s">
        <v>255</v>
      </c>
      <c r="L53" s="25" t="s">
        <v>186</v>
      </c>
      <c r="N53" s="45">
        <v>0</v>
      </c>
      <c r="O5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3" s="35"/>
      <c r="Q53" s="36" t="str">
        <f t="shared" ca="1" si="3"/>
        <v>Within ETC</v>
      </c>
      <c r="R53" s="37" t="str">
        <f t="shared" si="4"/>
        <v/>
      </c>
    </row>
    <row r="54" spans="1:18" ht="30" x14ac:dyDescent="0.25">
      <c r="A54" s="30">
        <v>52</v>
      </c>
      <c r="B54" s="77" t="s">
        <v>25</v>
      </c>
      <c r="C54" s="78" t="s">
        <v>95</v>
      </c>
      <c r="D54" s="14" t="s">
        <v>100</v>
      </c>
      <c r="E54" s="16" t="s">
        <v>72</v>
      </c>
      <c r="F54" s="28" t="s">
        <v>218</v>
      </c>
      <c r="G54" s="29" t="s">
        <v>174</v>
      </c>
      <c r="H54" s="50"/>
      <c r="I54" s="51"/>
      <c r="K54" s="25" t="s">
        <v>186</v>
      </c>
      <c r="L54" s="25" t="s">
        <v>262</v>
      </c>
      <c r="N54" s="45">
        <v>0</v>
      </c>
      <c r="O5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4" s="35"/>
      <c r="Q54" s="36" t="str">
        <f t="shared" ca="1" si="3"/>
        <v>Within ETC</v>
      </c>
      <c r="R54" s="37" t="str">
        <f t="shared" si="4"/>
        <v/>
      </c>
    </row>
    <row r="55" spans="1:18" ht="30" x14ac:dyDescent="0.25">
      <c r="A55" s="30">
        <v>53</v>
      </c>
      <c r="B55" s="77" t="s">
        <v>25</v>
      </c>
      <c r="C55" s="78" t="s">
        <v>95</v>
      </c>
      <c r="D55" s="14" t="s">
        <v>100</v>
      </c>
      <c r="E55" s="16" t="s">
        <v>72</v>
      </c>
      <c r="F55" s="28" t="s">
        <v>219</v>
      </c>
      <c r="G55" s="29" t="s">
        <v>174</v>
      </c>
      <c r="H55" s="50"/>
      <c r="I55" s="51"/>
      <c r="K55" s="25" t="s">
        <v>189</v>
      </c>
      <c r="L55" s="25" t="s">
        <v>187</v>
      </c>
      <c r="N55" s="45">
        <v>0</v>
      </c>
      <c r="O5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5" s="35"/>
      <c r="Q55" s="36" t="str">
        <f t="shared" ca="1" si="3"/>
        <v>Within ETC</v>
      </c>
      <c r="R55" s="37" t="str">
        <f t="shared" si="4"/>
        <v/>
      </c>
    </row>
    <row r="56" spans="1:18" ht="30" x14ac:dyDescent="0.25">
      <c r="A56" s="30">
        <v>54</v>
      </c>
      <c r="B56" s="8" t="s">
        <v>25</v>
      </c>
      <c r="C56" s="15" t="s">
        <v>95</v>
      </c>
      <c r="D56" s="14" t="s">
        <v>100</v>
      </c>
      <c r="E56" s="16" t="s">
        <v>72</v>
      </c>
      <c r="F56" s="28" t="s">
        <v>148</v>
      </c>
      <c r="G56" s="29" t="s">
        <v>174</v>
      </c>
      <c r="H56" s="50"/>
      <c r="I56" s="51"/>
      <c r="K56" s="25" t="s">
        <v>188</v>
      </c>
      <c r="L56" s="25" t="s">
        <v>259</v>
      </c>
      <c r="N56" s="45">
        <v>0</v>
      </c>
      <c r="O5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6" s="35"/>
      <c r="Q56" s="36" t="str">
        <f t="shared" ca="1" si="3"/>
        <v>Within ETC</v>
      </c>
      <c r="R56" s="37" t="str">
        <f t="shared" si="4"/>
        <v/>
      </c>
    </row>
    <row r="57" spans="1:18" ht="30" x14ac:dyDescent="0.25">
      <c r="A57" s="30">
        <v>55</v>
      </c>
      <c r="B57" s="8" t="s">
        <v>25</v>
      </c>
      <c r="C57" s="15" t="s">
        <v>95</v>
      </c>
      <c r="D57" s="14" t="s">
        <v>101</v>
      </c>
      <c r="E57" s="16" t="s">
        <v>192</v>
      </c>
      <c r="F57" s="28" t="s">
        <v>144</v>
      </c>
      <c r="G57" s="29" t="s">
        <v>175</v>
      </c>
      <c r="H57" s="50"/>
      <c r="I57" s="52">
        <v>100</v>
      </c>
      <c r="K57" s="25" t="s">
        <v>255</v>
      </c>
      <c r="L57" s="25" t="s">
        <v>186</v>
      </c>
      <c r="N57" s="45">
        <v>0</v>
      </c>
      <c r="O5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7" s="35"/>
      <c r="Q57" s="36" t="str">
        <f t="shared" ca="1" si="3"/>
        <v>Within ETC</v>
      </c>
      <c r="R57" s="37" t="str">
        <f t="shared" si="4"/>
        <v/>
      </c>
    </row>
    <row r="58" spans="1:18" ht="45" x14ac:dyDescent="0.25">
      <c r="A58" s="30">
        <v>56</v>
      </c>
      <c r="B58" s="8" t="s">
        <v>25</v>
      </c>
      <c r="C58" s="15" t="s">
        <v>95</v>
      </c>
      <c r="D58" s="14" t="s">
        <v>101</v>
      </c>
      <c r="E58" s="16" t="s">
        <v>72</v>
      </c>
      <c r="F58" s="28" t="s">
        <v>220</v>
      </c>
      <c r="G58" s="29" t="s">
        <v>175</v>
      </c>
      <c r="H58" s="50"/>
      <c r="I58" s="51"/>
      <c r="K58" s="25" t="s">
        <v>255</v>
      </c>
      <c r="L58" s="25" t="s">
        <v>187</v>
      </c>
      <c r="N58" s="45">
        <v>0</v>
      </c>
      <c r="O5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8" s="35"/>
      <c r="Q58" s="36" t="str">
        <f t="shared" ca="1" si="3"/>
        <v>Within ETC</v>
      </c>
      <c r="R58" s="37" t="str">
        <f t="shared" si="4"/>
        <v/>
      </c>
    </row>
    <row r="59" spans="1:18" ht="30" x14ac:dyDescent="0.25">
      <c r="A59" s="30">
        <v>57</v>
      </c>
      <c r="B59" s="8" t="s">
        <v>25</v>
      </c>
      <c r="C59" s="15" t="s">
        <v>95</v>
      </c>
      <c r="D59" s="14" t="s">
        <v>101</v>
      </c>
      <c r="E59" s="16" t="s">
        <v>72</v>
      </c>
      <c r="F59" s="28" t="s">
        <v>145</v>
      </c>
      <c r="G59" s="29" t="s">
        <v>175</v>
      </c>
      <c r="H59" s="50"/>
      <c r="I59" s="51"/>
      <c r="K59" s="25" t="s">
        <v>188</v>
      </c>
      <c r="L59" s="25" t="s">
        <v>257</v>
      </c>
      <c r="N59" s="45">
        <v>0</v>
      </c>
      <c r="O5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59" s="35"/>
      <c r="Q59" s="36" t="str">
        <f t="shared" ca="1" si="3"/>
        <v>Within ETC</v>
      </c>
      <c r="R59" s="37" t="str">
        <f t="shared" si="4"/>
        <v/>
      </c>
    </row>
    <row r="60" spans="1:18" ht="30" x14ac:dyDescent="0.25">
      <c r="A60" s="30">
        <v>58</v>
      </c>
      <c r="B60" s="8" t="s">
        <v>25</v>
      </c>
      <c r="C60" s="15" t="s">
        <v>95</v>
      </c>
      <c r="D60" s="14" t="s">
        <v>101</v>
      </c>
      <c r="E60" s="16" t="s">
        <v>72</v>
      </c>
      <c r="F60" s="28" t="s">
        <v>221</v>
      </c>
      <c r="G60" s="29" t="s">
        <v>175</v>
      </c>
      <c r="H60" s="50"/>
      <c r="I60" s="51"/>
      <c r="K60" s="25" t="s">
        <v>188</v>
      </c>
      <c r="L60" s="25" t="s">
        <v>256</v>
      </c>
      <c r="N60" s="45">
        <v>0</v>
      </c>
      <c r="O6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0" s="35"/>
      <c r="Q60" s="36" t="str">
        <f t="shared" ca="1" si="3"/>
        <v>Within ETC</v>
      </c>
      <c r="R60" s="37" t="str">
        <f t="shared" si="4"/>
        <v/>
      </c>
    </row>
    <row r="61" spans="1:18" ht="30" x14ac:dyDescent="0.25">
      <c r="A61" s="30">
        <v>59</v>
      </c>
      <c r="B61" s="8" t="s">
        <v>25</v>
      </c>
      <c r="C61" s="15" t="s">
        <v>95</v>
      </c>
      <c r="D61" s="14" t="s">
        <v>102</v>
      </c>
      <c r="E61" s="16" t="s">
        <v>72</v>
      </c>
      <c r="F61" s="28" t="s">
        <v>145</v>
      </c>
      <c r="G61" s="29" t="s">
        <v>176</v>
      </c>
      <c r="H61" s="50"/>
      <c r="I61" s="51"/>
      <c r="K61" s="25" t="s">
        <v>184</v>
      </c>
      <c r="L61" s="25" t="s">
        <v>258</v>
      </c>
      <c r="N61" s="45">
        <v>0</v>
      </c>
      <c r="O6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1" s="35"/>
      <c r="Q61" s="36" t="str">
        <f t="shared" ca="1" si="3"/>
        <v>Within ETC</v>
      </c>
      <c r="R61" s="37" t="str">
        <f t="shared" si="4"/>
        <v/>
      </c>
    </row>
    <row r="62" spans="1:18" x14ac:dyDescent="0.25">
      <c r="A62" s="30">
        <v>60</v>
      </c>
      <c r="B62" s="8" t="s">
        <v>25</v>
      </c>
      <c r="C62" s="15" t="s">
        <v>95</v>
      </c>
      <c r="D62" s="14" t="s">
        <v>102</v>
      </c>
      <c r="E62" s="16" t="s">
        <v>192</v>
      </c>
      <c r="F62" s="28" t="s">
        <v>146</v>
      </c>
      <c r="G62" s="29" t="s">
        <v>176</v>
      </c>
      <c r="H62" s="50"/>
      <c r="I62" s="52">
        <v>100</v>
      </c>
      <c r="K62" s="25" t="s">
        <v>185</v>
      </c>
      <c r="L62" s="25" t="s">
        <v>186</v>
      </c>
      <c r="N62" s="45">
        <v>0</v>
      </c>
      <c r="O6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2" s="35"/>
      <c r="Q62" s="36" t="str">
        <f t="shared" ca="1" si="3"/>
        <v>Within ETC</v>
      </c>
      <c r="R62" s="37" t="str">
        <f t="shared" si="4"/>
        <v/>
      </c>
    </row>
    <row r="63" spans="1:18" x14ac:dyDescent="0.25">
      <c r="A63" s="30">
        <v>61</v>
      </c>
      <c r="B63" s="8" t="s">
        <v>25</v>
      </c>
      <c r="C63" s="15" t="s">
        <v>95</v>
      </c>
      <c r="D63" s="14" t="s">
        <v>102</v>
      </c>
      <c r="E63" s="16" t="s">
        <v>72</v>
      </c>
      <c r="F63" s="28" t="s">
        <v>148</v>
      </c>
      <c r="G63" s="29" t="s">
        <v>176</v>
      </c>
      <c r="H63" s="50"/>
      <c r="I63" s="51"/>
      <c r="K63" s="25" t="s">
        <v>188</v>
      </c>
      <c r="L63" s="25" t="s">
        <v>257</v>
      </c>
      <c r="N63" s="45">
        <v>0</v>
      </c>
      <c r="O6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3" s="35"/>
      <c r="Q63" s="36" t="str">
        <f t="shared" ca="1" si="3"/>
        <v>Within ETC</v>
      </c>
      <c r="R63" s="37" t="str">
        <f t="shared" si="4"/>
        <v/>
      </c>
    </row>
    <row r="64" spans="1:18" x14ac:dyDescent="0.25">
      <c r="A64" s="30">
        <v>62</v>
      </c>
      <c r="B64" s="8" t="s">
        <v>25</v>
      </c>
      <c r="C64" s="15" t="s">
        <v>103</v>
      </c>
      <c r="D64" s="14" t="s">
        <v>104</v>
      </c>
      <c r="E64" s="16" t="s">
        <v>72</v>
      </c>
      <c r="F64" s="28" t="s">
        <v>149</v>
      </c>
      <c r="G64" s="29" t="s">
        <v>177</v>
      </c>
      <c r="H64" s="50"/>
      <c r="I64" s="51"/>
      <c r="K64" s="25" t="s">
        <v>184</v>
      </c>
      <c r="L64" s="25" t="s">
        <v>255</v>
      </c>
      <c r="N64" s="45">
        <v>0</v>
      </c>
      <c r="O6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4" s="35"/>
      <c r="Q64" s="36" t="str">
        <f t="shared" ca="1" si="3"/>
        <v>Within ETC</v>
      </c>
      <c r="R64" s="37" t="str">
        <f t="shared" si="4"/>
        <v/>
      </c>
    </row>
    <row r="65" spans="1:18" x14ac:dyDescent="0.25">
      <c r="A65" s="30">
        <v>63</v>
      </c>
      <c r="B65" s="8" t="s">
        <v>25</v>
      </c>
      <c r="C65" s="15" t="s">
        <v>103</v>
      </c>
      <c r="D65" s="14" t="s">
        <v>104</v>
      </c>
      <c r="E65" s="16" t="s">
        <v>72</v>
      </c>
      <c r="F65" s="28" t="s">
        <v>150</v>
      </c>
      <c r="G65" s="29" t="s">
        <v>177</v>
      </c>
      <c r="H65" s="50"/>
      <c r="I65" s="51"/>
      <c r="K65" s="25" t="s">
        <v>185</v>
      </c>
      <c r="L65" s="25" t="s">
        <v>186</v>
      </c>
      <c r="N65" s="45">
        <v>0</v>
      </c>
      <c r="O6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5" s="35"/>
      <c r="Q65" s="36" t="str">
        <f t="shared" ca="1" si="3"/>
        <v>Within ETC</v>
      </c>
      <c r="R65" s="37" t="str">
        <f t="shared" si="4"/>
        <v/>
      </c>
    </row>
    <row r="66" spans="1:18" ht="30" x14ac:dyDescent="0.25">
      <c r="A66" s="30">
        <v>64</v>
      </c>
      <c r="B66" s="8" t="s">
        <v>25</v>
      </c>
      <c r="C66" s="15" t="s">
        <v>103</v>
      </c>
      <c r="D66" s="14" t="s">
        <v>104</v>
      </c>
      <c r="E66" s="16" t="s">
        <v>72</v>
      </c>
      <c r="F66" s="28" t="s">
        <v>222</v>
      </c>
      <c r="G66" s="29" t="s">
        <v>177</v>
      </c>
      <c r="H66" s="50"/>
      <c r="I66" s="51"/>
      <c r="K66" s="25" t="s">
        <v>255</v>
      </c>
      <c r="L66" s="25" t="s">
        <v>186</v>
      </c>
      <c r="N66" s="45">
        <v>0</v>
      </c>
      <c r="O6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6" s="35"/>
      <c r="Q66" s="36" t="str">
        <f t="shared" ca="1" si="3"/>
        <v>Within ETC</v>
      </c>
      <c r="R66" s="37" t="str">
        <f t="shared" si="4"/>
        <v/>
      </c>
    </row>
    <row r="67" spans="1:18" ht="30" x14ac:dyDescent="0.25">
      <c r="A67" s="30">
        <v>65</v>
      </c>
      <c r="B67" s="8" t="s">
        <v>25</v>
      </c>
      <c r="C67" s="15" t="s">
        <v>103</v>
      </c>
      <c r="D67" s="14" t="s">
        <v>104</v>
      </c>
      <c r="E67" s="16" t="s">
        <v>192</v>
      </c>
      <c r="F67" s="28" t="s">
        <v>223</v>
      </c>
      <c r="G67" s="29" t="s">
        <v>224</v>
      </c>
      <c r="H67" s="50"/>
      <c r="I67" s="52">
        <v>100</v>
      </c>
      <c r="K67" s="25" t="s">
        <v>255</v>
      </c>
      <c r="L67" s="25" t="s">
        <v>258</v>
      </c>
      <c r="N67" s="45">
        <v>0</v>
      </c>
      <c r="O6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7" s="35"/>
      <c r="Q67" s="36" t="str">
        <f t="shared" ref="Q67:Q103" ca="1" si="5">IF(L67="NA","Please add ETC",IF(L67&lt;TODAY(),IF(M67="","Beyond ETC",IF(M67&gt;L67,"Beyond ETC",IF(M67&lt;=L67,"Within ETC"))),IF(M67="","Within ETC",IF(M67&lt;=L67,"Within ETC","Fix Actual completion date"))))</f>
        <v>Within ETC</v>
      </c>
      <c r="R67" s="37" t="str">
        <f t="shared" ref="R67:R103" si="6">IFERROR(L67-K67,"")</f>
        <v/>
      </c>
    </row>
    <row r="68" spans="1:18" ht="30" x14ac:dyDescent="0.25">
      <c r="A68" s="30">
        <v>66</v>
      </c>
      <c r="B68" s="8" t="s">
        <v>25</v>
      </c>
      <c r="C68" s="15" t="s">
        <v>103</v>
      </c>
      <c r="D68" s="14" t="s">
        <v>104</v>
      </c>
      <c r="E68" s="16" t="s">
        <v>192</v>
      </c>
      <c r="F68" s="28" t="s">
        <v>225</v>
      </c>
      <c r="G68" s="29" t="s">
        <v>224</v>
      </c>
      <c r="H68" s="50"/>
      <c r="I68" s="52">
        <v>100</v>
      </c>
      <c r="K68" s="25" t="s">
        <v>255</v>
      </c>
      <c r="L68" s="25" t="s">
        <v>258</v>
      </c>
      <c r="N68" s="45">
        <v>0</v>
      </c>
      <c r="O6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8" s="35"/>
      <c r="Q68" s="36" t="str">
        <f t="shared" ca="1" si="5"/>
        <v>Within ETC</v>
      </c>
      <c r="R68" s="37" t="str">
        <f t="shared" si="6"/>
        <v/>
      </c>
    </row>
    <row r="69" spans="1:18" ht="30" x14ac:dyDescent="0.25">
      <c r="A69" s="30">
        <v>67</v>
      </c>
      <c r="B69" s="8" t="s">
        <v>25</v>
      </c>
      <c r="C69" s="15" t="s">
        <v>103</v>
      </c>
      <c r="D69" s="14" t="s">
        <v>104</v>
      </c>
      <c r="E69" s="16" t="s">
        <v>72</v>
      </c>
      <c r="F69" s="28" t="s">
        <v>226</v>
      </c>
      <c r="G69" s="29" t="s">
        <v>224</v>
      </c>
      <c r="H69" s="50"/>
      <c r="I69" s="51"/>
      <c r="K69" s="25" t="s">
        <v>185</v>
      </c>
      <c r="L69" s="25" t="s">
        <v>258</v>
      </c>
      <c r="N69" s="45">
        <v>0</v>
      </c>
      <c r="O6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69" s="35"/>
      <c r="Q69" s="36" t="str">
        <f t="shared" ca="1" si="5"/>
        <v>Within ETC</v>
      </c>
      <c r="R69" s="37" t="str">
        <f t="shared" si="6"/>
        <v/>
      </c>
    </row>
    <row r="70" spans="1:18" ht="30" x14ac:dyDescent="0.25">
      <c r="A70" s="30">
        <v>68</v>
      </c>
      <c r="B70" s="8" t="s">
        <v>25</v>
      </c>
      <c r="C70" s="15" t="s">
        <v>105</v>
      </c>
      <c r="D70" s="14" t="s">
        <v>106</v>
      </c>
      <c r="E70" s="16" t="s">
        <v>72</v>
      </c>
      <c r="F70" s="28" t="s">
        <v>227</v>
      </c>
      <c r="G70" s="29" t="s">
        <v>178</v>
      </c>
      <c r="H70" s="50"/>
      <c r="I70" s="51"/>
      <c r="K70" s="25" t="s">
        <v>255</v>
      </c>
      <c r="L70" s="25" t="s">
        <v>186</v>
      </c>
      <c r="N70" s="45">
        <v>0</v>
      </c>
      <c r="O7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0" s="35"/>
      <c r="Q70" s="36" t="str">
        <f t="shared" ca="1" si="5"/>
        <v>Within ETC</v>
      </c>
      <c r="R70" s="37" t="str">
        <f t="shared" si="6"/>
        <v/>
      </c>
    </row>
    <row r="71" spans="1:18" ht="30" x14ac:dyDescent="0.25">
      <c r="A71" s="30">
        <v>69</v>
      </c>
      <c r="B71" s="8" t="s">
        <v>25</v>
      </c>
      <c r="C71" s="15" t="s">
        <v>105</v>
      </c>
      <c r="D71" s="14" t="s">
        <v>106</v>
      </c>
      <c r="E71" s="16" t="s">
        <v>72</v>
      </c>
      <c r="F71" s="28" t="s">
        <v>228</v>
      </c>
      <c r="G71" s="29" t="s">
        <v>178</v>
      </c>
      <c r="H71" s="50"/>
      <c r="I71" s="51"/>
      <c r="K71" s="25" t="s">
        <v>186</v>
      </c>
      <c r="L71" s="25" t="s">
        <v>187</v>
      </c>
      <c r="N71" s="45">
        <v>0</v>
      </c>
      <c r="O7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1" s="35"/>
      <c r="Q71" s="36" t="str">
        <f t="shared" ca="1" si="5"/>
        <v>Within ETC</v>
      </c>
      <c r="R71" s="37" t="str">
        <f t="shared" si="6"/>
        <v/>
      </c>
    </row>
    <row r="72" spans="1:18" ht="30" x14ac:dyDescent="0.25">
      <c r="A72" s="30">
        <v>70</v>
      </c>
      <c r="B72" s="8" t="s">
        <v>25</v>
      </c>
      <c r="C72" s="15" t="s">
        <v>105</v>
      </c>
      <c r="D72" s="14" t="s">
        <v>106</v>
      </c>
      <c r="E72" s="16" t="s">
        <v>192</v>
      </c>
      <c r="F72" s="28" t="s">
        <v>229</v>
      </c>
      <c r="G72" s="29" t="s">
        <v>178</v>
      </c>
      <c r="H72" s="50"/>
      <c r="I72" s="52">
        <v>100</v>
      </c>
      <c r="K72" s="25" t="s">
        <v>187</v>
      </c>
      <c r="L72" s="25" t="s">
        <v>188</v>
      </c>
      <c r="N72" s="45">
        <v>0</v>
      </c>
      <c r="O7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2" s="35"/>
      <c r="Q72" s="36" t="str">
        <f t="shared" ca="1" si="5"/>
        <v>Within ETC</v>
      </c>
      <c r="R72" s="37" t="str">
        <f t="shared" si="6"/>
        <v/>
      </c>
    </row>
    <row r="73" spans="1:18" x14ac:dyDescent="0.25">
      <c r="A73" s="30">
        <v>71</v>
      </c>
      <c r="B73" s="8" t="s">
        <v>25</v>
      </c>
      <c r="C73" s="15" t="s">
        <v>105</v>
      </c>
      <c r="D73" s="14" t="s">
        <v>107</v>
      </c>
      <c r="E73" s="16" t="s">
        <v>72</v>
      </c>
      <c r="F73" s="28" t="s">
        <v>152</v>
      </c>
      <c r="G73" s="29" t="s">
        <v>178</v>
      </c>
      <c r="H73" s="50"/>
      <c r="I73" s="51"/>
      <c r="K73" s="25" t="s">
        <v>263</v>
      </c>
      <c r="L73" s="25" t="s">
        <v>184</v>
      </c>
      <c r="N73" s="45">
        <v>1</v>
      </c>
      <c r="O7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3" s="35"/>
      <c r="Q73" s="36" t="str">
        <f t="shared" ca="1" si="5"/>
        <v>Within ETC</v>
      </c>
      <c r="R73" s="37" t="str">
        <f t="shared" si="6"/>
        <v/>
      </c>
    </row>
    <row r="74" spans="1:18" x14ac:dyDescent="0.25">
      <c r="A74" s="30">
        <v>72</v>
      </c>
      <c r="B74" s="8" t="s">
        <v>25</v>
      </c>
      <c r="C74" s="15" t="s">
        <v>105</v>
      </c>
      <c r="D74" s="14" t="s">
        <v>107</v>
      </c>
      <c r="E74" s="16" t="s">
        <v>72</v>
      </c>
      <c r="F74" s="28" t="s">
        <v>230</v>
      </c>
      <c r="G74" s="29" t="s">
        <v>178</v>
      </c>
      <c r="H74" s="50"/>
      <c r="I74" s="51"/>
      <c r="K74" s="25" t="s">
        <v>184</v>
      </c>
      <c r="L74" s="25" t="s">
        <v>185</v>
      </c>
      <c r="N74" s="45">
        <v>0</v>
      </c>
      <c r="O7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4" s="35"/>
      <c r="Q74" s="36" t="str">
        <f t="shared" ca="1" si="5"/>
        <v>Within ETC</v>
      </c>
      <c r="R74" s="37" t="str">
        <f t="shared" si="6"/>
        <v/>
      </c>
    </row>
    <row r="75" spans="1:18" x14ac:dyDescent="0.25">
      <c r="A75" s="30">
        <v>73</v>
      </c>
      <c r="B75" s="8" t="s">
        <v>25</v>
      </c>
      <c r="C75" s="15" t="s">
        <v>105</v>
      </c>
      <c r="D75" s="14" t="s">
        <v>107</v>
      </c>
      <c r="E75" s="16" t="s">
        <v>72</v>
      </c>
      <c r="F75" s="28" t="s">
        <v>231</v>
      </c>
      <c r="G75" s="29" t="s">
        <v>178</v>
      </c>
      <c r="H75" s="50"/>
      <c r="I75" s="51"/>
      <c r="K75" s="25" t="s">
        <v>184</v>
      </c>
      <c r="L75" s="25" t="s">
        <v>185</v>
      </c>
      <c r="N75" s="45">
        <v>0</v>
      </c>
      <c r="O7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5" s="35"/>
      <c r="Q75" s="36" t="str">
        <f t="shared" ca="1" si="5"/>
        <v>Within ETC</v>
      </c>
      <c r="R75" s="37" t="str">
        <f t="shared" si="6"/>
        <v/>
      </c>
    </row>
    <row r="76" spans="1:18" ht="60" x14ac:dyDescent="0.25">
      <c r="A76" s="30">
        <v>74</v>
      </c>
      <c r="B76" s="8" t="s">
        <v>25</v>
      </c>
      <c r="C76" s="15" t="s">
        <v>105</v>
      </c>
      <c r="D76" s="14" t="s">
        <v>107</v>
      </c>
      <c r="E76" s="16" t="s">
        <v>192</v>
      </c>
      <c r="F76" s="28" t="s">
        <v>232</v>
      </c>
      <c r="G76" s="29" t="s">
        <v>178</v>
      </c>
      <c r="H76" s="50"/>
      <c r="I76" s="52">
        <v>100</v>
      </c>
      <c r="K76" s="25" t="s">
        <v>185</v>
      </c>
      <c r="L76" s="25" t="s">
        <v>255</v>
      </c>
      <c r="N76" s="45">
        <v>0</v>
      </c>
      <c r="O7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6" s="35"/>
      <c r="Q76" s="36" t="str">
        <f t="shared" ca="1" si="5"/>
        <v>Within ETC</v>
      </c>
      <c r="R76" s="37" t="str">
        <f t="shared" si="6"/>
        <v/>
      </c>
    </row>
    <row r="77" spans="1:18" ht="30" x14ac:dyDescent="0.25">
      <c r="A77" s="30">
        <v>75</v>
      </c>
      <c r="B77" s="8" t="s">
        <v>25</v>
      </c>
      <c r="C77" s="15" t="s">
        <v>105</v>
      </c>
      <c r="D77" s="14" t="s">
        <v>107</v>
      </c>
      <c r="E77" s="16" t="s">
        <v>192</v>
      </c>
      <c r="F77" s="17" t="s">
        <v>233</v>
      </c>
      <c r="G77" s="29" t="s">
        <v>178</v>
      </c>
      <c r="H77" s="50"/>
      <c r="I77" s="52">
        <v>1</v>
      </c>
      <c r="K77" s="25" t="s">
        <v>255</v>
      </c>
      <c r="L77" s="25" t="s">
        <v>258</v>
      </c>
      <c r="N77" s="45">
        <v>0</v>
      </c>
      <c r="O7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7" s="35"/>
      <c r="Q77" s="36" t="str">
        <f t="shared" ca="1" si="5"/>
        <v>Within ETC</v>
      </c>
      <c r="R77" s="37" t="str">
        <f t="shared" si="6"/>
        <v/>
      </c>
    </row>
    <row r="78" spans="1:18" x14ac:dyDescent="0.25">
      <c r="A78" s="30">
        <v>76</v>
      </c>
      <c r="B78" s="8" t="s">
        <v>25</v>
      </c>
      <c r="C78" s="15" t="s">
        <v>105</v>
      </c>
      <c r="D78" s="14" t="s">
        <v>108</v>
      </c>
      <c r="E78" s="16" t="s">
        <v>72</v>
      </c>
      <c r="F78" s="28" t="s">
        <v>234</v>
      </c>
      <c r="G78" s="29" t="s">
        <v>179</v>
      </c>
      <c r="H78" s="50"/>
      <c r="I78" s="51"/>
      <c r="K78" s="25" t="s">
        <v>255</v>
      </c>
      <c r="L78" s="25" t="s">
        <v>258</v>
      </c>
      <c r="N78" s="45">
        <v>0</v>
      </c>
      <c r="O7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8" s="35"/>
      <c r="Q78" s="36" t="str">
        <f t="shared" ca="1" si="5"/>
        <v>Within ETC</v>
      </c>
      <c r="R78" s="37" t="str">
        <f t="shared" si="6"/>
        <v/>
      </c>
    </row>
    <row r="79" spans="1:18" ht="30" x14ac:dyDescent="0.25">
      <c r="A79" s="30">
        <v>77</v>
      </c>
      <c r="B79" s="8" t="s">
        <v>25</v>
      </c>
      <c r="C79" s="15" t="s">
        <v>105</v>
      </c>
      <c r="D79" s="14" t="s">
        <v>108</v>
      </c>
      <c r="E79" s="16" t="s">
        <v>72</v>
      </c>
      <c r="F79" s="28" t="s">
        <v>235</v>
      </c>
      <c r="G79" s="29" t="s">
        <v>179</v>
      </c>
      <c r="H79" s="50"/>
      <c r="I79" s="51"/>
      <c r="K79" s="25" t="s">
        <v>258</v>
      </c>
      <c r="L79" s="25" t="s">
        <v>189</v>
      </c>
      <c r="N79" s="45">
        <v>0</v>
      </c>
      <c r="O7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79" s="35"/>
      <c r="Q79" s="36" t="str">
        <f t="shared" ca="1" si="5"/>
        <v>Within ETC</v>
      </c>
      <c r="R79" s="37" t="str">
        <f t="shared" si="6"/>
        <v/>
      </c>
    </row>
    <row r="80" spans="1:18" ht="30" x14ac:dyDescent="0.25">
      <c r="A80" s="30">
        <v>78</v>
      </c>
      <c r="B80" s="8" t="s">
        <v>25</v>
      </c>
      <c r="C80" s="15" t="s">
        <v>105</v>
      </c>
      <c r="D80" s="14" t="s">
        <v>108</v>
      </c>
      <c r="E80" s="16" t="s">
        <v>72</v>
      </c>
      <c r="F80" s="28" t="s">
        <v>236</v>
      </c>
      <c r="G80" s="29" t="s">
        <v>179</v>
      </c>
      <c r="H80" s="50"/>
      <c r="I80" s="51"/>
      <c r="K80" s="25" t="s">
        <v>189</v>
      </c>
      <c r="L80" s="25" t="s">
        <v>259</v>
      </c>
      <c r="N80" s="45">
        <v>0</v>
      </c>
      <c r="O8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0" s="35"/>
      <c r="Q80" s="36" t="str">
        <f t="shared" ca="1" si="5"/>
        <v>Within ETC</v>
      </c>
      <c r="R80" s="37" t="str">
        <f t="shared" si="6"/>
        <v/>
      </c>
    </row>
    <row r="81" spans="1:18" x14ac:dyDescent="0.25">
      <c r="A81" s="30">
        <v>79</v>
      </c>
      <c r="B81" s="8" t="s">
        <v>25</v>
      </c>
      <c r="C81" s="15" t="s">
        <v>105</v>
      </c>
      <c r="D81" s="14" t="s">
        <v>108</v>
      </c>
      <c r="E81" s="16" t="s">
        <v>72</v>
      </c>
      <c r="F81" s="28" t="s">
        <v>151</v>
      </c>
      <c r="G81" s="29" t="s">
        <v>179</v>
      </c>
      <c r="H81" s="50"/>
      <c r="I81" s="51"/>
      <c r="K81" s="25" t="s">
        <v>259</v>
      </c>
      <c r="L81" s="25" t="s">
        <v>256</v>
      </c>
      <c r="N81" s="45">
        <v>0</v>
      </c>
      <c r="O8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1" s="35"/>
      <c r="Q81" s="36" t="str">
        <f t="shared" ca="1" si="5"/>
        <v>Within ETC</v>
      </c>
      <c r="R81" s="37" t="str">
        <f t="shared" si="6"/>
        <v/>
      </c>
    </row>
    <row r="82" spans="1:18" ht="30" x14ac:dyDescent="0.25">
      <c r="A82" s="30">
        <v>80</v>
      </c>
      <c r="B82" s="8" t="s">
        <v>25</v>
      </c>
      <c r="C82" s="15" t="s">
        <v>105</v>
      </c>
      <c r="D82" s="14" t="s">
        <v>109</v>
      </c>
      <c r="E82" s="16" t="s">
        <v>192</v>
      </c>
      <c r="F82" s="28" t="s">
        <v>234</v>
      </c>
      <c r="G82" s="29" t="s">
        <v>180</v>
      </c>
      <c r="H82" s="50"/>
      <c r="I82" s="52">
        <v>100</v>
      </c>
      <c r="K82" s="25" t="s">
        <v>255</v>
      </c>
      <c r="L82" s="25" t="s">
        <v>186</v>
      </c>
      <c r="N82" s="45">
        <v>0</v>
      </c>
      <c r="O8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2" s="35"/>
      <c r="Q82" s="36" t="str">
        <f t="shared" ca="1" si="5"/>
        <v>Within ETC</v>
      </c>
      <c r="R82" s="37" t="str">
        <f t="shared" si="6"/>
        <v/>
      </c>
    </row>
    <row r="83" spans="1:18" ht="30" x14ac:dyDescent="0.25">
      <c r="A83" s="30">
        <v>81</v>
      </c>
      <c r="B83" s="8" t="s">
        <v>25</v>
      </c>
      <c r="C83" s="15" t="s">
        <v>105</v>
      </c>
      <c r="D83" s="14" t="s">
        <v>109</v>
      </c>
      <c r="E83" s="16" t="s">
        <v>72</v>
      </c>
      <c r="F83" s="28" t="s">
        <v>237</v>
      </c>
      <c r="G83" s="29" t="s">
        <v>180</v>
      </c>
      <c r="H83" s="50"/>
      <c r="I83" s="51"/>
      <c r="K83" s="25" t="s">
        <v>186</v>
      </c>
      <c r="L83" s="25" t="s">
        <v>187</v>
      </c>
      <c r="N83" s="45">
        <v>0</v>
      </c>
      <c r="O8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3" s="35"/>
      <c r="Q83" s="36" t="str">
        <f t="shared" ca="1" si="5"/>
        <v>Within ETC</v>
      </c>
      <c r="R83" s="37" t="str">
        <f t="shared" si="6"/>
        <v/>
      </c>
    </row>
    <row r="84" spans="1:18" ht="60" x14ac:dyDescent="0.25">
      <c r="A84" s="30">
        <v>82</v>
      </c>
      <c r="B84" s="8" t="s">
        <v>25</v>
      </c>
      <c r="C84" s="15" t="s">
        <v>105</v>
      </c>
      <c r="D84" s="14" t="s">
        <v>109</v>
      </c>
      <c r="E84" s="16" t="s">
        <v>72</v>
      </c>
      <c r="F84" s="28" t="s">
        <v>238</v>
      </c>
      <c r="G84" s="29" t="s">
        <v>180</v>
      </c>
      <c r="H84" s="50"/>
      <c r="I84" s="51"/>
      <c r="K84" s="25" t="s">
        <v>187</v>
      </c>
      <c r="L84" s="25" t="s">
        <v>259</v>
      </c>
      <c r="N84" s="45">
        <v>0</v>
      </c>
      <c r="O8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4" s="35"/>
      <c r="Q84" s="36" t="str">
        <f t="shared" ca="1" si="5"/>
        <v>Within ETC</v>
      </c>
      <c r="R84" s="37" t="str">
        <f t="shared" si="6"/>
        <v/>
      </c>
    </row>
    <row r="85" spans="1:18" ht="30" x14ac:dyDescent="0.25">
      <c r="A85" s="30">
        <v>83</v>
      </c>
      <c r="B85" s="8" t="s">
        <v>25</v>
      </c>
      <c r="C85" s="15" t="s">
        <v>110</v>
      </c>
      <c r="D85" s="14" t="s">
        <v>111</v>
      </c>
      <c r="E85" s="16" t="s">
        <v>72</v>
      </c>
      <c r="F85" s="28" t="s">
        <v>239</v>
      </c>
      <c r="G85" s="29" t="s">
        <v>178</v>
      </c>
      <c r="H85" s="50"/>
      <c r="I85" s="51"/>
      <c r="K85" s="25" t="s">
        <v>255</v>
      </c>
      <c r="L85" s="25" t="s">
        <v>186</v>
      </c>
      <c r="N85" s="45">
        <v>0</v>
      </c>
      <c r="O8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5" s="35"/>
      <c r="Q85" s="36" t="str">
        <f t="shared" ca="1" si="5"/>
        <v>Within ETC</v>
      </c>
      <c r="R85" s="37" t="str">
        <f t="shared" si="6"/>
        <v/>
      </c>
    </row>
    <row r="86" spans="1:18" ht="30" x14ac:dyDescent="0.25">
      <c r="A86" s="30">
        <v>84</v>
      </c>
      <c r="B86" s="8" t="s">
        <v>25</v>
      </c>
      <c r="C86" s="15" t="s">
        <v>110</v>
      </c>
      <c r="D86" s="14" t="s">
        <v>111</v>
      </c>
      <c r="E86" s="16" t="s">
        <v>192</v>
      </c>
      <c r="F86" s="28" t="s">
        <v>240</v>
      </c>
      <c r="G86" s="29" t="s">
        <v>178</v>
      </c>
      <c r="H86" s="50"/>
      <c r="I86" s="52">
        <v>100</v>
      </c>
      <c r="K86" s="25" t="s">
        <v>186</v>
      </c>
      <c r="L86" s="25" t="s">
        <v>189</v>
      </c>
      <c r="N86" s="45">
        <v>0</v>
      </c>
      <c r="O8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6" s="35"/>
      <c r="Q86" s="36" t="str">
        <f t="shared" ca="1" si="5"/>
        <v>Within ETC</v>
      </c>
      <c r="R86" s="37" t="str">
        <f t="shared" si="6"/>
        <v/>
      </c>
    </row>
    <row r="87" spans="1:18" ht="30" x14ac:dyDescent="0.25">
      <c r="A87" s="30">
        <v>85</v>
      </c>
      <c r="B87" s="8" t="s">
        <v>25</v>
      </c>
      <c r="C87" s="15" t="s">
        <v>110</v>
      </c>
      <c r="D87" s="14" t="s">
        <v>111</v>
      </c>
      <c r="E87" s="16" t="s">
        <v>72</v>
      </c>
      <c r="F87" s="28" t="s">
        <v>241</v>
      </c>
      <c r="G87" s="29" t="s">
        <v>178</v>
      </c>
      <c r="H87" s="50"/>
      <c r="I87" s="51"/>
      <c r="K87" s="25" t="s">
        <v>189</v>
      </c>
      <c r="L87" s="25" t="s">
        <v>187</v>
      </c>
      <c r="N87" s="45">
        <v>0</v>
      </c>
      <c r="O8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7" s="35"/>
      <c r="Q87" s="36" t="str">
        <f t="shared" ca="1" si="5"/>
        <v>Within ETC</v>
      </c>
      <c r="R87" s="37" t="str">
        <f t="shared" si="6"/>
        <v/>
      </c>
    </row>
    <row r="88" spans="1:18" ht="45" x14ac:dyDescent="0.25">
      <c r="A88" s="30">
        <v>86</v>
      </c>
      <c r="B88" s="8" t="s">
        <v>25</v>
      </c>
      <c r="C88" s="15" t="s">
        <v>110</v>
      </c>
      <c r="D88" s="14" t="s">
        <v>111</v>
      </c>
      <c r="E88" s="16" t="s">
        <v>72</v>
      </c>
      <c r="F88" s="28" t="s">
        <v>242</v>
      </c>
      <c r="G88" s="29" t="s">
        <v>178</v>
      </c>
      <c r="H88" s="50"/>
      <c r="I88" s="51"/>
      <c r="K88" s="25" t="s">
        <v>187</v>
      </c>
      <c r="L88" s="25" t="s">
        <v>259</v>
      </c>
      <c r="N88" s="45">
        <v>0</v>
      </c>
      <c r="O8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8" s="35"/>
      <c r="Q88" s="36" t="str">
        <f t="shared" ca="1" si="5"/>
        <v>Within ETC</v>
      </c>
      <c r="R88" s="37" t="str">
        <f t="shared" si="6"/>
        <v/>
      </c>
    </row>
    <row r="89" spans="1:18" ht="30" x14ac:dyDescent="0.25">
      <c r="A89" s="30">
        <v>87</v>
      </c>
      <c r="B89" s="8" t="s">
        <v>25</v>
      </c>
      <c r="C89" s="15" t="s">
        <v>110</v>
      </c>
      <c r="D89" s="14" t="s">
        <v>111</v>
      </c>
      <c r="E89" s="16" t="s">
        <v>72</v>
      </c>
      <c r="F89" s="28" t="s">
        <v>243</v>
      </c>
      <c r="G89" s="29" t="s">
        <v>178</v>
      </c>
      <c r="H89" s="50"/>
      <c r="I89" s="51"/>
      <c r="K89" s="25" t="s">
        <v>259</v>
      </c>
      <c r="L89" s="25" t="s">
        <v>257</v>
      </c>
      <c r="N89" s="45">
        <v>0</v>
      </c>
      <c r="O8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89" s="35"/>
      <c r="Q89" s="36" t="str">
        <f t="shared" ca="1" si="5"/>
        <v>Within ETC</v>
      </c>
      <c r="R89" s="37" t="str">
        <f t="shared" si="6"/>
        <v/>
      </c>
    </row>
    <row r="90" spans="1:18" ht="30" x14ac:dyDescent="0.25">
      <c r="A90" s="30">
        <v>88</v>
      </c>
      <c r="B90" s="8" t="s">
        <v>25</v>
      </c>
      <c r="C90" s="15" t="s">
        <v>110</v>
      </c>
      <c r="D90" s="14" t="s">
        <v>111</v>
      </c>
      <c r="E90" s="16" t="s">
        <v>192</v>
      </c>
      <c r="F90" s="28" t="s">
        <v>244</v>
      </c>
      <c r="G90" s="29" t="s">
        <v>178</v>
      </c>
      <c r="H90" s="50"/>
      <c r="I90" s="52">
        <v>100</v>
      </c>
      <c r="K90" s="25" t="s">
        <v>257</v>
      </c>
      <c r="L90" s="25" t="s">
        <v>256</v>
      </c>
      <c r="N90" s="45">
        <v>0</v>
      </c>
      <c r="O9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0" s="35"/>
      <c r="Q90" s="36" t="str">
        <f t="shared" ca="1" si="5"/>
        <v>Within ETC</v>
      </c>
      <c r="R90" s="37" t="str">
        <f t="shared" si="6"/>
        <v/>
      </c>
    </row>
    <row r="91" spans="1:18" x14ac:dyDescent="0.25">
      <c r="A91" s="30">
        <v>89</v>
      </c>
      <c r="B91" s="8" t="s">
        <v>25</v>
      </c>
      <c r="C91" s="15" t="s">
        <v>110</v>
      </c>
      <c r="D91" s="14" t="s">
        <v>112</v>
      </c>
      <c r="E91" s="16" t="s">
        <v>72</v>
      </c>
      <c r="F91" s="28" t="s">
        <v>245</v>
      </c>
      <c r="G91" s="29" t="s">
        <v>181</v>
      </c>
      <c r="H91" s="50"/>
      <c r="I91" s="51"/>
      <c r="K91" s="25" t="s">
        <v>255</v>
      </c>
      <c r="L91" s="25" t="s">
        <v>258</v>
      </c>
      <c r="N91" s="45">
        <v>0</v>
      </c>
      <c r="O9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1" s="35"/>
      <c r="Q91" s="36" t="str">
        <f t="shared" ca="1" si="5"/>
        <v>Within ETC</v>
      </c>
      <c r="R91" s="37" t="str">
        <f t="shared" si="6"/>
        <v/>
      </c>
    </row>
    <row r="92" spans="1:18" ht="45" x14ac:dyDescent="0.25">
      <c r="A92" s="30">
        <v>90</v>
      </c>
      <c r="B92" s="8" t="s">
        <v>25</v>
      </c>
      <c r="C92" s="15" t="s">
        <v>110</v>
      </c>
      <c r="D92" s="14" t="s">
        <v>112</v>
      </c>
      <c r="E92" s="16" t="s">
        <v>72</v>
      </c>
      <c r="F92" s="18" t="s">
        <v>246</v>
      </c>
      <c r="G92" s="29" t="s">
        <v>181</v>
      </c>
      <c r="H92" s="50"/>
      <c r="I92" s="51"/>
      <c r="K92" s="25" t="s">
        <v>258</v>
      </c>
      <c r="L92" s="25" t="s">
        <v>186</v>
      </c>
      <c r="N92" s="45">
        <v>0</v>
      </c>
      <c r="O92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2" s="35"/>
      <c r="Q92" s="36" t="str">
        <f t="shared" ca="1" si="5"/>
        <v>Within ETC</v>
      </c>
      <c r="R92" s="37" t="str">
        <f t="shared" si="6"/>
        <v/>
      </c>
    </row>
    <row r="93" spans="1:18" ht="75" x14ac:dyDescent="0.25">
      <c r="A93" s="30">
        <v>91</v>
      </c>
      <c r="B93" s="8" t="s">
        <v>25</v>
      </c>
      <c r="C93" s="15" t="s">
        <v>110</v>
      </c>
      <c r="D93" s="14" t="s">
        <v>112</v>
      </c>
      <c r="E93" s="16" t="s">
        <v>72</v>
      </c>
      <c r="F93" s="18" t="s">
        <v>247</v>
      </c>
      <c r="G93" s="29" t="s">
        <v>181</v>
      </c>
      <c r="H93" s="48"/>
      <c r="I93" s="49"/>
      <c r="K93" s="25" t="s">
        <v>186</v>
      </c>
      <c r="L93" s="25" t="s">
        <v>188</v>
      </c>
      <c r="N93" s="45">
        <v>0</v>
      </c>
      <c r="O9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3" s="35"/>
      <c r="Q93" s="36" t="str">
        <f t="shared" ca="1" si="5"/>
        <v>Within ETC</v>
      </c>
      <c r="R93" s="37" t="str">
        <f t="shared" si="6"/>
        <v/>
      </c>
    </row>
    <row r="94" spans="1:18" ht="30" x14ac:dyDescent="0.25">
      <c r="A94" s="30">
        <v>92</v>
      </c>
      <c r="B94" s="8" t="s">
        <v>25</v>
      </c>
      <c r="C94" s="15" t="s">
        <v>110</v>
      </c>
      <c r="D94" s="14" t="s">
        <v>112</v>
      </c>
      <c r="E94" s="16" t="s">
        <v>72</v>
      </c>
      <c r="F94" s="17" t="s">
        <v>153</v>
      </c>
      <c r="G94" s="29" t="s">
        <v>181</v>
      </c>
      <c r="H94" s="48"/>
      <c r="I94" s="49"/>
      <c r="K94" s="25" t="s">
        <v>188</v>
      </c>
      <c r="L94" s="25" t="s">
        <v>259</v>
      </c>
      <c r="N94" s="45">
        <v>0</v>
      </c>
      <c r="O94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4" s="35"/>
      <c r="Q94" s="36" t="str">
        <f t="shared" ca="1" si="5"/>
        <v>Within ETC</v>
      </c>
      <c r="R94" s="37" t="str">
        <f t="shared" si="6"/>
        <v/>
      </c>
    </row>
    <row r="95" spans="1:18" ht="30" x14ac:dyDescent="0.25">
      <c r="A95" s="30">
        <v>93</v>
      </c>
      <c r="B95" s="8" t="s">
        <v>25</v>
      </c>
      <c r="C95" s="15" t="s">
        <v>110</v>
      </c>
      <c r="D95" s="14" t="s">
        <v>112</v>
      </c>
      <c r="E95" s="16" t="s">
        <v>192</v>
      </c>
      <c r="F95" s="17" t="s">
        <v>248</v>
      </c>
      <c r="G95" s="29" t="s">
        <v>181</v>
      </c>
      <c r="H95" s="48"/>
      <c r="I95" s="52">
        <v>100</v>
      </c>
      <c r="K95" s="25" t="s">
        <v>259</v>
      </c>
      <c r="L95" s="25" t="s">
        <v>257</v>
      </c>
      <c r="N95" s="45">
        <v>0</v>
      </c>
      <c r="O95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5" s="35"/>
      <c r="Q95" s="36" t="str">
        <f t="shared" ca="1" si="5"/>
        <v>Within ETC</v>
      </c>
      <c r="R95" s="37" t="str">
        <f t="shared" si="6"/>
        <v/>
      </c>
    </row>
    <row r="96" spans="1:18" ht="30" x14ac:dyDescent="0.25">
      <c r="A96" s="30">
        <v>94</v>
      </c>
      <c r="B96" s="8" t="s">
        <v>25</v>
      </c>
      <c r="C96" s="15" t="s">
        <v>110</v>
      </c>
      <c r="D96" s="14" t="s">
        <v>112</v>
      </c>
      <c r="E96" s="16" t="s">
        <v>72</v>
      </c>
      <c r="F96" s="28" t="s">
        <v>249</v>
      </c>
      <c r="G96" s="29" t="s">
        <v>181</v>
      </c>
      <c r="H96" s="48"/>
      <c r="I96" s="49"/>
      <c r="K96" s="25" t="s">
        <v>257</v>
      </c>
      <c r="L96" s="25" t="s">
        <v>256</v>
      </c>
      <c r="N96" s="45">
        <v>0</v>
      </c>
      <c r="O96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6" s="35"/>
      <c r="Q96" s="36" t="str">
        <f t="shared" ca="1" si="5"/>
        <v>Within ETC</v>
      </c>
      <c r="R96" s="37" t="str">
        <f t="shared" si="6"/>
        <v/>
      </c>
    </row>
    <row r="97" spans="1:18" ht="30" x14ac:dyDescent="0.25">
      <c r="A97" s="30">
        <v>95</v>
      </c>
      <c r="B97" s="8" t="s">
        <v>25</v>
      </c>
      <c r="C97" s="15" t="s">
        <v>110</v>
      </c>
      <c r="D97" s="13" t="s">
        <v>113</v>
      </c>
      <c r="E97" s="16" t="s">
        <v>72</v>
      </c>
      <c r="F97" s="17" t="s">
        <v>250</v>
      </c>
      <c r="G97" s="18" t="s">
        <v>182</v>
      </c>
      <c r="H97" s="48"/>
      <c r="I97" s="49"/>
      <c r="K97" s="25" t="s">
        <v>255</v>
      </c>
      <c r="L97" s="25" t="s">
        <v>258</v>
      </c>
      <c r="N97" s="45">
        <v>0</v>
      </c>
      <c r="O97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7" s="35"/>
      <c r="Q97" s="36" t="str">
        <f t="shared" ca="1" si="5"/>
        <v>Within ETC</v>
      </c>
      <c r="R97" s="37" t="str">
        <f t="shared" si="6"/>
        <v/>
      </c>
    </row>
    <row r="98" spans="1:18" ht="60" x14ac:dyDescent="0.25">
      <c r="A98" s="30">
        <v>96</v>
      </c>
      <c r="B98" s="8" t="s">
        <v>25</v>
      </c>
      <c r="C98" s="15" t="s">
        <v>110</v>
      </c>
      <c r="D98" s="13" t="s">
        <v>113</v>
      </c>
      <c r="E98" s="16" t="s">
        <v>72</v>
      </c>
      <c r="F98" s="28" t="s">
        <v>251</v>
      </c>
      <c r="G98" s="18" t="s">
        <v>182</v>
      </c>
      <c r="H98" s="48"/>
      <c r="I98" s="49"/>
      <c r="K98" s="25" t="s">
        <v>258</v>
      </c>
      <c r="L98" s="25" t="s">
        <v>189</v>
      </c>
      <c r="N98" s="45">
        <v>0</v>
      </c>
      <c r="O98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8" s="35"/>
      <c r="Q98" s="36" t="str">
        <f t="shared" ca="1" si="5"/>
        <v>Within ETC</v>
      </c>
      <c r="R98" s="37" t="str">
        <f t="shared" si="6"/>
        <v/>
      </c>
    </row>
    <row r="99" spans="1:18" ht="30" x14ac:dyDescent="0.25">
      <c r="A99" s="30">
        <v>97</v>
      </c>
      <c r="B99" s="8" t="s">
        <v>25</v>
      </c>
      <c r="C99" s="15" t="s">
        <v>110</v>
      </c>
      <c r="D99" s="13" t="s">
        <v>113</v>
      </c>
      <c r="E99" s="16" t="s">
        <v>72</v>
      </c>
      <c r="F99" s="79" t="s">
        <v>252</v>
      </c>
      <c r="G99" s="18" t="s">
        <v>182</v>
      </c>
      <c r="H99" s="48"/>
      <c r="I99" s="49"/>
      <c r="K99" s="25" t="s">
        <v>189</v>
      </c>
      <c r="L99" s="25" t="s">
        <v>187</v>
      </c>
      <c r="N99" s="45">
        <v>0</v>
      </c>
      <c r="O99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99" s="35"/>
      <c r="Q99" s="36" t="str">
        <f t="shared" ca="1" si="5"/>
        <v>Within ETC</v>
      </c>
      <c r="R99" s="37" t="str">
        <f t="shared" si="6"/>
        <v/>
      </c>
    </row>
    <row r="100" spans="1:18" ht="30" x14ac:dyDescent="0.25">
      <c r="A100" s="30">
        <v>98</v>
      </c>
      <c r="B100" s="8" t="s">
        <v>25</v>
      </c>
      <c r="C100" s="15" t="s">
        <v>110</v>
      </c>
      <c r="D100" s="13" t="s">
        <v>113</v>
      </c>
      <c r="E100" s="16" t="s">
        <v>72</v>
      </c>
      <c r="F100" s="80" t="s">
        <v>253</v>
      </c>
      <c r="G100" s="18" t="s">
        <v>182</v>
      </c>
      <c r="H100" s="48"/>
      <c r="I100" s="49"/>
      <c r="K100" s="25" t="s">
        <v>189</v>
      </c>
      <c r="L100" s="25" t="s">
        <v>187</v>
      </c>
      <c r="N100" s="45">
        <v>0</v>
      </c>
      <c r="O100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0" s="35"/>
      <c r="Q100" s="36" t="str">
        <f t="shared" ca="1" si="5"/>
        <v>Within ETC</v>
      </c>
      <c r="R100" s="37" t="str">
        <f t="shared" si="6"/>
        <v/>
      </c>
    </row>
    <row r="101" spans="1:18" ht="30" x14ac:dyDescent="0.25">
      <c r="A101" s="30">
        <v>99</v>
      </c>
      <c r="B101" s="81" t="s">
        <v>25</v>
      </c>
      <c r="C101" s="82" t="s">
        <v>110</v>
      </c>
      <c r="D101" s="56" t="s">
        <v>113</v>
      </c>
      <c r="E101" s="16" t="s">
        <v>192</v>
      </c>
      <c r="F101" s="83" t="s">
        <v>254</v>
      </c>
      <c r="G101" s="59" t="s">
        <v>182</v>
      </c>
      <c r="H101" s="48"/>
      <c r="I101" s="52">
        <v>100</v>
      </c>
      <c r="K101" s="60" t="s">
        <v>187</v>
      </c>
      <c r="L101" s="60" t="s">
        <v>188</v>
      </c>
      <c r="N101" s="45">
        <v>0</v>
      </c>
      <c r="O101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1" s="35"/>
      <c r="Q101" s="36" t="str">
        <f t="shared" ca="1" si="5"/>
        <v>Within ETC</v>
      </c>
      <c r="R101" s="37" t="str">
        <f t="shared" si="6"/>
        <v/>
      </c>
    </row>
    <row r="102" spans="1:18" s="91" customFormat="1" x14ac:dyDescent="0.25">
      <c r="A102" s="84">
        <v>100</v>
      </c>
      <c r="B102" s="85" t="s">
        <v>114</v>
      </c>
      <c r="C102" s="86" t="s">
        <v>115</v>
      </c>
      <c r="D102" s="87" t="s">
        <v>115</v>
      </c>
      <c r="E102" s="88" t="s">
        <v>72</v>
      </c>
      <c r="F102" s="89" t="s">
        <v>115</v>
      </c>
      <c r="G102" s="90" t="s">
        <v>115</v>
      </c>
      <c r="H102" s="88"/>
      <c r="I102" s="88"/>
      <c r="K102" s="92"/>
      <c r="L102" s="92"/>
      <c r="M102" s="92"/>
      <c r="N102" s="93">
        <v>0</v>
      </c>
      <c r="O102" s="94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2" s="95"/>
      <c r="Q102" s="96" t="str">
        <f t="shared" ca="1" si="5"/>
        <v>Beyond ETC</v>
      </c>
      <c r="R102" s="97">
        <f t="shared" si="6"/>
        <v>0</v>
      </c>
    </row>
    <row r="103" spans="1:18" ht="30" x14ac:dyDescent="0.25">
      <c r="A103" s="30">
        <v>101</v>
      </c>
      <c r="B103" s="8" t="s">
        <v>116</v>
      </c>
      <c r="C103" s="15" t="s">
        <v>266</v>
      </c>
      <c r="D103" s="56" t="s">
        <v>267</v>
      </c>
      <c r="E103" s="57" t="s">
        <v>72</v>
      </c>
      <c r="F103" s="58" t="s">
        <v>268</v>
      </c>
      <c r="G103" s="56" t="s">
        <v>269</v>
      </c>
      <c r="K103" s="58" t="s">
        <v>255</v>
      </c>
      <c r="L103" s="56" t="s">
        <v>255</v>
      </c>
      <c r="M103" s="57"/>
      <c r="N103" s="45">
        <v>0</v>
      </c>
      <c r="O103" s="3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3" s="35"/>
      <c r="Q103" s="36" t="str">
        <f t="shared" ca="1" si="5"/>
        <v>Within ETC</v>
      </c>
      <c r="R103" s="37" t="str">
        <f t="shared" si="6"/>
        <v/>
      </c>
    </row>
    <row r="104" spans="1:18" ht="30" x14ac:dyDescent="0.25">
      <c r="A104" s="30">
        <v>102</v>
      </c>
      <c r="B104" s="8" t="s">
        <v>116</v>
      </c>
      <c r="C104" s="15" t="s">
        <v>266</v>
      </c>
      <c r="D104" s="53" t="s">
        <v>267</v>
      </c>
      <c r="E104" s="54" t="s">
        <v>72</v>
      </c>
      <c r="F104" s="55" t="s">
        <v>270</v>
      </c>
      <c r="G104" s="53" t="s">
        <v>269</v>
      </c>
      <c r="J104" s="98"/>
      <c r="K104" s="55"/>
      <c r="L104" s="53" t="s">
        <v>255</v>
      </c>
      <c r="M104" s="54"/>
      <c r="N104" s="45"/>
      <c r="O104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4" s="35"/>
      <c r="Q104" s="36" t="str">
        <f t="shared" ref="Q104:Q122" ca="1" si="7">IF(L104="NA","Please add ETC",IF(L104&lt;TODAY(),IF(M104="","Beyond ETC",IF(M104&gt;L104,"Beyond ETC",IF(M104&lt;=L104,"Within ETC"))),IF(M104="","Within ETC",IF(M104&lt;=L104,"Within ETC","Fix Actual completion date"))))</f>
        <v>Within ETC</v>
      </c>
      <c r="R104" s="37" t="str">
        <f t="shared" ref="R104:R122" si="8">IFERROR(L104-K104,"")</f>
        <v/>
      </c>
    </row>
    <row r="105" spans="1:18" ht="30" x14ac:dyDescent="0.25">
      <c r="A105" s="30">
        <v>103</v>
      </c>
      <c r="B105" s="8" t="s">
        <v>116</v>
      </c>
      <c r="C105" s="15" t="s">
        <v>266</v>
      </c>
      <c r="D105" s="56" t="s">
        <v>271</v>
      </c>
      <c r="E105" s="57" t="s">
        <v>72</v>
      </c>
      <c r="F105" s="58" t="s">
        <v>272</v>
      </c>
      <c r="G105" s="56" t="s">
        <v>273</v>
      </c>
      <c r="J105" s="98"/>
      <c r="K105" s="58"/>
      <c r="L105" s="56" t="s">
        <v>187</v>
      </c>
      <c r="M105" s="57"/>
      <c r="N105" s="45"/>
      <c r="O105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5" s="35"/>
      <c r="Q105" s="36" t="str">
        <f t="shared" ca="1" si="7"/>
        <v>Within ETC</v>
      </c>
      <c r="R105" s="37" t="str">
        <f t="shared" si="8"/>
        <v/>
      </c>
    </row>
    <row r="106" spans="1:18" ht="30" x14ac:dyDescent="0.25">
      <c r="A106" s="30">
        <v>104</v>
      </c>
      <c r="B106" s="8" t="s">
        <v>116</v>
      </c>
      <c r="C106" s="15" t="s">
        <v>274</v>
      </c>
      <c r="D106" s="56" t="s">
        <v>275</v>
      </c>
      <c r="E106" s="57" t="s">
        <v>72</v>
      </c>
      <c r="F106" s="58" t="s">
        <v>276</v>
      </c>
      <c r="G106" s="56" t="s">
        <v>277</v>
      </c>
      <c r="J106" s="98"/>
      <c r="K106" s="58" t="s">
        <v>185</v>
      </c>
      <c r="L106" s="56" t="s">
        <v>187</v>
      </c>
      <c r="M106" s="57"/>
      <c r="N106" s="45"/>
      <c r="O106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6" s="35"/>
      <c r="Q106" s="36" t="str">
        <f t="shared" ca="1" si="7"/>
        <v>Within ETC</v>
      </c>
      <c r="R106" s="37" t="str">
        <f t="shared" si="8"/>
        <v/>
      </c>
    </row>
    <row r="107" spans="1:18" ht="30" x14ac:dyDescent="0.25">
      <c r="A107" s="30">
        <v>105</v>
      </c>
      <c r="B107" s="8" t="s">
        <v>116</v>
      </c>
      <c r="C107" s="15" t="s">
        <v>274</v>
      </c>
      <c r="D107" s="53" t="s">
        <v>275</v>
      </c>
      <c r="E107" s="54" t="s">
        <v>72</v>
      </c>
      <c r="F107" s="55" t="s">
        <v>278</v>
      </c>
      <c r="G107" s="53" t="s">
        <v>277</v>
      </c>
      <c r="J107" s="98"/>
      <c r="K107" s="55" t="s">
        <v>185</v>
      </c>
      <c r="L107" s="53" t="s">
        <v>187</v>
      </c>
      <c r="M107" s="54"/>
      <c r="N107" s="45"/>
      <c r="O107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7" s="35"/>
      <c r="Q107" s="36" t="str">
        <f t="shared" ca="1" si="7"/>
        <v>Within ETC</v>
      </c>
      <c r="R107" s="37" t="str">
        <f t="shared" si="8"/>
        <v/>
      </c>
    </row>
    <row r="108" spans="1:18" ht="30" x14ac:dyDescent="0.25">
      <c r="A108" s="30">
        <v>106</v>
      </c>
      <c r="B108" s="8" t="s">
        <v>116</v>
      </c>
      <c r="C108" s="15" t="s">
        <v>274</v>
      </c>
      <c r="D108" s="56" t="s">
        <v>275</v>
      </c>
      <c r="E108" s="57" t="s">
        <v>72</v>
      </c>
      <c r="F108" s="58" t="s">
        <v>279</v>
      </c>
      <c r="G108" s="56" t="s">
        <v>280</v>
      </c>
      <c r="J108" s="98"/>
      <c r="K108" s="58" t="s">
        <v>185</v>
      </c>
      <c r="L108" s="56" t="s">
        <v>255</v>
      </c>
      <c r="M108" s="57" t="s">
        <v>306</v>
      </c>
      <c r="N108" s="45"/>
      <c r="O108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8" s="35"/>
      <c r="Q108" s="36" t="str">
        <f t="shared" ca="1" si="7"/>
        <v>Within ETC</v>
      </c>
      <c r="R108" s="37" t="str">
        <f t="shared" si="8"/>
        <v/>
      </c>
    </row>
    <row r="109" spans="1:18" ht="30" x14ac:dyDescent="0.25">
      <c r="A109" s="30">
        <v>107</v>
      </c>
      <c r="B109" s="8" t="s">
        <v>116</v>
      </c>
      <c r="C109" s="15" t="s">
        <v>266</v>
      </c>
      <c r="D109" s="56" t="s">
        <v>267</v>
      </c>
      <c r="E109" s="57" t="s">
        <v>72</v>
      </c>
      <c r="F109" s="58" t="s">
        <v>281</v>
      </c>
      <c r="G109" s="56" t="s">
        <v>282</v>
      </c>
      <c r="J109" s="98"/>
      <c r="K109" s="58" t="s">
        <v>185</v>
      </c>
      <c r="L109" s="56" t="s">
        <v>255</v>
      </c>
      <c r="M109" s="57"/>
      <c r="N109" s="45"/>
      <c r="O109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09" s="35"/>
      <c r="Q109" s="36" t="str">
        <f t="shared" ca="1" si="7"/>
        <v>Within ETC</v>
      </c>
      <c r="R109" s="37" t="str">
        <f t="shared" si="8"/>
        <v/>
      </c>
    </row>
    <row r="110" spans="1:18" ht="30" x14ac:dyDescent="0.25">
      <c r="A110" s="30">
        <v>108</v>
      </c>
      <c r="B110" s="8" t="s">
        <v>116</v>
      </c>
      <c r="C110" s="15" t="s">
        <v>266</v>
      </c>
      <c r="D110" s="53" t="s">
        <v>283</v>
      </c>
      <c r="E110" s="54" t="s">
        <v>72</v>
      </c>
      <c r="F110" s="55" t="s">
        <v>284</v>
      </c>
      <c r="G110" s="53" t="s">
        <v>285</v>
      </c>
      <c r="J110" s="98"/>
      <c r="K110" s="55" t="s">
        <v>255</v>
      </c>
      <c r="L110" s="53" t="s">
        <v>255</v>
      </c>
      <c r="M110" s="54"/>
      <c r="N110" s="45"/>
      <c r="O110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0" s="35"/>
      <c r="Q110" s="36" t="str">
        <f t="shared" ca="1" si="7"/>
        <v>Within ETC</v>
      </c>
      <c r="R110" s="37" t="str">
        <f t="shared" si="8"/>
        <v/>
      </c>
    </row>
    <row r="111" spans="1:18" ht="30" x14ac:dyDescent="0.25">
      <c r="A111" s="30">
        <v>109</v>
      </c>
      <c r="B111" s="8" t="s">
        <v>116</v>
      </c>
      <c r="C111" s="15" t="s">
        <v>286</v>
      </c>
      <c r="D111" s="56" t="s">
        <v>287</v>
      </c>
      <c r="E111" s="57" t="s">
        <v>72</v>
      </c>
      <c r="F111" s="58" t="s">
        <v>288</v>
      </c>
      <c r="G111" s="56" t="s">
        <v>289</v>
      </c>
      <c r="J111" s="98"/>
      <c r="K111" s="58" t="s">
        <v>255</v>
      </c>
      <c r="L111" s="56" t="s">
        <v>258</v>
      </c>
      <c r="M111" s="57"/>
      <c r="N111" s="45"/>
      <c r="O111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1" s="35"/>
      <c r="Q111" s="36" t="str">
        <f t="shared" ca="1" si="7"/>
        <v>Within ETC</v>
      </c>
      <c r="R111" s="37" t="str">
        <f t="shared" si="8"/>
        <v/>
      </c>
    </row>
    <row r="112" spans="1:18" ht="30" x14ac:dyDescent="0.25">
      <c r="A112" s="30">
        <v>110</v>
      </c>
      <c r="B112" s="8" t="s">
        <v>116</v>
      </c>
      <c r="C112" s="15" t="s">
        <v>286</v>
      </c>
      <c r="D112" s="56" t="s">
        <v>287</v>
      </c>
      <c r="E112" s="57" t="s">
        <v>72</v>
      </c>
      <c r="F112" s="58" t="s">
        <v>290</v>
      </c>
      <c r="G112" s="56" t="s">
        <v>289</v>
      </c>
      <c r="J112" s="98"/>
      <c r="K112" s="58" t="s">
        <v>255</v>
      </c>
      <c r="L112" s="56" t="s">
        <v>258</v>
      </c>
      <c r="M112" s="57"/>
      <c r="N112" s="45"/>
      <c r="O112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2" s="35"/>
      <c r="Q112" s="36" t="str">
        <f t="shared" ca="1" si="7"/>
        <v>Within ETC</v>
      </c>
      <c r="R112" s="37" t="str">
        <f t="shared" si="8"/>
        <v/>
      </c>
    </row>
    <row r="113" spans="1:18" ht="30" x14ac:dyDescent="0.25">
      <c r="A113" s="30">
        <v>111</v>
      </c>
      <c r="B113" s="8" t="s">
        <v>116</v>
      </c>
      <c r="C113" s="15" t="s">
        <v>286</v>
      </c>
      <c r="D113" s="53" t="s">
        <v>287</v>
      </c>
      <c r="E113" s="54" t="s">
        <v>72</v>
      </c>
      <c r="F113" s="55" t="s">
        <v>291</v>
      </c>
      <c r="G113" s="53" t="s">
        <v>289</v>
      </c>
      <c r="J113" s="98"/>
      <c r="K113" s="55" t="s">
        <v>255</v>
      </c>
      <c r="L113" s="53" t="s">
        <v>258</v>
      </c>
      <c r="M113" s="54"/>
      <c r="N113" s="45"/>
      <c r="O113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3" s="35"/>
      <c r="Q113" s="36" t="str">
        <f t="shared" ca="1" si="7"/>
        <v>Within ETC</v>
      </c>
      <c r="R113" s="37" t="str">
        <f t="shared" si="8"/>
        <v/>
      </c>
    </row>
    <row r="114" spans="1:18" ht="30" x14ac:dyDescent="0.25">
      <c r="A114" s="30">
        <v>112</v>
      </c>
      <c r="B114" s="8" t="s">
        <v>116</v>
      </c>
      <c r="C114" s="15" t="s">
        <v>286</v>
      </c>
      <c r="D114" s="56" t="s">
        <v>287</v>
      </c>
      <c r="E114" s="57" t="s">
        <v>72</v>
      </c>
      <c r="F114" s="58" t="s">
        <v>292</v>
      </c>
      <c r="G114" s="56" t="s">
        <v>289</v>
      </c>
      <c r="J114" s="98"/>
      <c r="K114" s="58" t="s">
        <v>255</v>
      </c>
      <c r="L114" s="56" t="s">
        <v>189</v>
      </c>
      <c r="M114" s="57"/>
      <c r="N114" s="45"/>
      <c r="O114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4" s="35"/>
      <c r="Q114" s="36" t="str">
        <f t="shared" ca="1" si="7"/>
        <v>Within ETC</v>
      </c>
      <c r="R114" s="37" t="str">
        <f t="shared" si="8"/>
        <v/>
      </c>
    </row>
    <row r="115" spans="1:18" ht="30" x14ac:dyDescent="0.25">
      <c r="A115" s="30">
        <v>113</v>
      </c>
      <c r="B115" s="8" t="s">
        <v>116</v>
      </c>
      <c r="C115" s="15" t="s">
        <v>286</v>
      </c>
      <c r="D115" s="56" t="s">
        <v>287</v>
      </c>
      <c r="E115" s="57" t="s">
        <v>72</v>
      </c>
      <c r="F115" s="58" t="s">
        <v>293</v>
      </c>
      <c r="G115" s="56" t="s">
        <v>289</v>
      </c>
      <c r="J115" s="98"/>
      <c r="K115" s="58" t="s">
        <v>255</v>
      </c>
      <c r="L115" s="56" t="s">
        <v>187</v>
      </c>
      <c r="M115" s="57"/>
      <c r="N115" s="45"/>
      <c r="O115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5" s="35"/>
      <c r="Q115" s="36" t="str">
        <f t="shared" ca="1" si="7"/>
        <v>Within ETC</v>
      </c>
      <c r="R115" s="37" t="str">
        <f t="shared" si="8"/>
        <v/>
      </c>
    </row>
    <row r="116" spans="1:18" ht="30" x14ac:dyDescent="0.25">
      <c r="A116" s="30">
        <v>114</v>
      </c>
      <c r="B116" s="8" t="s">
        <v>116</v>
      </c>
      <c r="C116" s="15" t="s">
        <v>266</v>
      </c>
      <c r="D116" s="53" t="s">
        <v>294</v>
      </c>
      <c r="E116" s="54" t="s">
        <v>72</v>
      </c>
      <c r="F116" s="55" t="s">
        <v>295</v>
      </c>
      <c r="G116" s="53" t="s">
        <v>280</v>
      </c>
      <c r="J116" s="98"/>
      <c r="K116" s="55" t="s">
        <v>255</v>
      </c>
      <c r="L116" s="53" t="s">
        <v>258</v>
      </c>
      <c r="M116" s="54"/>
      <c r="N116" s="45"/>
      <c r="O116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6" s="35"/>
      <c r="Q116" s="36" t="str">
        <f t="shared" ca="1" si="7"/>
        <v>Within ETC</v>
      </c>
      <c r="R116" s="37" t="str">
        <f t="shared" si="8"/>
        <v/>
      </c>
    </row>
    <row r="117" spans="1:18" ht="30" x14ac:dyDescent="0.25">
      <c r="A117" s="30">
        <v>115</v>
      </c>
      <c r="B117" s="8" t="s">
        <v>116</v>
      </c>
      <c r="C117" s="15" t="s">
        <v>266</v>
      </c>
      <c r="D117" s="56" t="s">
        <v>296</v>
      </c>
      <c r="E117" s="57" t="s">
        <v>72</v>
      </c>
      <c r="F117" s="58" t="s">
        <v>297</v>
      </c>
      <c r="G117" s="56" t="s">
        <v>197</v>
      </c>
      <c r="J117" s="98"/>
      <c r="K117" s="58"/>
      <c r="L117" s="56"/>
      <c r="M117" s="57"/>
      <c r="N117" s="45"/>
      <c r="O117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7" s="35"/>
      <c r="Q117" s="36" t="str">
        <f t="shared" ca="1" si="7"/>
        <v>Beyond ETC</v>
      </c>
      <c r="R117" s="37">
        <f t="shared" si="8"/>
        <v>0</v>
      </c>
    </row>
    <row r="118" spans="1:18" ht="30" x14ac:dyDescent="0.25">
      <c r="A118" s="30">
        <v>116</v>
      </c>
      <c r="B118" s="8" t="s">
        <v>116</v>
      </c>
      <c r="C118" s="15" t="s">
        <v>266</v>
      </c>
      <c r="D118" s="56" t="s">
        <v>296</v>
      </c>
      <c r="E118" s="57" t="s">
        <v>72</v>
      </c>
      <c r="F118" s="58" t="s">
        <v>298</v>
      </c>
      <c r="G118" s="56" t="s">
        <v>299</v>
      </c>
      <c r="J118" s="98"/>
      <c r="K118" s="58" t="s">
        <v>255</v>
      </c>
      <c r="L118" s="56" t="s">
        <v>189</v>
      </c>
      <c r="M118" s="57"/>
      <c r="N118" s="45"/>
      <c r="O118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8" s="35"/>
      <c r="Q118" s="36" t="str">
        <f t="shared" ca="1" si="7"/>
        <v>Within ETC</v>
      </c>
      <c r="R118" s="37" t="str">
        <f t="shared" si="8"/>
        <v/>
      </c>
    </row>
    <row r="119" spans="1:18" ht="30" x14ac:dyDescent="0.25">
      <c r="A119" s="30">
        <v>117</v>
      </c>
      <c r="B119" s="8" t="s">
        <v>116</v>
      </c>
      <c r="C119" s="15" t="s">
        <v>266</v>
      </c>
      <c r="D119" s="53" t="s">
        <v>296</v>
      </c>
      <c r="E119" s="54" t="s">
        <v>72</v>
      </c>
      <c r="F119" s="55" t="s">
        <v>300</v>
      </c>
      <c r="G119" s="53" t="s">
        <v>299</v>
      </c>
      <c r="J119" s="98"/>
      <c r="K119" s="55" t="s">
        <v>255</v>
      </c>
      <c r="L119" s="53" t="s">
        <v>189</v>
      </c>
      <c r="M119" s="54"/>
      <c r="N119" s="45"/>
      <c r="O119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19" s="35"/>
      <c r="Q119" s="36" t="str">
        <f t="shared" ca="1" si="7"/>
        <v>Within ETC</v>
      </c>
      <c r="R119" s="37" t="str">
        <f t="shared" si="8"/>
        <v/>
      </c>
    </row>
    <row r="120" spans="1:18" ht="30" x14ac:dyDescent="0.25">
      <c r="A120" s="30">
        <v>118</v>
      </c>
      <c r="B120" s="8" t="s">
        <v>116</v>
      </c>
      <c r="C120" s="15" t="s">
        <v>266</v>
      </c>
      <c r="D120" s="56" t="s">
        <v>301</v>
      </c>
      <c r="E120" s="57" t="s">
        <v>72</v>
      </c>
      <c r="F120" s="58" t="s">
        <v>302</v>
      </c>
      <c r="G120" s="56" t="s">
        <v>303</v>
      </c>
      <c r="J120" s="98"/>
      <c r="K120" s="58"/>
      <c r="L120" s="56"/>
      <c r="M120" s="57" t="s">
        <v>307</v>
      </c>
      <c r="N120" s="45"/>
      <c r="O120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20" s="35"/>
      <c r="Q120" s="36" t="str">
        <f t="shared" ca="1" si="7"/>
        <v>Beyond ETC</v>
      </c>
      <c r="R120" s="37">
        <f t="shared" si="8"/>
        <v>0</v>
      </c>
    </row>
    <row r="121" spans="1:18" ht="30" x14ac:dyDescent="0.25">
      <c r="A121" s="30">
        <v>119</v>
      </c>
      <c r="B121" s="8" t="s">
        <v>116</v>
      </c>
      <c r="C121" s="15" t="s">
        <v>266</v>
      </c>
      <c r="D121" s="56" t="s">
        <v>301</v>
      </c>
      <c r="E121" s="57" t="s">
        <v>72</v>
      </c>
      <c r="F121" s="58" t="s">
        <v>304</v>
      </c>
      <c r="G121" s="56" t="s">
        <v>303</v>
      </c>
      <c r="J121" s="98"/>
      <c r="K121" s="58"/>
      <c r="L121" s="56"/>
      <c r="M121" s="57" t="s">
        <v>307</v>
      </c>
      <c r="N121" s="45"/>
      <c r="O121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21" s="35"/>
      <c r="Q121" s="36" t="str">
        <f t="shared" ca="1" si="7"/>
        <v>Beyond ETC</v>
      </c>
      <c r="R121" s="37">
        <f t="shared" si="8"/>
        <v>0</v>
      </c>
    </row>
    <row r="122" spans="1:18" ht="30" x14ac:dyDescent="0.25">
      <c r="A122" s="30">
        <v>120</v>
      </c>
      <c r="B122" s="8" t="s">
        <v>116</v>
      </c>
      <c r="C122" s="15" t="s">
        <v>266</v>
      </c>
      <c r="D122" s="53" t="s">
        <v>301</v>
      </c>
      <c r="E122" s="54" t="s">
        <v>72</v>
      </c>
      <c r="F122" s="55" t="s">
        <v>305</v>
      </c>
      <c r="G122" s="53" t="s">
        <v>303</v>
      </c>
      <c r="J122" s="98" t="s">
        <v>308</v>
      </c>
      <c r="K122" s="55"/>
      <c r="L122" s="53"/>
      <c r="M122" s="54" t="s">
        <v>307</v>
      </c>
      <c r="N122" s="45"/>
      <c r="O122" s="99" t="str">
        <f>IF(Table1[[#This Row],[Type: Action Item / KPI]]="KPI",IF(Table1[[#This Row],[KPT Actual]]&gt;0,"Completed","Not Completed"),IF(Table1[[#This Row],[Type: Action Item / KPI]]="Action Item",IF(Table1[[#This Row],[Completion % (100 or current progress % if not completed)]]=100,"Completed","Not Completed"),IF(Table1[[#This Row],[Type: Action Item / KPI]]="","Type Was Not Selected")))</f>
        <v>Not Completed</v>
      </c>
      <c r="P122" s="35"/>
      <c r="Q122" s="36" t="str">
        <f t="shared" ca="1" si="7"/>
        <v>Beyond ETC</v>
      </c>
      <c r="R122" s="37">
        <f t="shared" si="8"/>
        <v>0</v>
      </c>
    </row>
  </sheetData>
  <mergeCells count="2">
    <mergeCell ref="H1:I1"/>
    <mergeCell ref="K1:N1"/>
  </mergeCells>
  <dataValidations count="2">
    <dataValidation type="date" allowBlank="1" showInputMessage="1" showErrorMessage="1" sqref="L3:L22" xr:uid="{486A0433-0FD5-4B3A-9418-F30EC4A47ECD}">
      <formula1>44197</formula1>
      <formula2>54789</formula2>
    </dataValidation>
    <dataValidation type="list" allowBlank="1" showInputMessage="1" showErrorMessage="1" sqref="E1:E1048576" xr:uid="{E5418B94-43A2-42DF-A610-5F684D5CE37D}">
      <formula1>"Action Item, KPI"</formula1>
    </dataValidation>
  </dataValidations>
  <pageMargins left="0.7" right="0.7" top="0.75" bottom="0.75" header="0.3" footer="0.3"/>
  <pageSetup orientation="portrait" r:id="rId1"/>
  <headerFooter>
    <oddHeader>&amp;L&amp;"Arial"&amp;10&amp;K000000&amp;1#</oddHeader>
    <oddFooter>&amp;L&amp;1#&amp;"Arial"&amp;10&amp;K000000Saudi Aramco: Company General Use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1234-465B-4FC4-9A4E-2168AC2F8620}">
  <sheetPr codeName="Sheet5"/>
  <dimension ref="A1:J54"/>
  <sheetViews>
    <sheetView showGridLines="0" zoomScale="70" zoomScaleNormal="70" workbookViewId="0">
      <selection activeCell="E1" sqref="E1"/>
    </sheetView>
  </sheetViews>
  <sheetFormatPr defaultRowHeight="15" x14ac:dyDescent="0.25"/>
  <cols>
    <col min="1" max="1" width="45.85546875" style="4" customWidth="1"/>
    <col min="2" max="2" width="20.42578125" style="4" bestFit="1" customWidth="1"/>
    <col min="3" max="3" width="76" style="4" bestFit="1" customWidth="1"/>
    <col min="4" max="4" width="12.5703125" style="4" bestFit="1" customWidth="1"/>
    <col min="5" max="5" width="17.140625" style="4" bestFit="1" customWidth="1"/>
    <col min="6" max="7" width="22" style="4" bestFit="1" customWidth="1"/>
    <col min="8" max="8" width="94.85546875" style="4" customWidth="1"/>
    <col min="9" max="9" width="9.42578125" style="4" bestFit="1" customWidth="1"/>
    <col min="10" max="10" width="60.85546875" style="4" bestFit="1" customWidth="1"/>
    <col min="11" max="11" width="11.28515625" style="4" bestFit="1" customWidth="1"/>
    <col min="12" max="16384" width="9.140625" style="4"/>
  </cols>
  <sheetData>
    <row r="1" spans="1:7" ht="36.75" customHeight="1" x14ac:dyDescent="0.25">
      <c r="A1" s="6" t="s">
        <v>23</v>
      </c>
      <c r="B1" s="6" t="s">
        <v>0</v>
      </c>
      <c r="C1" s="6" t="s">
        <v>4</v>
      </c>
      <c r="D1" s="6" t="s">
        <v>5</v>
      </c>
      <c r="E1" s="6" t="s">
        <v>16</v>
      </c>
      <c r="F1" s="4" t="s">
        <v>20</v>
      </c>
      <c r="G1" s="4" t="s">
        <v>21</v>
      </c>
    </row>
    <row r="2" spans="1:7" x14ac:dyDescent="0.25">
      <c r="A2" s="4" t="s">
        <v>24</v>
      </c>
      <c r="F2" s="7"/>
      <c r="G2" s="7"/>
    </row>
    <row r="3" spans="1:7" x14ac:dyDescent="0.25">
      <c r="B3" s="4" t="s">
        <v>7</v>
      </c>
      <c r="F3" s="7"/>
      <c r="G3" s="7"/>
    </row>
    <row r="4" spans="1:7" x14ac:dyDescent="0.25">
      <c r="C4" s="4" t="s">
        <v>30</v>
      </c>
      <c r="F4" s="7"/>
      <c r="G4" s="7"/>
    </row>
    <row r="5" spans="1:7" x14ac:dyDescent="0.25">
      <c r="D5" s="4" t="s">
        <v>11</v>
      </c>
      <c r="F5" s="7"/>
      <c r="G5" s="7"/>
    </row>
    <row r="6" spans="1:7" x14ac:dyDescent="0.25">
      <c r="E6" s="4" t="s">
        <v>327</v>
      </c>
      <c r="F6" s="7">
        <v>0</v>
      </c>
      <c r="G6" s="7"/>
    </row>
    <row r="7" spans="1:7" x14ac:dyDescent="0.25">
      <c r="C7" s="4" t="s">
        <v>31</v>
      </c>
      <c r="F7" s="7"/>
      <c r="G7" s="7"/>
    </row>
    <row r="8" spans="1:7" x14ac:dyDescent="0.25">
      <c r="D8" s="4" t="s">
        <v>11</v>
      </c>
      <c r="F8" s="7"/>
      <c r="G8" s="7"/>
    </row>
    <row r="9" spans="1:7" x14ac:dyDescent="0.25">
      <c r="E9" s="4" t="s">
        <v>327</v>
      </c>
      <c r="F9" s="7">
        <v>0</v>
      </c>
      <c r="G9" s="7"/>
    </row>
    <row r="10" spans="1:7" x14ac:dyDescent="0.25">
      <c r="C10" s="4" t="s">
        <v>32</v>
      </c>
      <c r="F10" s="7"/>
      <c r="G10" s="7"/>
    </row>
    <row r="11" spans="1:7" x14ac:dyDescent="0.25">
      <c r="D11" s="4" t="s">
        <v>11</v>
      </c>
      <c r="F11" s="7"/>
      <c r="G11" s="7"/>
    </row>
    <row r="12" spans="1:7" x14ac:dyDescent="0.25">
      <c r="E12" s="4" t="s">
        <v>327</v>
      </c>
      <c r="F12" s="7">
        <v>0</v>
      </c>
      <c r="G12" s="7"/>
    </row>
    <row r="13" spans="1:7" x14ac:dyDescent="0.25">
      <c r="C13" s="4" t="s">
        <v>33</v>
      </c>
      <c r="F13" s="7"/>
      <c r="G13" s="7"/>
    </row>
    <row r="14" spans="1:7" x14ac:dyDescent="0.25">
      <c r="D14" s="4" t="s">
        <v>11</v>
      </c>
      <c r="F14" s="7"/>
      <c r="G14" s="7"/>
    </row>
    <row r="15" spans="1:7" x14ac:dyDescent="0.25">
      <c r="E15" s="4" t="s">
        <v>327</v>
      </c>
      <c r="F15" s="7">
        <v>0</v>
      </c>
      <c r="G15" s="7"/>
    </row>
    <row r="16" spans="1:7" x14ac:dyDescent="0.25">
      <c r="B16" s="4" t="s">
        <v>6</v>
      </c>
      <c r="F16" s="7"/>
      <c r="G16" s="7"/>
    </row>
    <row r="17" spans="2:10" x14ac:dyDescent="0.25">
      <c r="C17" s="4" t="s">
        <v>34</v>
      </c>
      <c r="F17" s="7"/>
      <c r="G17" s="7"/>
    </row>
    <row r="18" spans="2:10" x14ac:dyDescent="0.25">
      <c r="D18" s="4" t="s">
        <v>11</v>
      </c>
      <c r="F18" s="7"/>
      <c r="G18" s="7"/>
    </row>
    <row r="19" spans="2:10" x14ac:dyDescent="0.25">
      <c r="E19" s="4" t="s">
        <v>327</v>
      </c>
      <c r="F19" s="7">
        <v>0</v>
      </c>
      <c r="G19" s="7"/>
    </row>
    <row r="20" spans="2:10" x14ac:dyDescent="0.25">
      <c r="C20" s="4" t="s">
        <v>35</v>
      </c>
      <c r="F20" s="7"/>
      <c r="G20" s="7"/>
    </row>
    <row r="21" spans="2:10" x14ac:dyDescent="0.25">
      <c r="D21" s="4" t="s">
        <v>11</v>
      </c>
      <c r="F21" s="7"/>
      <c r="G21" s="7"/>
    </row>
    <row r="22" spans="2:10" x14ac:dyDescent="0.25">
      <c r="E22" s="4" t="s">
        <v>327</v>
      </c>
      <c r="F22" s="7">
        <v>0</v>
      </c>
      <c r="G22" s="7"/>
    </row>
    <row r="23" spans="2:10" x14ac:dyDescent="0.25">
      <c r="C23" s="4" t="s">
        <v>49</v>
      </c>
      <c r="F23" s="7"/>
      <c r="G23" s="7"/>
    </row>
    <row r="24" spans="2:10" x14ac:dyDescent="0.25">
      <c r="D24" s="4" t="s">
        <v>11</v>
      </c>
      <c r="F24" s="7"/>
      <c r="G24" s="7"/>
    </row>
    <row r="25" spans="2:10" x14ac:dyDescent="0.25">
      <c r="E25" s="4" t="s">
        <v>327</v>
      </c>
      <c r="F25" s="7">
        <v>0</v>
      </c>
      <c r="G25" s="7"/>
    </row>
    <row r="26" spans="2:10" x14ac:dyDescent="0.25">
      <c r="C26" s="4" t="s">
        <v>36</v>
      </c>
      <c r="F26" s="7"/>
      <c r="G26" s="7"/>
    </row>
    <row r="27" spans="2:10" x14ac:dyDescent="0.25">
      <c r="D27" s="4" t="s">
        <v>11</v>
      </c>
      <c r="F27" s="7"/>
      <c r="G27" s="7"/>
    </row>
    <row r="28" spans="2:10" x14ac:dyDescent="0.25">
      <c r="E28" s="4" t="s">
        <v>327</v>
      </c>
      <c r="F28" s="7">
        <v>0</v>
      </c>
      <c r="G28" s="7"/>
    </row>
    <row r="29" spans="2:10" x14ac:dyDescent="0.25">
      <c r="C29" s="4" t="s">
        <v>37</v>
      </c>
      <c r="F29" s="7"/>
      <c r="G29" s="7"/>
    </row>
    <row r="30" spans="2:10" x14ac:dyDescent="0.25">
      <c r="D30" s="4" t="s">
        <v>11</v>
      </c>
      <c r="F30" s="7"/>
      <c r="G30" s="7"/>
    </row>
    <row r="31" spans="2:10" x14ac:dyDescent="0.25">
      <c r="E31" s="4" t="s">
        <v>327</v>
      </c>
      <c r="F31" s="7">
        <v>0</v>
      </c>
      <c r="G31" s="7"/>
    </row>
    <row r="32" spans="2:10" x14ac:dyDescent="0.25">
      <c r="B32" s="4" t="s">
        <v>8</v>
      </c>
      <c r="F32" s="7"/>
      <c r="G32" s="7"/>
      <c r="J32"/>
    </row>
    <row r="33" spans="1:7" x14ac:dyDescent="0.25">
      <c r="C33" s="4" t="s">
        <v>9</v>
      </c>
      <c r="F33" s="7"/>
      <c r="G33" s="7"/>
    </row>
    <row r="34" spans="1:7" x14ac:dyDescent="0.25">
      <c r="D34" s="4" t="s">
        <v>11</v>
      </c>
      <c r="F34" s="7"/>
      <c r="G34" s="7"/>
    </row>
    <row r="35" spans="1:7" x14ac:dyDescent="0.25">
      <c r="E35" s="4" t="s">
        <v>18</v>
      </c>
      <c r="F35" s="7">
        <v>1</v>
      </c>
      <c r="G35" s="7">
        <v>0</v>
      </c>
    </row>
    <row r="36" spans="1:7" x14ac:dyDescent="0.25">
      <c r="C36" s="4" t="s">
        <v>38</v>
      </c>
      <c r="F36" s="7"/>
      <c r="G36" s="7"/>
    </row>
    <row r="37" spans="1:7" x14ac:dyDescent="0.25">
      <c r="D37" s="4" t="s">
        <v>11</v>
      </c>
      <c r="F37" s="7"/>
      <c r="G37" s="7"/>
    </row>
    <row r="38" spans="1:7" x14ac:dyDescent="0.25">
      <c r="E38" s="4" t="s">
        <v>327</v>
      </c>
      <c r="F38" s="7">
        <v>0</v>
      </c>
      <c r="G38" s="7"/>
    </row>
    <row r="39" spans="1:7" x14ac:dyDescent="0.25">
      <c r="C39" s="4" t="s">
        <v>40</v>
      </c>
      <c r="F39" s="7"/>
      <c r="G39" s="7"/>
    </row>
    <row r="40" spans="1:7" x14ac:dyDescent="0.25">
      <c r="D40" s="4" t="s">
        <v>11</v>
      </c>
      <c r="F40" s="7"/>
      <c r="G40" s="7"/>
    </row>
    <row r="41" spans="1:7" x14ac:dyDescent="0.25">
      <c r="E41" s="4" t="s">
        <v>327</v>
      </c>
      <c r="F41" s="7">
        <v>0</v>
      </c>
      <c r="G41" s="7"/>
    </row>
    <row r="42" spans="1:7" x14ac:dyDescent="0.25">
      <c r="C42" s="4" t="s">
        <v>39</v>
      </c>
      <c r="F42" s="7"/>
      <c r="G42" s="7"/>
    </row>
    <row r="43" spans="1:7" x14ac:dyDescent="0.25">
      <c r="D43" s="4" t="s">
        <v>11</v>
      </c>
      <c r="F43" s="7"/>
      <c r="G43" s="7"/>
    </row>
    <row r="44" spans="1:7" x14ac:dyDescent="0.25">
      <c r="E44" s="4" t="s">
        <v>327</v>
      </c>
      <c r="F44" s="7">
        <v>0</v>
      </c>
      <c r="G44" s="7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</sheetData>
  <pageMargins left="0.7" right="0.7" top="0.75" bottom="0.75" header="0.3" footer="0.3"/>
  <pageSetup orientation="portrait" r:id="rId2"/>
  <headerFooter>
    <oddHeader>&amp;L&amp;"Arial"&amp;10&amp;K000000&amp;1#</oddHeader>
    <oddFooter>&amp;L&amp;1#&amp;"Arial"&amp;10&amp;K000000Saudi Aramco: Company General Use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75F8-5693-40AF-A38E-62799ACF6CE6}">
  <sheetPr codeName="Sheet16"/>
  <dimension ref="A1:Y201"/>
  <sheetViews>
    <sheetView tabSelected="1" topLeftCell="F1" workbookViewId="0">
      <selection activeCell="P23" sqref="P23"/>
    </sheetView>
  </sheetViews>
  <sheetFormatPr defaultRowHeight="15" x14ac:dyDescent="0.25"/>
  <cols>
    <col min="3" max="3" width="29.7109375" customWidth="1"/>
    <col min="4" max="4" width="18.5703125" customWidth="1"/>
    <col min="5" max="5" width="49.85546875" customWidth="1"/>
    <col min="8" max="9" width="10.7109375" style="100" bestFit="1" customWidth="1"/>
    <col min="13" max="13" width="35.85546875" bestFit="1" customWidth="1"/>
    <col min="14" max="14" width="6.28515625" bestFit="1" customWidth="1"/>
    <col min="15" max="15" width="7" bestFit="1" customWidth="1"/>
    <col min="16" max="16" width="13.5703125" bestFit="1" customWidth="1"/>
    <col min="17" max="17" width="7" bestFit="1" customWidth="1"/>
    <col min="18" max="18" width="24.140625" bestFit="1" customWidth="1"/>
    <col min="19" max="19" width="12" bestFit="1" customWidth="1"/>
    <col min="20" max="20" width="11.42578125" bestFit="1" customWidth="1"/>
    <col min="21" max="21" width="8.7109375" bestFit="1" customWidth="1"/>
  </cols>
  <sheetData>
    <row r="1" spans="1:25" x14ac:dyDescent="0.25">
      <c r="A1" t="s">
        <v>328</v>
      </c>
      <c r="B1" t="s">
        <v>329</v>
      </c>
      <c r="C1" t="s">
        <v>330</v>
      </c>
      <c r="D1" t="s">
        <v>331</v>
      </c>
      <c r="E1" t="s">
        <v>72</v>
      </c>
      <c r="F1" t="s">
        <v>332</v>
      </c>
      <c r="G1" t="s">
        <v>333</v>
      </c>
      <c r="H1" s="100" t="s">
        <v>1</v>
      </c>
      <c r="I1" s="100" t="s">
        <v>334</v>
      </c>
      <c r="J1" t="s">
        <v>5</v>
      </c>
      <c r="L1" t="s">
        <v>335</v>
      </c>
      <c r="M1" s="101" t="s">
        <v>309</v>
      </c>
      <c r="N1" s="101" t="s">
        <v>312</v>
      </c>
      <c r="O1" s="101" t="s">
        <v>575</v>
      </c>
      <c r="P1" s="106" t="s">
        <v>315</v>
      </c>
      <c r="Q1" s="101" t="s">
        <v>575</v>
      </c>
      <c r="R1" s="101" t="s">
        <v>578</v>
      </c>
      <c r="S1" s="101" t="s">
        <v>576</v>
      </c>
      <c r="T1" s="101" t="s">
        <v>577</v>
      </c>
      <c r="U1" s="101" t="s">
        <v>313</v>
      </c>
      <c r="V1" s="139" t="s">
        <v>316</v>
      </c>
      <c r="W1" s="139"/>
      <c r="X1" s="140" t="s">
        <v>317</v>
      </c>
      <c r="Y1" s="140"/>
    </row>
    <row r="2" spans="1:25" x14ac:dyDescent="0.25">
      <c r="A2">
        <v>387244</v>
      </c>
      <c r="B2" t="s">
        <v>336</v>
      </c>
      <c r="C2" t="s">
        <v>579</v>
      </c>
      <c r="D2" t="s">
        <v>580</v>
      </c>
      <c r="E2" t="s">
        <v>337</v>
      </c>
      <c r="F2" t="s">
        <v>338</v>
      </c>
      <c r="G2" t="s">
        <v>339</v>
      </c>
      <c r="H2" s="100">
        <v>44813</v>
      </c>
      <c r="I2" s="100">
        <v>44895</v>
      </c>
      <c r="J2" t="s">
        <v>340</v>
      </c>
      <c r="K2">
        <v>0</v>
      </c>
      <c r="L2" t="s">
        <v>341</v>
      </c>
      <c r="M2" s="103" t="s">
        <v>24</v>
      </c>
      <c r="N2" s="103">
        <f>COUNTIF(Data!$C$2:$C$300,"7.1 Re-Branding Strategy")</f>
        <v>57</v>
      </c>
      <c r="O2">
        <f>COUNTIFS($D$2:$D$300,"Self Assessment",$J$2:$J$300," Closed")</f>
        <v>4</v>
      </c>
      <c r="P2" s="105">
        <f>O2/N2</f>
        <v>7.0175438596491224E-2</v>
      </c>
      <c r="Q2">
        <f>COUNTIFS($D$2:$D$300,"Self Assessment",$J$2:$J$300," Closed")</f>
        <v>4</v>
      </c>
      <c r="R2">
        <f>COUNTIFS($D$2:$D$300,"Self Assessment",$J$2:$J$300," Complete")</f>
        <v>0</v>
      </c>
      <c r="S2">
        <f>COUNTIFS($D$2:$D$300,"Self Assessment",$J$2:$J$300," In Progress")</f>
        <v>0</v>
      </c>
      <c r="T2">
        <f>COUNTIFS($D$2:$D$300,"Self Assessment",$J$2:$J$300," Not Started")</f>
        <v>13</v>
      </c>
      <c r="U2">
        <f>COUNTIFS($D$2:$D$300,"Self Assessment",$J$2:$J$300," Overdue")</f>
        <v>40</v>
      </c>
      <c r="V2" s="112">
        <f>1-W2</f>
        <v>0.92982456140350878</v>
      </c>
      <c r="W2" s="112">
        <f>P2</f>
        <v>7.0175438596491224E-2</v>
      </c>
      <c r="X2" s="107" t="s">
        <v>318</v>
      </c>
      <c r="Y2" s="107" t="s">
        <v>319</v>
      </c>
    </row>
    <row r="3" spans="1:25" x14ac:dyDescent="0.25">
      <c r="A3">
        <v>387210</v>
      </c>
      <c r="B3" t="s">
        <v>336</v>
      </c>
      <c r="C3" t="s">
        <v>581</v>
      </c>
      <c r="D3" t="s">
        <v>580</v>
      </c>
      <c r="E3" t="s">
        <v>445</v>
      </c>
      <c r="F3" t="s">
        <v>338</v>
      </c>
      <c r="G3" t="s">
        <v>344</v>
      </c>
      <c r="H3" s="100">
        <v>44531</v>
      </c>
      <c r="I3" s="100">
        <v>44924</v>
      </c>
      <c r="J3" t="s">
        <v>340</v>
      </c>
      <c r="K3">
        <v>0</v>
      </c>
      <c r="L3" t="s">
        <v>341</v>
      </c>
      <c r="M3" s="102" t="s">
        <v>8</v>
      </c>
      <c r="N3" s="113">
        <f>COUNTIF(Data!$E$2:$E$300,"Strategy Fulfilment*")</f>
        <v>30</v>
      </c>
      <c r="O3">
        <f>COUNTIFS($E$2:$E$300,"Strategy Fulfilment*",$J$2:$J$300," Closed")</f>
        <v>4</v>
      </c>
      <c r="P3" s="105">
        <f t="shared" ref="P3:P22" si="0">O3/N3</f>
        <v>0.13333333333333333</v>
      </c>
      <c r="Q3">
        <f>COUNTIFS($E$2:$E$300,"Strategy Fulfilment*",$J$2:$J$300," Closed")</f>
        <v>4</v>
      </c>
      <c r="R3">
        <f>COUNTIFS($E$2:$E$300,"Strategy Fulfilment*",$J$2:$J$300," Complete")</f>
        <v>0</v>
      </c>
      <c r="S3">
        <f>COUNTIFS($E$2:$E$300,"Strategy Fulfilment*",$J$2:$J$300," In Progress")</f>
        <v>0</v>
      </c>
      <c r="T3">
        <f>COUNTIFS($E$2:$E$300,"Strategy Fulfilment*",$J$2:$J$300," Not Started")</f>
        <v>13</v>
      </c>
      <c r="U3">
        <f>COUNTIFS($E$2:$E$300,"Strategy Fulfilment*",$J$2:$J$300," Overdue")</f>
        <v>13</v>
      </c>
      <c r="V3" s="112">
        <f t="shared" ref="V3:V22" si="1">1-W3</f>
        <v>0.8666666666666667</v>
      </c>
      <c r="W3" s="112">
        <f t="shared" ref="W3:W23" si="2">P3</f>
        <v>0.13333333333333333</v>
      </c>
      <c r="X3" s="107">
        <v>0</v>
      </c>
      <c r="Y3" s="107">
        <v>1</v>
      </c>
    </row>
    <row r="4" spans="1:25" x14ac:dyDescent="0.25">
      <c r="A4">
        <v>378704</v>
      </c>
      <c r="B4" t="s">
        <v>336</v>
      </c>
      <c r="C4" t="s">
        <v>582</v>
      </c>
      <c r="D4" t="s">
        <v>342</v>
      </c>
      <c r="E4" t="s">
        <v>343</v>
      </c>
      <c r="F4" t="s">
        <v>338</v>
      </c>
      <c r="G4" t="s">
        <v>344</v>
      </c>
      <c r="H4" s="100">
        <v>44866</v>
      </c>
      <c r="I4" s="100">
        <v>44895</v>
      </c>
      <c r="J4" t="s">
        <v>340</v>
      </c>
      <c r="K4">
        <v>0</v>
      </c>
      <c r="L4" t="s">
        <v>341</v>
      </c>
      <c r="M4" s="102" t="s">
        <v>79</v>
      </c>
      <c r="N4" s="113">
        <f>COUNTIF(Data!$E$2:$E$300,"culture shift trigger*")</f>
        <v>14</v>
      </c>
      <c r="O4">
        <f>COUNTIFS($E$2:$E$300,"culture shift trigger*",$J$2:$J$300," Closed")</f>
        <v>0</v>
      </c>
      <c r="P4" s="105">
        <f t="shared" si="0"/>
        <v>0</v>
      </c>
      <c r="Q4">
        <f>COUNTIFS($E$2:$E$300,"culture shift trigger*",$J$2:$J$300," Closed")</f>
        <v>0</v>
      </c>
      <c r="R4">
        <f>COUNTIFS($E$2:$E$300,"culture shift trigger*",$J$2:$J$300," Complete")</f>
        <v>0</v>
      </c>
      <c r="S4">
        <f>COUNTIFS($E$2:$E$300,"culture shift trigger*",$J$2:$J$300," In Progress")</f>
        <v>0</v>
      </c>
      <c r="T4">
        <f>COUNTIFS($E$2:$E$300,"culture shift trigger*",$J$2:$J$300," Not Started")</f>
        <v>0</v>
      </c>
      <c r="U4">
        <f>COUNTIFS($E$2:$E$300,"culture shift trigger*",$J$2:$J$300," Overdue")</f>
        <v>14</v>
      </c>
      <c r="V4" s="112">
        <f t="shared" si="1"/>
        <v>1</v>
      </c>
      <c r="W4" s="112">
        <f t="shared" si="2"/>
        <v>0</v>
      </c>
      <c r="X4" s="108">
        <f>-SIN(P2*2*PI())</f>
        <v>-0.42677643549640359</v>
      </c>
      <c r="Y4" s="108">
        <f>COS(P2*2*PI())</f>
        <v>0.90435716069757754</v>
      </c>
    </row>
    <row r="5" spans="1:25" x14ac:dyDescent="0.25">
      <c r="A5">
        <v>378705</v>
      </c>
      <c r="B5" t="s">
        <v>336</v>
      </c>
      <c r="C5" t="s">
        <v>582</v>
      </c>
      <c r="D5" t="s">
        <v>342</v>
      </c>
      <c r="E5" t="s">
        <v>457</v>
      </c>
      <c r="F5" t="s">
        <v>338</v>
      </c>
      <c r="G5" t="s">
        <v>344</v>
      </c>
      <c r="H5" s="100">
        <v>44896</v>
      </c>
      <c r="I5" s="100">
        <v>44926</v>
      </c>
      <c r="J5" t="s">
        <v>340</v>
      </c>
      <c r="K5">
        <v>0</v>
      </c>
      <c r="L5" t="s">
        <v>341</v>
      </c>
      <c r="M5" s="102" t="s">
        <v>6</v>
      </c>
      <c r="N5" s="113">
        <f>COUNTIF(Data!$E$2:$E$300,"Exposure/Footprint*")</f>
        <v>13</v>
      </c>
      <c r="O5">
        <f>COUNTIFS($E$2:$E$300,"Exposure/Footprint*",$J$2:$J$300," Closed")</f>
        <v>0</v>
      </c>
      <c r="P5" s="105">
        <f t="shared" si="0"/>
        <v>0</v>
      </c>
      <c r="Q5">
        <f>COUNTIFS($E$2:$E$300,"Exposure/Footprint*",$J$2:$J$300," Closed")</f>
        <v>0</v>
      </c>
      <c r="R5">
        <f>COUNTIFS($E$2:$E$300,"Exposure/Footprint*",$J$2:$J$300," Complete")</f>
        <v>0</v>
      </c>
      <c r="S5">
        <f>COUNTIFS($E$2:$E$300,"Exposure/Footprint*",$J$2:$J$300," In Progress")</f>
        <v>0</v>
      </c>
      <c r="T5">
        <f>COUNTIFS($E$2:$E$300,"Exposure/Footprint*",$J$2:$J$300," Not Started")</f>
        <v>0</v>
      </c>
      <c r="U5">
        <f>COUNTIFS($E$2:$E$300,"Exposure/Footprint*",$J$2:$J$300," Overdue")</f>
        <v>13</v>
      </c>
      <c r="V5" s="112">
        <f t="shared" si="1"/>
        <v>1</v>
      </c>
      <c r="W5" s="112">
        <f t="shared" si="2"/>
        <v>0</v>
      </c>
      <c r="X5" s="107" t="s">
        <v>318</v>
      </c>
      <c r="Y5" s="107" t="s">
        <v>319</v>
      </c>
    </row>
    <row r="6" spans="1:25" x14ac:dyDescent="0.25">
      <c r="A6">
        <v>387208</v>
      </c>
      <c r="B6" t="s">
        <v>336</v>
      </c>
      <c r="C6" t="s">
        <v>581</v>
      </c>
      <c r="D6" t="s">
        <v>580</v>
      </c>
      <c r="E6" t="s">
        <v>443</v>
      </c>
      <c r="F6" t="s">
        <v>338</v>
      </c>
      <c r="G6" t="s">
        <v>344</v>
      </c>
      <c r="H6" s="100">
        <v>44562</v>
      </c>
      <c r="I6" s="100">
        <v>44924</v>
      </c>
      <c r="J6" t="s">
        <v>340</v>
      </c>
      <c r="K6">
        <v>0</v>
      </c>
      <c r="L6" t="s">
        <v>341</v>
      </c>
      <c r="M6" s="103" t="s">
        <v>310</v>
      </c>
      <c r="N6" s="103">
        <f>COUNTIF(Data!$C$2:$C$300,"7.1 Cost Efficiency Strategy")</f>
        <v>15</v>
      </c>
      <c r="O6">
        <f>COUNTIFS($D$2:$D$300,"Corporate Assessment",$J$2:$J$300," Closed")</f>
        <v>0</v>
      </c>
      <c r="P6" s="105">
        <f t="shared" si="0"/>
        <v>0</v>
      </c>
      <c r="Q6">
        <f>COUNTIFS($D$2:$D$300,"Corporate Assessment",$J$2:$J$300," Closed")</f>
        <v>0</v>
      </c>
      <c r="R6">
        <f>COUNTIFS($D$2:$D$300,"Corporate Assessment",$J$2:$J$300," Complete")</f>
        <v>0</v>
      </c>
      <c r="S6">
        <f>COUNTIFS($D$2:$D$300,"Corporate Assessment",$J$2:$J$300," In Progress")</f>
        <v>0</v>
      </c>
      <c r="T6">
        <f>COUNTIFS($D$2:$D$300,"Corporate Assessment",$J$2:$J$300," Not Started")</f>
        <v>0</v>
      </c>
      <c r="U6">
        <f>COUNTIFS($D$2:$D$300,"Corporate Assessment",$J$2:$J$300," Overdue")</f>
        <v>0</v>
      </c>
      <c r="V6" s="112">
        <f t="shared" si="1"/>
        <v>1</v>
      </c>
      <c r="W6" s="112">
        <f t="shared" si="2"/>
        <v>0</v>
      </c>
      <c r="X6" s="107">
        <v>0</v>
      </c>
      <c r="Y6" s="107">
        <v>1</v>
      </c>
    </row>
    <row r="7" spans="1:25" x14ac:dyDescent="0.25">
      <c r="A7">
        <v>387191</v>
      </c>
      <c r="B7" t="s">
        <v>336</v>
      </c>
      <c r="C7" t="s">
        <v>581</v>
      </c>
      <c r="D7" t="s">
        <v>580</v>
      </c>
      <c r="E7" t="s">
        <v>450</v>
      </c>
      <c r="F7" t="s">
        <v>338</v>
      </c>
      <c r="G7" t="s">
        <v>344</v>
      </c>
      <c r="H7" s="100">
        <v>44562</v>
      </c>
      <c r="I7" s="100">
        <v>44924</v>
      </c>
      <c r="J7" t="s">
        <v>340</v>
      </c>
      <c r="K7">
        <v>0</v>
      </c>
      <c r="L7" t="s">
        <v>341</v>
      </c>
      <c r="M7" s="102" t="s">
        <v>314</v>
      </c>
      <c r="N7" s="113">
        <f>COUNTIF(Data!$E$2:$E$300,"Value Creation*")</f>
        <v>8</v>
      </c>
      <c r="O7">
        <f>COUNTIFS($E$2:$E$300,"Value Creation*",$J$2:$J$300," Closed")</f>
        <v>0</v>
      </c>
      <c r="P7" s="105">
        <f t="shared" si="0"/>
        <v>0</v>
      </c>
      <c r="Q7">
        <f>COUNTIFS($E$2:$E$300,"Value Creation*",$J$2:$J$300," Closed")</f>
        <v>0</v>
      </c>
      <c r="R7">
        <f>COUNTIFS($E$2:$E$300,"Value Creation*",$J$2:$J$300," Complete")</f>
        <v>4</v>
      </c>
      <c r="S7">
        <f>COUNTIFS($E$2:$E$300,"Value Creation*",$J$2:$J$300," In Progress")</f>
        <v>0</v>
      </c>
      <c r="T7">
        <f>COUNTIFS($E$2:$E$300,"Value Creation*",$J$2:$J$300," Not Started")</f>
        <v>0</v>
      </c>
      <c r="U7">
        <f>COUNTIFS($E$2:$E$300,"Value Creation*",$J$2:$J$300," Overdue")</f>
        <v>4</v>
      </c>
      <c r="V7" s="112">
        <f t="shared" si="1"/>
        <v>1</v>
      </c>
      <c r="W7" s="112">
        <f t="shared" si="2"/>
        <v>0</v>
      </c>
      <c r="X7" s="108">
        <f>-SIN(P6*2*PI())</f>
        <v>0</v>
      </c>
      <c r="Y7" s="108">
        <f>COS(P6*2*PI())</f>
        <v>1</v>
      </c>
    </row>
    <row r="8" spans="1:25" x14ac:dyDescent="0.25">
      <c r="A8">
        <v>378711</v>
      </c>
      <c r="B8" t="s">
        <v>336</v>
      </c>
      <c r="C8" t="s">
        <v>582</v>
      </c>
      <c r="D8" t="s">
        <v>342</v>
      </c>
      <c r="E8" t="s">
        <v>345</v>
      </c>
      <c r="F8" t="s">
        <v>338</v>
      </c>
      <c r="G8" t="s">
        <v>344</v>
      </c>
      <c r="H8" s="100">
        <v>44849</v>
      </c>
      <c r="I8" s="100">
        <v>44885</v>
      </c>
      <c r="J8" t="s">
        <v>340</v>
      </c>
      <c r="K8">
        <v>0</v>
      </c>
      <c r="L8" t="s">
        <v>341</v>
      </c>
      <c r="M8" s="102" t="s">
        <v>311</v>
      </c>
      <c r="N8" s="113">
        <f>COUNTIF(Data!$E$2:$E$300,"Cost Intelligent Hub*")</f>
        <v>3</v>
      </c>
      <c r="O8">
        <f>COUNTIFS($E$2:$E$300,"Cost Intelligent Hub*",$J$2:$J$300," Closed")</f>
        <v>0</v>
      </c>
      <c r="P8" s="105">
        <f t="shared" si="0"/>
        <v>0</v>
      </c>
      <c r="Q8">
        <f>COUNTIFS($E$2:$E$300,"Cost Intelligent Hub*",$J$2:$J$300," Closed")</f>
        <v>0</v>
      </c>
      <c r="R8">
        <f>COUNTIFS($E$2:$E$300,"Cost Intelligent Hub*",$J$2:$J$300," Complete")</f>
        <v>2</v>
      </c>
      <c r="S8">
        <f>COUNTIFS($E$2:$E$300,"Cost Intelligent Hub*",$J$2:$J$300," In Progress")</f>
        <v>0</v>
      </c>
      <c r="T8">
        <f>COUNTIFS($E$2:$E$300,"Cost Intelligent Hub*",$J$2:$J$300," Not Started")</f>
        <v>0</v>
      </c>
      <c r="U8">
        <f>COUNTIFS($E$2:$E$300,"Cost Intelligent Hub*",$J$2:$J$300," Overdue")</f>
        <v>1</v>
      </c>
      <c r="V8" s="112">
        <f t="shared" si="1"/>
        <v>1</v>
      </c>
      <c r="W8" s="112">
        <f t="shared" si="2"/>
        <v>0</v>
      </c>
      <c r="X8" s="107" t="s">
        <v>318</v>
      </c>
      <c r="Y8" s="107" t="s">
        <v>319</v>
      </c>
    </row>
    <row r="9" spans="1:25" x14ac:dyDescent="0.25">
      <c r="A9">
        <v>387209</v>
      </c>
      <c r="B9" t="s">
        <v>336</v>
      </c>
      <c r="C9" t="s">
        <v>581</v>
      </c>
      <c r="D9" t="s">
        <v>580</v>
      </c>
      <c r="E9" t="s">
        <v>444</v>
      </c>
      <c r="F9" t="s">
        <v>338</v>
      </c>
      <c r="G9" t="s">
        <v>344</v>
      </c>
      <c r="H9" s="100">
        <v>44562</v>
      </c>
      <c r="I9" s="100">
        <v>44924</v>
      </c>
      <c r="J9" t="s">
        <v>340</v>
      </c>
      <c r="K9">
        <v>0</v>
      </c>
      <c r="L9" t="s">
        <v>341</v>
      </c>
      <c r="M9" s="102" t="s">
        <v>91</v>
      </c>
      <c r="N9" s="113">
        <f>COUNTIF(Data!$E$2:$E$300,"Culture Creation*")</f>
        <v>4</v>
      </c>
      <c r="O9">
        <f>COUNTIFS($E$2:$E$300,"Culture Creation*",$J$2:$J$300," Closed")</f>
        <v>0</v>
      </c>
      <c r="P9" s="105">
        <f t="shared" si="0"/>
        <v>0</v>
      </c>
      <c r="Q9">
        <f>COUNTIFS($E$2:$E$300,"Culture Creation*",$J$2:$J$300," Closed")</f>
        <v>0</v>
      </c>
      <c r="R9">
        <f>COUNTIFS($E$2:$E$300,"Culture Creation*",$J$2:$J$300," Complete")</f>
        <v>1</v>
      </c>
      <c r="S9">
        <f>COUNTIFS($E$2:$E$300,"Culture Creation*",$J$2:$J$300," In Progress")</f>
        <v>0</v>
      </c>
      <c r="T9">
        <f>COUNTIFS($E$2:$E$300,"Culture Creation*",$J$2:$J$300," Not Started")</f>
        <v>0</v>
      </c>
      <c r="U9">
        <f>COUNTIFS($E$2:$E$300,"Culture Creation*",$J$2:$J$300," Overdue")</f>
        <v>3</v>
      </c>
      <c r="V9" s="112">
        <f t="shared" si="1"/>
        <v>1</v>
      </c>
      <c r="W9" s="112">
        <f t="shared" si="2"/>
        <v>0</v>
      </c>
      <c r="X9" s="107">
        <v>0</v>
      </c>
      <c r="Y9" s="107">
        <v>1</v>
      </c>
    </row>
    <row r="10" spans="1:25" x14ac:dyDescent="0.25">
      <c r="A10">
        <v>378712</v>
      </c>
      <c r="B10" t="s">
        <v>336</v>
      </c>
      <c r="C10" t="s">
        <v>582</v>
      </c>
      <c r="D10" t="s">
        <v>342</v>
      </c>
      <c r="E10" t="s">
        <v>460</v>
      </c>
      <c r="F10" t="s">
        <v>338</v>
      </c>
      <c r="G10" t="s">
        <v>344</v>
      </c>
      <c r="H10" s="100">
        <v>44896</v>
      </c>
      <c r="I10" s="100">
        <v>44926</v>
      </c>
      <c r="J10" t="s">
        <v>340</v>
      </c>
      <c r="K10">
        <v>0</v>
      </c>
      <c r="L10" t="s">
        <v>341</v>
      </c>
      <c r="M10" s="103" t="s">
        <v>25</v>
      </c>
      <c r="N10" s="103">
        <f>COUNTIF(Data!$C$2:$C$300,"7.1 Sustainability Strategy")</f>
        <v>27</v>
      </c>
      <c r="O10">
        <f>COUNTIFS($D$2:$D$300,"Business Review",$J$2:$J$300," Closed")</f>
        <v>0</v>
      </c>
      <c r="P10" s="105">
        <f t="shared" si="0"/>
        <v>0</v>
      </c>
      <c r="Q10">
        <f>COUNTIFS($D$2:$D$300,"Business Review",$J$2:$J$300," Closed")</f>
        <v>0</v>
      </c>
      <c r="R10">
        <f>COUNTIFS($D$2:$D$300,"Business Review",$J$2:$J$300," Complete")</f>
        <v>0</v>
      </c>
      <c r="S10">
        <f>COUNTIFS($D$2:$D$300,"Business Review",$J$2:$J$300," In Progress")</f>
        <v>0</v>
      </c>
      <c r="T10">
        <f>COUNTIFS($D$2:$D$300,"Business Review",$J$2:$J$300," Not Started")</f>
        <v>0</v>
      </c>
      <c r="U10">
        <f>COUNTIFS($D$2:$D$300,"Business Review",$J$2:$J$300," Overdue")</f>
        <v>0</v>
      </c>
      <c r="V10" s="112">
        <f t="shared" si="1"/>
        <v>1</v>
      </c>
      <c r="W10" s="112">
        <f t="shared" si="2"/>
        <v>0</v>
      </c>
      <c r="X10" s="108">
        <f>-SIN(P10*2*PI())</f>
        <v>0</v>
      </c>
      <c r="Y10" s="108">
        <f>COS(P10*2*PI())</f>
        <v>1</v>
      </c>
    </row>
    <row r="11" spans="1:25" x14ac:dyDescent="0.25">
      <c r="A11">
        <v>387211</v>
      </c>
      <c r="B11" t="s">
        <v>336</v>
      </c>
      <c r="C11" t="s">
        <v>581</v>
      </c>
      <c r="D11" t="s">
        <v>580</v>
      </c>
      <c r="E11" t="s">
        <v>446</v>
      </c>
      <c r="F11" t="s">
        <v>338</v>
      </c>
      <c r="G11" t="s">
        <v>344</v>
      </c>
      <c r="H11" s="100">
        <v>44562</v>
      </c>
      <c r="I11" s="100">
        <v>44924</v>
      </c>
      <c r="J11" t="s">
        <v>340</v>
      </c>
      <c r="K11">
        <v>0</v>
      </c>
      <c r="L11" t="s">
        <v>341</v>
      </c>
      <c r="M11" s="102" t="s">
        <v>572</v>
      </c>
      <c r="N11" s="113">
        <f>COUNTIF(Data!$E$2:$E$300,"Environmental Stewardship*")</f>
        <v>23</v>
      </c>
      <c r="O11">
        <f>COUNTIFS($E$2:$E$300,"Environmental Stewardship*",$J$2:$J$300," Closed")</f>
        <v>0</v>
      </c>
      <c r="P11" s="105">
        <f t="shared" si="0"/>
        <v>0</v>
      </c>
      <c r="Q11">
        <f>COUNTIFS($E$2:$E$300,"Environmental Stewardship*",$J$2:$J$300," Closed")</f>
        <v>0</v>
      </c>
      <c r="R11">
        <f>COUNTIFS($E$2:$E$300,"Environmental Stewardship*",$J$2:$J$300," Complete")</f>
        <v>0</v>
      </c>
      <c r="S11">
        <f>COUNTIFS($E$2:$E$300,"Environmental Stewardship*",$J$2:$J$300," In Progress")</f>
        <v>14</v>
      </c>
      <c r="T11">
        <f>COUNTIFS($E$2:$E$300,"Environmental Stewardship*",$J$2:$J$300," Not Started")</f>
        <v>6</v>
      </c>
      <c r="U11">
        <f>COUNTIFS($E$2:$E$300,"Environmental Stewardship*",$J$2:$J$300," Overdue")</f>
        <v>3</v>
      </c>
      <c r="V11" s="112">
        <f t="shared" si="1"/>
        <v>1</v>
      </c>
      <c r="W11" s="112">
        <f t="shared" si="2"/>
        <v>0</v>
      </c>
      <c r="X11" s="107" t="s">
        <v>318</v>
      </c>
      <c r="Y11" s="107" t="s">
        <v>319</v>
      </c>
    </row>
    <row r="12" spans="1:25" x14ac:dyDescent="0.25">
      <c r="A12">
        <v>387203</v>
      </c>
      <c r="B12" t="s">
        <v>336</v>
      </c>
      <c r="C12" t="s">
        <v>581</v>
      </c>
      <c r="D12" t="s">
        <v>580</v>
      </c>
      <c r="E12" t="s">
        <v>543</v>
      </c>
      <c r="F12" t="s">
        <v>338</v>
      </c>
      <c r="G12" t="s">
        <v>344</v>
      </c>
      <c r="H12" s="100">
        <v>44562</v>
      </c>
      <c r="I12" s="100">
        <v>44924</v>
      </c>
      <c r="J12" t="s">
        <v>340</v>
      </c>
      <c r="K12">
        <v>0</v>
      </c>
      <c r="L12" t="s">
        <v>341</v>
      </c>
      <c r="M12" s="102" t="s">
        <v>571</v>
      </c>
      <c r="N12" s="113">
        <f>COUNTIF(Data!$E$2:$E$300,"Production &amp; Integrity*")</f>
        <v>4</v>
      </c>
      <c r="O12">
        <f>COUNTIFS($E$2:$E$300,"Production &amp; Integrity*",$J$2:$J$300," Closed")</f>
        <v>0</v>
      </c>
      <c r="P12" s="105">
        <f t="shared" si="0"/>
        <v>0</v>
      </c>
      <c r="Q12">
        <f>COUNTIFS($E$2:$E$300,"Production &amp; Integrity*",$J$2:$J$300," Closed")</f>
        <v>0</v>
      </c>
      <c r="R12">
        <f>COUNTIFS($E$2:$E$300,"Production &amp; Integrity*",$J$2:$J$300," Complete")</f>
        <v>0</v>
      </c>
      <c r="S12">
        <f>COUNTIFS($E$2:$E$300,"Production &amp; Integrity*",$J$2:$J$300," In Progress")</f>
        <v>3</v>
      </c>
      <c r="T12">
        <f>COUNTIFS($E$2:$E$300,"Production &amp; Integrity*",$J$2:$J$300," Not Started")</f>
        <v>0</v>
      </c>
      <c r="U12">
        <f>COUNTIFS($E$2:$E$300,"Production &amp; Integrity*",$J$2:$J$300," Overdue")</f>
        <v>1</v>
      </c>
      <c r="V12" s="112">
        <f t="shared" si="1"/>
        <v>1</v>
      </c>
      <c r="W12" s="112">
        <f t="shared" si="2"/>
        <v>0</v>
      </c>
      <c r="X12" s="107">
        <v>0</v>
      </c>
      <c r="Y12" s="107">
        <v>1</v>
      </c>
    </row>
    <row r="13" spans="1:25" x14ac:dyDescent="0.25">
      <c r="A13">
        <v>387189</v>
      </c>
      <c r="B13" t="s">
        <v>336</v>
      </c>
      <c r="C13" t="s">
        <v>581</v>
      </c>
      <c r="D13" t="s">
        <v>580</v>
      </c>
      <c r="E13" t="s">
        <v>452</v>
      </c>
      <c r="F13" t="s">
        <v>338</v>
      </c>
      <c r="G13" t="s">
        <v>344</v>
      </c>
      <c r="H13" s="100">
        <v>44562</v>
      </c>
      <c r="I13" s="100">
        <v>44924</v>
      </c>
      <c r="J13" t="s">
        <v>340</v>
      </c>
      <c r="K13">
        <v>0</v>
      </c>
      <c r="L13" t="s">
        <v>341</v>
      </c>
      <c r="M13" s="103" t="s">
        <v>116</v>
      </c>
      <c r="N13" s="103">
        <f>COUNTIF(Data!$C$2:$C$300,"7.1 People Development &amp; Engagement Strategy")</f>
        <v>23</v>
      </c>
      <c r="O13">
        <f>COUNTIFS($D$2:$D$300,"Performance Dialogue",$J$2:$J$300," Closed")</f>
        <v>0</v>
      </c>
      <c r="P13" s="105">
        <f t="shared" si="0"/>
        <v>0</v>
      </c>
      <c r="Q13">
        <f>COUNTIFS($D$2:$D$300,"Performance Dialogue",$J$2:$J$300," Closed")</f>
        <v>0</v>
      </c>
      <c r="R13">
        <f>COUNTIFS($D$2:$D$300,"Performance Dialogue",$J$2:$J$300," Complete")</f>
        <v>0</v>
      </c>
      <c r="S13">
        <f>COUNTIFS($D$2:$D$300,"Performance Dialogue",$J$2:$J$300," In Progress")</f>
        <v>0</v>
      </c>
      <c r="T13">
        <f>COUNTIFS($D$2:$D$300,"Performance Dialogue",$J$2:$J$300," Not Started")</f>
        <v>0</v>
      </c>
      <c r="U13">
        <f>COUNTIFS($D$2:$D$300,"Performance Dialogue",$J$2:$J$300," Overdue")</f>
        <v>0</v>
      </c>
      <c r="V13" s="112">
        <f t="shared" si="1"/>
        <v>1</v>
      </c>
      <c r="W13" s="112">
        <f t="shared" si="2"/>
        <v>0</v>
      </c>
      <c r="X13" s="108">
        <f>-SIN(P13*2*PI())</f>
        <v>0</v>
      </c>
      <c r="Y13" s="108">
        <f>COS(P13*2*PI())</f>
        <v>1</v>
      </c>
    </row>
    <row r="14" spans="1:25" x14ac:dyDescent="0.25">
      <c r="A14">
        <v>378703</v>
      </c>
      <c r="B14" t="s">
        <v>336</v>
      </c>
      <c r="C14" t="s">
        <v>582</v>
      </c>
      <c r="D14" t="s">
        <v>342</v>
      </c>
      <c r="E14" t="s">
        <v>352</v>
      </c>
      <c r="F14" t="s">
        <v>338</v>
      </c>
      <c r="G14" t="s">
        <v>344</v>
      </c>
      <c r="H14" s="100">
        <v>44835</v>
      </c>
      <c r="I14" s="100">
        <v>44926</v>
      </c>
      <c r="J14" t="s">
        <v>340</v>
      </c>
      <c r="K14">
        <v>0</v>
      </c>
      <c r="L14" t="s">
        <v>341</v>
      </c>
      <c r="M14" s="102" t="s">
        <v>574</v>
      </c>
      <c r="N14" s="113">
        <f>COUNTIF(Data!$E$2:$E$300,"Employee Wellbeing*")</f>
        <v>3</v>
      </c>
      <c r="O14">
        <f>COUNTIFS($E$2:$E$300,"Employee Wellbeing*",$J$2:$J$300," Closed")</f>
        <v>0</v>
      </c>
      <c r="P14" s="105">
        <f t="shared" si="0"/>
        <v>0</v>
      </c>
      <c r="Q14">
        <f>COUNTIFS($E$2:$E$300,"Employee Wellbeing*",$J$2:$J$300," Closed")</f>
        <v>0</v>
      </c>
      <c r="R14">
        <f>COUNTIFS($E$2:$E$300,"Employee Wellbeing*",$J$2:$J$300," Complete")</f>
        <v>0</v>
      </c>
      <c r="S14">
        <f>COUNTIFS($E$2:$E$300,"Employee Wellbeing*",$J$2:$J$300," In Progress")</f>
        <v>0</v>
      </c>
      <c r="T14">
        <f>COUNTIFS($E$2:$E$300,"Employee Wellbeing*",$J$2:$J$300," Not Started")</f>
        <v>0</v>
      </c>
      <c r="U14">
        <f>COUNTIFS($E$2:$E$300,"Employee Wellbeing*",$J$2:$J$300," Overdue")</f>
        <v>3</v>
      </c>
      <c r="V14" s="112">
        <f t="shared" si="1"/>
        <v>1</v>
      </c>
      <c r="W14" s="112">
        <f t="shared" si="2"/>
        <v>0</v>
      </c>
      <c r="X14" s="107" t="s">
        <v>318</v>
      </c>
      <c r="Y14" s="107" t="s">
        <v>319</v>
      </c>
    </row>
    <row r="15" spans="1:25" x14ac:dyDescent="0.25">
      <c r="A15">
        <v>387206</v>
      </c>
      <c r="B15" t="s">
        <v>336</v>
      </c>
      <c r="C15" t="s">
        <v>581</v>
      </c>
      <c r="D15" t="s">
        <v>580</v>
      </c>
      <c r="E15" t="s">
        <v>440</v>
      </c>
      <c r="F15" t="s">
        <v>338</v>
      </c>
      <c r="G15" t="s">
        <v>344</v>
      </c>
      <c r="H15" s="100">
        <v>44562</v>
      </c>
      <c r="I15" s="100">
        <v>44924</v>
      </c>
      <c r="J15" t="s">
        <v>340</v>
      </c>
      <c r="K15">
        <v>0</v>
      </c>
      <c r="L15" t="s">
        <v>341</v>
      </c>
      <c r="M15" s="102" t="s">
        <v>274</v>
      </c>
      <c r="N15" s="113">
        <f>COUNTIF(Data!$E$2:$E$300,"T&amp;D Administration &amp; Talents Oversight*")</f>
        <v>12</v>
      </c>
      <c r="O15">
        <f>COUNTIFS($E$2:$E$300,"T&amp;D Administration &amp; Talents Oversight*",$J$2:$J$300," Closed")</f>
        <v>0</v>
      </c>
      <c r="P15" s="105">
        <f t="shared" si="0"/>
        <v>0</v>
      </c>
      <c r="Q15">
        <f>COUNTIFS($E$2:$E$300,"T&amp;D Administration &amp; Talents Oversight*",$J$2:$J$300," Closed")</f>
        <v>0</v>
      </c>
      <c r="R15">
        <f>COUNTIFS($E$2:$E$300,"T&amp;D Administration &amp; Talents Oversight*",$J$2:$J$300," Complete")</f>
        <v>0</v>
      </c>
      <c r="S15">
        <f>COUNTIFS($E$2:$E$300,"T&amp;D Administration &amp; Talents Oversight*",$J$2:$J$300," In Progress")</f>
        <v>0</v>
      </c>
      <c r="T15">
        <f>COUNTIFS($E$2:$E$300,"T&amp;D Administration &amp; Talents Oversight*",$J$2:$J$300," Not Started")</f>
        <v>0</v>
      </c>
      <c r="U15">
        <f>COUNTIFS($E$2:$E$300,"T&amp;D Administration &amp; Talents Oversight*",$J$2:$J$300," Overdue")</f>
        <v>12</v>
      </c>
      <c r="V15" s="112">
        <f t="shared" si="1"/>
        <v>1</v>
      </c>
      <c r="W15" s="112">
        <f t="shared" si="2"/>
        <v>0</v>
      </c>
      <c r="X15" s="107">
        <v>0</v>
      </c>
      <c r="Y15" s="107">
        <v>1</v>
      </c>
    </row>
    <row r="16" spans="1:25" x14ac:dyDescent="0.25">
      <c r="A16">
        <v>387187</v>
      </c>
      <c r="B16" t="s">
        <v>336</v>
      </c>
      <c r="C16" t="s">
        <v>581</v>
      </c>
      <c r="D16" t="s">
        <v>580</v>
      </c>
      <c r="E16" t="s">
        <v>448</v>
      </c>
      <c r="F16" t="s">
        <v>338</v>
      </c>
      <c r="G16" t="s">
        <v>344</v>
      </c>
      <c r="H16" s="100">
        <v>44197</v>
      </c>
      <c r="I16" s="100">
        <v>44924</v>
      </c>
      <c r="J16" t="s">
        <v>340</v>
      </c>
      <c r="K16">
        <v>0</v>
      </c>
      <c r="L16" t="s">
        <v>341</v>
      </c>
      <c r="M16" s="102" t="s">
        <v>573</v>
      </c>
      <c r="N16" s="113">
        <f>COUNTIF(Data!$E$2:$E$300,"Employee Performance &amp; Engagement*")</f>
        <v>8</v>
      </c>
      <c r="O16">
        <f>COUNTIFS($E$2:$E$300,"Employee Performance &amp; Engagement*",$J$2:$J$300," Closed")</f>
        <v>0</v>
      </c>
      <c r="P16" s="105">
        <f t="shared" si="0"/>
        <v>0</v>
      </c>
      <c r="Q16">
        <f>COUNTIFS($E$2:$E$300,"Employee Performance &amp; Engagement*",$J$2:$J$300," Closed")</f>
        <v>0</v>
      </c>
      <c r="R16">
        <f>COUNTIFS($E$2:$E$300,"Employee Performance &amp; Engagement*",$J$2:$J$300," Complete")</f>
        <v>0</v>
      </c>
      <c r="S16">
        <f>COUNTIFS($E$2:$E$300,"Employee Performance &amp; Engagement*",$J$2:$J$300," In Progress")</f>
        <v>0</v>
      </c>
      <c r="T16">
        <f>COUNTIFS($E$2:$E$300,"Employee Performance &amp; Engagement*",$J$2:$J$300," Not Started")</f>
        <v>0</v>
      </c>
      <c r="U16">
        <f>COUNTIFS($E$2:$E$300,"Employee Performance &amp; Engagement*",$J$2:$J$300," Overdue")</f>
        <v>8</v>
      </c>
      <c r="V16" s="112">
        <f t="shared" si="1"/>
        <v>1</v>
      </c>
      <c r="W16" s="112">
        <f t="shared" si="2"/>
        <v>0</v>
      </c>
      <c r="X16" s="108">
        <f>-SIN(P17*2*PI())</f>
        <v>0</v>
      </c>
      <c r="Y16" s="108">
        <f>COS(P17*2*PI())</f>
        <v>1</v>
      </c>
    </row>
    <row r="17" spans="1:25" x14ac:dyDescent="0.25">
      <c r="A17">
        <v>387188</v>
      </c>
      <c r="B17" t="s">
        <v>336</v>
      </c>
      <c r="C17" t="s">
        <v>581</v>
      </c>
      <c r="D17" t="s">
        <v>580</v>
      </c>
      <c r="E17" t="s">
        <v>449</v>
      </c>
      <c r="F17" t="s">
        <v>338</v>
      </c>
      <c r="G17" t="s">
        <v>344</v>
      </c>
      <c r="H17" s="100">
        <v>44562</v>
      </c>
      <c r="I17" s="100">
        <v>44924</v>
      </c>
      <c r="J17" t="s">
        <v>340</v>
      </c>
      <c r="K17">
        <v>0</v>
      </c>
      <c r="L17" t="s">
        <v>341</v>
      </c>
      <c r="M17" s="103" t="s">
        <v>114</v>
      </c>
      <c r="N17" s="103">
        <f>COUNTIF(Data!$C$2:$C$300,"7.1 Digitization Strategy")</f>
        <v>78</v>
      </c>
      <c r="O17">
        <f>COUNTIFS($D$2:$D$300,"Quality Assurance",$J$2:$J$300," Closed")</f>
        <v>0</v>
      </c>
      <c r="P17" s="105">
        <f t="shared" si="0"/>
        <v>0</v>
      </c>
      <c r="Q17">
        <f>COUNTIFS($D$2:$D$300,"Quality Assurance",$J$2:$J$300," Closed")</f>
        <v>0</v>
      </c>
      <c r="R17">
        <f>COUNTIFS($D$2:$D$300,"Quality Assurance",$J$2:$J$300," Complete")</f>
        <v>0</v>
      </c>
      <c r="S17">
        <f>COUNTIFS($D$2:$D$300,"Quality Assurance",$J$2:$J$300," In Progress")</f>
        <v>0</v>
      </c>
      <c r="T17">
        <f>COUNTIFS($D$2:$D$300,"Quality Assurance",$J$2:$J$300," Not Started")</f>
        <v>0</v>
      </c>
      <c r="U17">
        <f>COUNTIFS($D$2:$D$300,"Quality Assurance",$J$2:$J$300," Overdue")</f>
        <v>0</v>
      </c>
      <c r="V17" s="112">
        <f t="shared" si="1"/>
        <v>1</v>
      </c>
      <c r="W17" s="112">
        <f t="shared" si="2"/>
        <v>0</v>
      </c>
      <c r="X17" s="107" t="s">
        <v>318</v>
      </c>
      <c r="Y17" s="107" t="s">
        <v>319</v>
      </c>
    </row>
    <row r="18" spans="1:25" x14ac:dyDescent="0.25">
      <c r="A18">
        <v>387193</v>
      </c>
      <c r="B18" t="s">
        <v>336</v>
      </c>
      <c r="C18" t="s">
        <v>581</v>
      </c>
      <c r="D18" t="s">
        <v>580</v>
      </c>
      <c r="E18" t="s">
        <v>454</v>
      </c>
      <c r="F18" t="s">
        <v>338</v>
      </c>
      <c r="G18" t="s">
        <v>344</v>
      </c>
      <c r="H18" s="100">
        <v>44562</v>
      </c>
      <c r="I18" s="100">
        <v>44924</v>
      </c>
      <c r="J18" t="s">
        <v>340</v>
      </c>
      <c r="K18">
        <v>0</v>
      </c>
      <c r="L18" t="s">
        <v>341</v>
      </c>
      <c r="M18" s="102" t="s">
        <v>566</v>
      </c>
      <c r="N18" s="113">
        <f>COUNTIF(Data!$E$2:$E$300,"Production Optimization*")</f>
        <v>20</v>
      </c>
      <c r="O18">
        <f>COUNTIFS($E$2:$E$300,"Production Optimization*",$J$2:$J$300," Closed")</f>
        <v>1</v>
      </c>
      <c r="P18" s="105">
        <f t="shared" si="0"/>
        <v>0.05</v>
      </c>
      <c r="Q18">
        <f>COUNTIFS($E$2:$E$300,"Production Optimization*",$J$2:$J$300," Closed")</f>
        <v>1</v>
      </c>
      <c r="R18">
        <f>COUNTIFS($E$2:$E$300,"Production Optimization*",$J$2:$J$300," Complete")</f>
        <v>7</v>
      </c>
      <c r="S18">
        <f>COUNTIFS($E$2:$E$300,"Production Optimization*",$J$2:$J$300," In Progress")</f>
        <v>5</v>
      </c>
      <c r="T18">
        <f>COUNTIFS($E$2:$E$300,"Production Optimization*",$J$2:$J$300," Not Started")</f>
        <v>2</v>
      </c>
      <c r="U18">
        <f>COUNTIFS($E$2:$E$300,"Production Optimization*",$J$2:$J$300," Overdue")</f>
        <v>5</v>
      </c>
      <c r="V18" s="112">
        <f t="shared" si="1"/>
        <v>0.95</v>
      </c>
      <c r="W18" s="112">
        <f t="shared" si="2"/>
        <v>0.05</v>
      </c>
      <c r="X18" s="107">
        <v>0</v>
      </c>
      <c r="Y18" s="107">
        <v>1</v>
      </c>
    </row>
    <row r="19" spans="1:25" x14ac:dyDescent="0.25">
      <c r="A19">
        <v>378709</v>
      </c>
      <c r="B19" t="s">
        <v>336</v>
      </c>
      <c r="C19" t="s">
        <v>582</v>
      </c>
      <c r="D19" t="s">
        <v>342</v>
      </c>
      <c r="E19" t="s">
        <v>354</v>
      </c>
      <c r="F19" t="s">
        <v>338</v>
      </c>
      <c r="G19" t="s">
        <v>344</v>
      </c>
      <c r="H19" s="100">
        <v>44774</v>
      </c>
      <c r="I19" s="100">
        <v>44926</v>
      </c>
      <c r="J19" t="s">
        <v>340</v>
      </c>
      <c r="K19">
        <v>0</v>
      </c>
      <c r="L19" t="s">
        <v>341</v>
      </c>
      <c r="M19" s="102" t="s">
        <v>567</v>
      </c>
      <c r="N19" s="113">
        <f>COUNTIF(Data!$E$2:$E$300,"Administrative Compliance Tools*")</f>
        <v>25</v>
      </c>
      <c r="O19">
        <f>COUNTIFS($E$2:$E$300,"Administrative Compliance Tools*",$J$2:$J$300," Closed")</f>
        <v>1</v>
      </c>
      <c r="P19" s="105">
        <f t="shared" si="0"/>
        <v>0.04</v>
      </c>
      <c r="Q19">
        <f>COUNTIFS($E$2:$E$300,"Administrative Compliance Tools*",$J$2:$J$300," Closed")</f>
        <v>1</v>
      </c>
      <c r="R19">
        <f>COUNTIFS($E$2:$E$300,"Administrative Compliance Tools*",$J$2:$J$300," Complete")</f>
        <v>13</v>
      </c>
      <c r="S19">
        <f>COUNTIFS($E$2:$E$300,"Administrative Compliance Tools*",$J$2:$J$300," In Progress")</f>
        <v>5</v>
      </c>
      <c r="T19">
        <f>COUNTIFS($E$2:$E$300,"Administrative Compliance Tools*",$J$2:$J$300," Not Started")</f>
        <v>0</v>
      </c>
      <c r="U19">
        <f>COUNTIFS($E$2:$E$300,"Administrative Compliance Tools*",$J$2:$J$300," Overdue")</f>
        <v>6</v>
      </c>
      <c r="V19" s="112">
        <f t="shared" si="1"/>
        <v>0.96</v>
      </c>
      <c r="W19" s="112">
        <f t="shared" si="2"/>
        <v>0.04</v>
      </c>
      <c r="X19" s="108">
        <f>-SIN(P23*2*PI())</f>
        <v>-8.8070804661626714E-2</v>
      </c>
      <c r="Y19" s="108">
        <f>COS(P23*2*PI())</f>
        <v>0.99611421702847591</v>
      </c>
    </row>
    <row r="20" spans="1:25" x14ac:dyDescent="0.25">
      <c r="A20">
        <v>378710</v>
      </c>
      <c r="B20" t="s">
        <v>336</v>
      </c>
      <c r="C20" t="s">
        <v>582</v>
      </c>
      <c r="D20" t="s">
        <v>342</v>
      </c>
      <c r="E20" t="s">
        <v>346</v>
      </c>
      <c r="F20" t="s">
        <v>338</v>
      </c>
      <c r="G20" t="s">
        <v>344</v>
      </c>
      <c r="H20" s="100">
        <v>44835</v>
      </c>
      <c r="I20" s="100">
        <v>44895</v>
      </c>
      <c r="J20" t="s">
        <v>340</v>
      </c>
      <c r="K20">
        <v>0</v>
      </c>
      <c r="L20" t="s">
        <v>341</v>
      </c>
      <c r="M20" s="102" t="s">
        <v>568</v>
      </c>
      <c r="N20" s="113">
        <f>COUNTIF(Data!$E$2:$E$300,"Remote Assistance &amp; Virtual*")</f>
        <v>6</v>
      </c>
      <c r="O20">
        <f>COUNTIFS($E$2:$E$300,"Remote Assistance &amp; Virtual*",$J$2:$J$300," Closed")</f>
        <v>0</v>
      </c>
      <c r="P20" s="105">
        <f t="shared" si="0"/>
        <v>0</v>
      </c>
      <c r="Q20">
        <f>COUNTIFS($E$2:$E$300,"Remote Assistance &amp; Virtual*",$J$2:$J$300," Closed")</f>
        <v>0</v>
      </c>
      <c r="R20">
        <f>COUNTIFS($E$2:$E$300,"Remote Assistance &amp; Virtual*",$J$2:$J$300," Complete")</f>
        <v>3</v>
      </c>
      <c r="S20">
        <f>COUNTIFS($E$2:$E$300,"Remote Assistance &amp; Virtual*",$J$2:$J$300," In Progress")</f>
        <v>1</v>
      </c>
      <c r="T20">
        <f>COUNTIFS($E$2:$E$300,"Remote Assistance &amp; Virtual*",$J$2:$J$300," Not Started")</f>
        <v>0</v>
      </c>
      <c r="U20">
        <f>COUNTIFS($E$2:$E$300,"Remote Assistance &amp; Virtual*",$J$2:$J$300," Overdue")</f>
        <v>2</v>
      </c>
      <c r="V20" s="112">
        <f t="shared" si="1"/>
        <v>1</v>
      </c>
      <c r="W20" s="112">
        <f t="shared" si="2"/>
        <v>0</v>
      </c>
      <c r="X20" s="107"/>
      <c r="Y20" s="107"/>
    </row>
    <row r="21" spans="1:25" x14ac:dyDescent="0.25">
      <c r="A21">
        <v>387202</v>
      </c>
      <c r="B21" t="s">
        <v>336</v>
      </c>
      <c r="C21" t="s">
        <v>581</v>
      </c>
      <c r="D21" t="s">
        <v>580</v>
      </c>
      <c r="E21" t="s">
        <v>447</v>
      </c>
      <c r="F21" t="s">
        <v>338</v>
      </c>
      <c r="G21" t="s">
        <v>344</v>
      </c>
      <c r="H21" s="100">
        <v>44562</v>
      </c>
      <c r="I21" s="100">
        <v>44924</v>
      </c>
      <c r="J21" t="s">
        <v>340</v>
      </c>
      <c r="K21">
        <v>0</v>
      </c>
      <c r="L21" t="s">
        <v>341</v>
      </c>
      <c r="M21" s="102" t="s">
        <v>569</v>
      </c>
      <c r="N21" s="113">
        <f>COUNTIF(Data!$E$2:$E$300,"Data Validity/Reliability*")</f>
        <v>7</v>
      </c>
      <c r="O21">
        <f>COUNTIFS($E$2:$E$300,"Data Validity/Reliability*",$J$2:$J$300," Closed")</f>
        <v>0</v>
      </c>
      <c r="P21" s="105">
        <f t="shared" si="0"/>
        <v>0</v>
      </c>
      <c r="Q21">
        <f>COUNTIFS($E$2:$E$300,"Data Validity/Reliability*",$J$2:$J$300," Closed")</f>
        <v>0</v>
      </c>
      <c r="R21">
        <f>COUNTIFS($E$2:$E$300,"Data Validity/Reliability*",$J$2:$J$300," Complete")</f>
        <v>5</v>
      </c>
      <c r="S21">
        <f>COUNTIFS($E$2:$E$300,"Data Validity/Reliability*",$J$2:$J$300," In Progress")</f>
        <v>2</v>
      </c>
      <c r="T21">
        <f>COUNTIFS($E$2:$E$300,"Data Validity/Reliability*",$J$2:$J$300," Not Started")</f>
        <v>0</v>
      </c>
      <c r="U21">
        <f>COUNTIFS($E$2:$E$300,"Data Validity/Reliability*",$J$2:$J$300," Overdue")</f>
        <v>0</v>
      </c>
      <c r="V21" s="112">
        <f t="shared" si="1"/>
        <v>1</v>
      </c>
      <c r="W21" s="112">
        <f t="shared" si="2"/>
        <v>0</v>
      </c>
      <c r="X21" s="107"/>
      <c r="Y21" s="107"/>
    </row>
    <row r="22" spans="1:25" x14ac:dyDescent="0.25">
      <c r="A22">
        <v>378706</v>
      </c>
      <c r="B22" t="s">
        <v>336</v>
      </c>
      <c r="C22" t="s">
        <v>582</v>
      </c>
      <c r="D22" t="s">
        <v>342</v>
      </c>
      <c r="E22" t="s">
        <v>465</v>
      </c>
      <c r="F22" t="s">
        <v>338</v>
      </c>
      <c r="G22" t="s">
        <v>344</v>
      </c>
      <c r="H22" s="100">
        <v>44927</v>
      </c>
      <c r="I22" s="100">
        <v>44957</v>
      </c>
      <c r="J22" t="s">
        <v>340</v>
      </c>
      <c r="K22">
        <v>0</v>
      </c>
      <c r="L22" t="s">
        <v>341</v>
      </c>
      <c r="M22" s="102" t="s">
        <v>570</v>
      </c>
      <c r="N22" s="113">
        <f>COUNTIF(Data!$E$2:$E$300,"Well Integrity Assurance*")</f>
        <v>18</v>
      </c>
      <c r="O22">
        <f>COUNTIFS($E$2:$E$300,"Well Integrity Assurance*",$J$2:$J$300," Closed")</f>
        <v>0</v>
      </c>
      <c r="P22" s="105">
        <f t="shared" si="0"/>
        <v>0</v>
      </c>
      <c r="Q22">
        <f>COUNTIFS($E$2:$E$300,"Well Integrity Assurance*",$J$2:$J$300," Closed")</f>
        <v>0</v>
      </c>
      <c r="R22">
        <f>COUNTIFS($E$2:$E$300,"Well Integrity Assurance*",$J$2:$J$300," Complete")</f>
        <v>10</v>
      </c>
      <c r="S22">
        <f>COUNTIFS($E$2:$E$300,"Well Integrity Assurance*",$J$2:$J$300," In Progress")</f>
        <v>3</v>
      </c>
      <c r="T22">
        <f>COUNTIFS($E$2:$E$300,"Well Integrity Assurance*",$J$2:$J$300," Not Started")</f>
        <v>1</v>
      </c>
      <c r="U22">
        <f>COUNTIFS($E$2:$E$300,"Well Integrity Assurance*",$J$2:$J$300," Overdue")</f>
        <v>4</v>
      </c>
      <c r="V22" s="112">
        <f t="shared" si="1"/>
        <v>1</v>
      </c>
      <c r="W22" s="112">
        <f t="shared" si="2"/>
        <v>0</v>
      </c>
      <c r="X22" s="107"/>
      <c r="Y22" s="107"/>
    </row>
    <row r="23" spans="1:25" x14ac:dyDescent="0.25">
      <c r="A23">
        <v>387207</v>
      </c>
      <c r="B23" t="s">
        <v>336</v>
      </c>
      <c r="C23" t="s">
        <v>581</v>
      </c>
      <c r="D23" t="s">
        <v>580</v>
      </c>
      <c r="E23" t="s">
        <v>442</v>
      </c>
      <c r="F23" t="s">
        <v>338</v>
      </c>
      <c r="G23" t="s">
        <v>344</v>
      </c>
      <c r="H23" s="100">
        <v>44562</v>
      </c>
      <c r="I23" s="100">
        <v>44924</v>
      </c>
      <c r="J23" t="s">
        <v>340</v>
      </c>
      <c r="K23">
        <v>0</v>
      </c>
      <c r="L23" t="s">
        <v>341</v>
      </c>
      <c r="M23" s="110" t="s">
        <v>320</v>
      </c>
      <c r="N23" s="111">
        <f>SUM(N2,N6,N10,N13,N17)</f>
        <v>200</v>
      </c>
      <c r="O23" s="130">
        <f>SUM(O2,O6,O10,O13,O17)</f>
        <v>4</v>
      </c>
      <c r="P23" s="112">
        <f>AVERAGE(P2,P6,P10,P13,P17)</f>
        <v>1.4035087719298244E-2</v>
      </c>
      <c r="Q23" s="130">
        <f>SUM(Q2,Q6,Q10,Q13,Q17)</f>
        <v>4</v>
      </c>
      <c r="R23" s="111">
        <f>SUM(R2,R6,R10,R13,R17)</f>
        <v>0</v>
      </c>
      <c r="S23" s="111">
        <f>SUM(S2,S6,S10,S13,S17)</f>
        <v>0</v>
      </c>
      <c r="T23" s="111">
        <f>SUM(T2,T6,T10,T13,T17)</f>
        <v>13</v>
      </c>
      <c r="U23" s="111">
        <f>SUM(U2,U6,U10,U13,U17)</f>
        <v>40</v>
      </c>
      <c r="V23" s="112">
        <f>1-W23</f>
        <v>0.98596491228070171</v>
      </c>
      <c r="W23" s="112">
        <f t="shared" si="2"/>
        <v>1.4035087719298244E-2</v>
      </c>
      <c r="X23" s="109"/>
      <c r="Y23" s="109"/>
    </row>
    <row r="24" spans="1:25" x14ac:dyDescent="0.25">
      <c r="A24">
        <v>387185</v>
      </c>
      <c r="B24" t="s">
        <v>336</v>
      </c>
      <c r="C24" t="s">
        <v>581</v>
      </c>
      <c r="D24" t="s">
        <v>580</v>
      </c>
      <c r="E24" t="s">
        <v>455</v>
      </c>
      <c r="F24" t="s">
        <v>338</v>
      </c>
      <c r="G24" t="s">
        <v>344</v>
      </c>
      <c r="H24" s="100">
        <v>44562</v>
      </c>
      <c r="I24" s="100">
        <v>44924</v>
      </c>
      <c r="J24" t="s">
        <v>340</v>
      </c>
      <c r="K24">
        <v>0</v>
      </c>
      <c r="L24" t="s">
        <v>341</v>
      </c>
      <c r="X24" s="107"/>
      <c r="Y24" s="107"/>
    </row>
    <row r="25" spans="1:25" x14ac:dyDescent="0.25">
      <c r="A25">
        <v>387186</v>
      </c>
      <c r="B25" t="s">
        <v>336</v>
      </c>
      <c r="C25" t="s">
        <v>581</v>
      </c>
      <c r="D25" t="s">
        <v>580</v>
      </c>
      <c r="E25" t="s">
        <v>583</v>
      </c>
      <c r="F25" t="s">
        <v>338</v>
      </c>
      <c r="G25" t="s">
        <v>344</v>
      </c>
      <c r="H25" s="100">
        <v>44562</v>
      </c>
      <c r="I25" s="100">
        <v>44924</v>
      </c>
      <c r="J25" t="s">
        <v>340</v>
      </c>
      <c r="K25">
        <v>0</v>
      </c>
      <c r="L25" t="s">
        <v>341</v>
      </c>
    </row>
    <row r="26" spans="1:25" x14ac:dyDescent="0.25">
      <c r="A26">
        <v>378707</v>
      </c>
      <c r="B26" t="s">
        <v>336</v>
      </c>
      <c r="C26" t="s">
        <v>582</v>
      </c>
      <c r="D26" t="s">
        <v>342</v>
      </c>
      <c r="E26" t="s">
        <v>467</v>
      </c>
      <c r="F26" t="s">
        <v>338</v>
      </c>
      <c r="G26" t="s">
        <v>344</v>
      </c>
      <c r="H26" s="100">
        <v>44927</v>
      </c>
      <c r="I26" s="100">
        <v>44957</v>
      </c>
      <c r="J26" t="s">
        <v>340</v>
      </c>
      <c r="K26">
        <v>0</v>
      </c>
      <c r="L26" t="s">
        <v>341</v>
      </c>
    </row>
    <row r="27" spans="1:25" x14ac:dyDescent="0.25">
      <c r="A27">
        <v>378713</v>
      </c>
      <c r="B27" t="s">
        <v>336</v>
      </c>
      <c r="C27" t="s">
        <v>582</v>
      </c>
      <c r="D27" t="s">
        <v>342</v>
      </c>
      <c r="E27" t="s">
        <v>471</v>
      </c>
      <c r="F27" t="s">
        <v>338</v>
      </c>
      <c r="G27" t="s">
        <v>344</v>
      </c>
      <c r="H27" s="100">
        <v>44896</v>
      </c>
      <c r="I27" s="100">
        <v>44957</v>
      </c>
      <c r="J27" t="s">
        <v>340</v>
      </c>
      <c r="K27">
        <v>0</v>
      </c>
      <c r="L27" t="s">
        <v>341</v>
      </c>
    </row>
    <row r="28" spans="1:25" x14ac:dyDescent="0.25">
      <c r="A28">
        <v>387192</v>
      </c>
      <c r="B28" t="s">
        <v>336</v>
      </c>
      <c r="C28" t="s">
        <v>581</v>
      </c>
      <c r="D28" t="s">
        <v>580</v>
      </c>
      <c r="E28" t="s">
        <v>451</v>
      </c>
      <c r="F28" t="s">
        <v>338</v>
      </c>
      <c r="G28" t="s">
        <v>344</v>
      </c>
      <c r="H28" s="100">
        <v>44562</v>
      </c>
      <c r="I28" s="100">
        <v>44924</v>
      </c>
      <c r="J28" t="s">
        <v>340</v>
      </c>
      <c r="K28">
        <v>0</v>
      </c>
      <c r="L28" t="s">
        <v>341</v>
      </c>
    </row>
    <row r="29" spans="1:25" x14ac:dyDescent="0.25">
      <c r="A29">
        <v>387184</v>
      </c>
      <c r="B29" t="s">
        <v>336</v>
      </c>
      <c r="C29" t="s">
        <v>581</v>
      </c>
      <c r="D29" t="s">
        <v>580</v>
      </c>
      <c r="E29" t="s">
        <v>563</v>
      </c>
      <c r="F29" t="s">
        <v>338</v>
      </c>
      <c r="G29" t="s">
        <v>344</v>
      </c>
      <c r="H29" s="100">
        <v>44562</v>
      </c>
      <c r="I29" s="100">
        <v>44896</v>
      </c>
      <c r="J29" t="s">
        <v>340</v>
      </c>
      <c r="K29">
        <v>0</v>
      </c>
      <c r="L29" t="s">
        <v>341</v>
      </c>
    </row>
    <row r="30" spans="1:25" x14ac:dyDescent="0.25">
      <c r="A30">
        <v>387190</v>
      </c>
      <c r="B30" t="s">
        <v>336</v>
      </c>
      <c r="C30" t="s">
        <v>581</v>
      </c>
      <c r="D30" t="s">
        <v>580</v>
      </c>
      <c r="E30" t="s">
        <v>453</v>
      </c>
      <c r="F30" t="s">
        <v>338</v>
      </c>
      <c r="G30" t="s">
        <v>344</v>
      </c>
      <c r="H30" s="100">
        <v>44562</v>
      </c>
      <c r="I30" s="100">
        <v>44924</v>
      </c>
      <c r="J30" t="s">
        <v>340</v>
      </c>
      <c r="K30">
        <v>0</v>
      </c>
      <c r="L30" t="s">
        <v>341</v>
      </c>
    </row>
    <row r="31" spans="1:25" x14ac:dyDescent="0.25">
      <c r="A31">
        <v>387239</v>
      </c>
      <c r="B31" t="s">
        <v>336</v>
      </c>
      <c r="C31" t="s">
        <v>579</v>
      </c>
      <c r="D31" t="s">
        <v>580</v>
      </c>
      <c r="E31" t="s">
        <v>502</v>
      </c>
      <c r="F31" t="s">
        <v>338</v>
      </c>
      <c r="G31" t="s">
        <v>503</v>
      </c>
      <c r="H31" s="100">
        <v>44568</v>
      </c>
      <c r="I31" s="100">
        <v>44840</v>
      </c>
      <c r="J31" t="s">
        <v>340</v>
      </c>
      <c r="K31">
        <v>0</v>
      </c>
      <c r="L31" t="s">
        <v>341</v>
      </c>
    </row>
    <row r="32" spans="1:25" x14ac:dyDescent="0.25">
      <c r="A32">
        <v>381856</v>
      </c>
      <c r="B32" t="s">
        <v>336</v>
      </c>
      <c r="C32" t="s">
        <v>582</v>
      </c>
      <c r="D32" t="s">
        <v>342</v>
      </c>
      <c r="E32" t="s">
        <v>355</v>
      </c>
      <c r="F32" t="s">
        <v>338</v>
      </c>
      <c r="G32" t="s">
        <v>356</v>
      </c>
      <c r="H32" s="100">
        <v>44835</v>
      </c>
      <c r="I32" s="100">
        <v>44926</v>
      </c>
      <c r="J32" t="s">
        <v>340</v>
      </c>
      <c r="K32">
        <v>0</v>
      </c>
      <c r="L32" t="s">
        <v>341</v>
      </c>
    </row>
    <row r="33" spans="1:12" x14ac:dyDescent="0.25">
      <c r="A33">
        <v>381859</v>
      </c>
      <c r="B33" t="s">
        <v>336</v>
      </c>
      <c r="C33" t="s">
        <v>582</v>
      </c>
      <c r="D33" t="s">
        <v>342</v>
      </c>
      <c r="E33" t="s">
        <v>357</v>
      </c>
      <c r="F33" t="s">
        <v>338</v>
      </c>
      <c r="G33" t="s">
        <v>356</v>
      </c>
      <c r="H33" s="100">
        <v>44835</v>
      </c>
      <c r="I33" s="100">
        <v>44926</v>
      </c>
      <c r="J33" t="s">
        <v>340</v>
      </c>
      <c r="K33">
        <v>0</v>
      </c>
      <c r="L33" t="s">
        <v>341</v>
      </c>
    </row>
    <row r="34" spans="1:12" x14ac:dyDescent="0.25">
      <c r="A34">
        <v>381860</v>
      </c>
      <c r="B34" t="s">
        <v>336</v>
      </c>
      <c r="C34" t="s">
        <v>582</v>
      </c>
      <c r="D34" t="s">
        <v>342</v>
      </c>
      <c r="E34" t="s">
        <v>358</v>
      </c>
      <c r="F34" t="s">
        <v>338</v>
      </c>
      <c r="G34" t="s">
        <v>356</v>
      </c>
      <c r="H34" s="100">
        <v>44835</v>
      </c>
      <c r="I34" s="100">
        <v>44926</v>
      </c>
      <c r="J34" t="s">
        <v>340</v>
      </c>
      <c r="K34">
        <v>0</v>
      </c>
      <c r="L34" t="s">
        <v>341</v>
      </c>
    </row>
    <row r="35" spans="1:12" x14ac:dyDescent="0.25">
      <c r="A35">
        <v>381863</v>
      </c>
      <c r="B35" t="s">
        <v>336</v>
      </c>
      <c r="C35" t="s">
        <v>582</v>
      </c>
      <c r="D35" t="s">
        <v>342</v>
      </c>
      <c r="E35" t="s">
        <v>359</v>
      </c>
      <c r="F35" t="s">
        <v>338</v>
      </c>
      <c r="G35" t="s">
        <v>356</v>
      </c>
      <c r="H35" s="100">
        <v>44866</v>
      </c>
      <c r="I35" s="100">
        <v>44926</v>
      </c>
      <c r="J35" t="s">
        <v>340</v>
      </c>
      <c r="K35">
        <v>0</v>
      </c>
      <c r="L35" t="s">
        <v>341</v>
      </c>
    </row>
    <row r="36" spans="1:12" x14ac:dyDescent="0.25">
      <c r="A36">
        <v>381857</v>
      </c>
      <c r="B36" t="s">
        <v>336</v>
      </c>
      <c r="C36" t="s">
        <v>582</v>
      </c>
      <c r="D36" t="s">
        <v>342</v>
      </c>
      <c r="E36" t="s">
        <v>360</v>
      </c>
      <c r="F36" t="s">
        <v>338</v>
      </c>
      <c r="G36" t="s">
        <v>356</v>
      </c>
      <c r="H36" s="100">
        <v>44835</v>
      </c>
      <c r="I36" s="100">
        <v>44926</v>
      </c>
      <c r="J36" t="s">
        <v>340</v>
      </c>
      <c r="K36">
        <v>0</v>
      </c>
      <c r="L36" t="s">
        <v>341</v>
      </c>
    </row>
    <row r="37" spans="1:12" x14ac:dyDescent="0.25">
      <c r="A37">
        <v>381858</v>
      </c>
      <c r="B37" t="s">
        <v>336</v>
      </c>
      <c r="C37" t="s">
        <v>582</v>
      </c>
      <c r="D37" t="s">
        <v>342</v>
      </c>
      <c r="E37" t="s">
        <v>361</v>
      </c>
      <c r="F37" t="s">
        <v>338</v>
      </c>
      <c r="G37" t="s">
        <v>356</v>
      </c>
      <c r="H37" s="100">
        <v>44835</v>
      </c>
      <c r="I37" s="100">
        <v>44926</v>
      </c>
      <c r="J37" t="s">
        <v>340</v>
      </c>
      <c r="K37">
        <v>0</v>
      </c>
      <c r="L37" t="s">
        <v>341</v>
      </c>
    </row>
    <row r="38" spans="1:12" x14ac:dyDescent="0.25">
      <c r="A38">
        <v>381861</v>
      </c>
      <c r="B38" t="s">
        <v>336</v>
      </c>
      <c r="C38" t="s">
        <v>582</v>
      </c>
      <c r="D38" t="s">
        <v>342</v>
      </c>
      <c r="E38" t="s">
        <v>362</v>
      </c>
      <c r="F38" t="s">
        <v>338</v>
      </c>
      <c r="G38" t="s">
        <v>356</v>
      </c>
      <c r="H38" s="100">
        <v>44835</v>
      </c>
      <c r="I38" s="100">
        <v>44926</v>
      </c>
      <c r="J38" t="s">
        <v>340</v>
      </c>
      <c r="K38">
        <v>0</v>
      </c>
      <c r="L38" t="s">
        <v>341</v>
      </c>
    </row>
    <row r="39" spans="1:12" x14ac:dyDescent="0.25">
      <c r="A39">
        <v>381862</v>
      </c>
      <c r="B39" t="s">
        <v>336</v>
      </c>
      <c r="C39" t="s">
        <v>582</v>
      </c>
      <c r="D39" t="s">
        <v>342</v>
      </c>
      <c r="E39" t="s">
        <v>363</v>
      </c>
      <c r="F39" t="s">
        <v>338</v>
      </c>
      <c r="G39" t="s">
        <v>356</v>
      </c>
      <c r="H39" s="100">
        <v>44866</v>
      </c>
      <c r="I39" s="100">
        <v>44926</v>
      </c>
      <c r="J39" t="s">
        <v>340</v>
      </c>
      <c r="K39">
        <v>0</v>
      </c>
      <c r="L39" t="s">
        <v>341</v>
      </c>
    </row>
    <row r="40" spans="1:12" x14ac:dyDescent="0.25">
      <c r="A40">
        <v>387269</v>
      </c>
      <c r="B40" t="s">
        <v>336</v>
      </c>
      <c r="C40" t="s">
        <v>584</v>
      </c>
      <c r="D40" t="s">
        <v>580</v>
      </c>
      <c r="E40" t="s">
        <v>505</v>
      </c>
      <c r="F40" t="s">
        <v>338</v>
      </c>
      <c r="G40" t="s">
        <v>365</v>
      </c>
      <c r="H40" s="100">
        <v>44774</v>
      </c>
      <c r="I40" s="100">
        <v>44865</v>
      </c>
      <c r="J40" t="s">
        <v>340</v>
      </c>
      <c r="K40">
        <v>0</v>
      </c>
      <c r="L40" t="s">
        <v>341</v>
      </c>
    </row>
    <row r="41" spans="1:12" x14ac:dyDescent="0.25">
      <c r="A41">
        <v>387242</v>
      </c>
      <c r="B41" t="s">
        <v>336</v>
      </c>
      <c r="C41" t="s">
        <v>579</v>
      </c>
      <c r="D41" t="s">
        <v>580</v>
      </c>
      <c r="E41" t="s">
        <v>506</v>
      </c>
      <c r="F41" t="s">
        <v>338</v>
      </c>
      <c r="G41" t="s">
        <v>507</v>
      </c>
      <c r="H41" s="100">
        <v>44749</v>
      </c>
      <c r="I41" s="100">
        <v>44865</v>
      </c>
      <c r="J41" t="s">
        <v>340</v>
      </c>
      <c r="K41">
        <v>0</v>
      </c>
      <c r="L41" t="s">
        <v>341</v>
      </c>
    </row>
    <row r="42" spans="1:12" x14ac:dyDescent="0.25">
      <c r="A42">
        <v>387243</v>
      </c>
      <c r="B42" t="s">
        <v>336</v>
      </c>
      <c r="C42" t="s">
        <v>579</v>
      </c>
      <c r="D42" t="s">
        <v>580</v>
      </c>
      <c r="E42" t="s">
        <v>508</v>
      </c>
      <c r="F42" t="s">
        <v>338</v>
      </c>
      <c r="G42" t="s">
        <v>509</v>
      </c>
      <c r="H42" s="100">
        <v>44718</v>
      </c>
      <c r="I42" s="100">
        <v>44890</v>
      </c>
      <c r="J42" t="s">
        <v>340</v>
      </c>
      <c r="K42">
        <v>0</v>
      </c>
      <c r="L42" t="s">
        <v>341</v>
      </c>
    </row>
    <row r="43" spans="1:12" x14ac:dyDescent="0.25">
      <c r="A43">
        <v>387238</v>
      </c>
      <c r="B43" t="s">
        <v>336</v>
      </c>
      <c r="C43" t="s">
        <v>579</v>
      </c>
      <c r="D43" t="s">
        <v>580</v>
      </c>
      <c r="E43" t="s">
        <v>367</v>
      </c>
      <c r="F43" t="s">
        <v>338</v>
      </c>
      <c r="G43" t="s">
        <v>368</v>
      </c>
      <c r="H43" s="100">
        <v>44780</v>
      </c>
      <c r="I43" s="100">
        <v>44926</v>
      </c>
      <c r="J43" t="s">
        <v>340</v>
      </c>
      <c r="K43">
        <v>0</v>
      </c>
      <c r="L43" t="s">
        <v>341</v>
      </c>
    </row>
    <row r="44" spans="1:12" x14ac:dyDescent="0.25">
      <c r="A44">
        <v>378729</v>
      </c>
      <c r="B44" t="s">
        <v>336</v>
      </c>
      <c r="C44" t="s">
        <v>582</v>
      </c>
      <c r="D44" t="s">
        <v>342</v>
      </c>
      <c r="E44" t="s">
        <v>369</v>
      </c>
      <c r="F44" t="s">
        <v>338</v>
      </c>
      <c r="G44" t="s">
        <v>370</v>
      </c>
      <c r="H44" s="100">
        <v>44835</v>
      </c>
      <c r="I44" s="100">
        <v>44926</v>
      </c>
      <c r="J44" t="s">
        <v>340</v>
      </c>
      <c r="K44">
        <v>0</v>
      </c>
      <c r="L44" t="s">
        <v>341</v>
      </c>
    </row>
    <row r="45" spans="1:12" x14ac:dyDescent="0.25">
      <c r="A45">
        <v>378727</v>
      </c>
      <c r="B45" t="s">
        <v>336</v>
      </c>
      <c r="C45" t="s">
        <v>582</v>
      </c>
      <c r="D45" t="s">
        <v>342</v>
      </c>
      <c r="E45" t="s">
        <v>371</v>
      </c>
      <c r="F45" t="s">
        <v>338</v>
      </c>
      <c r="G45" t="s">
        <v>370</v>
      </c>
      <c r="H45" s="100">
        <v>44774</v>
      </c>
      <c r="I45" s="100">
        <v>44925</v>
      </c>
      <c r="J45" t="s">
        <v>340</v>
      </c>
      <c r="K45">
        <v>0</v>
      </c>
      <c r="L45" t="s">
        <v>341</v>
      </c>
    </row>
    <row r="46" spans="1:12" x14ac:dyDescent="0.25">
      <c r="A46">
        <v>381866</v>
      </c>
      <c r="B46" t="s">
        <v>336</v>
      </c>
      <c r="C46" t="s">
        <v>582</v>
      </c>
      <c r="D46" t="s">
        <v>342</v>
      </c>
      <c r="E46" t="s">
        <v>372</v>
      </c>
      <c r="F46" t="s">
        <v>338</v>
      </c>
      <c r="G46" t="s">
        <v>373</v>
      </c>
      <c r="H46" s="100">
        <v>44866</v>
      </c>
      <c r="I46" s="100">
        <v>44926</v>
      </c>
      <c r="J46" t="s">
        <v>340</v>
      </c>
      <c r="K46">
        <v>0</v>
      </c>
      <c r="L46" t="s">
        <v>341</v>
      </c>
    </row>
    <row r="47" spans="1:12" x14ac:dyDescent="0.25">
      <c r="A47">
        <v>381864</v>
      </c>
      <c r="B47" t="s">
        <v>336</v>
      </c>
      <c r="C47" t="s">
        <v>582</v>
      </c>
      <c r="D47" t="s">
        <v>342</v>
      </c>
      <c r="E47" t="s">
        <v>374</v>
      </c>
      <c r="F47" t="s">
        <v>338</v>
      </c>
      <c r="G47" t="s">
        <v>373</v>
      </c>
      <c r="H47" s="100">
        <v>44866</v>
      </c>
      <c r="I47" s="100">
        <v>44926</v>
      </c>
      <c r="J47" t="s">
        <v>340</v>
      </c>
      <c r="K47">
        <v>0</v>
      </c>
      <c r="L47" t="s">
        <v>341</v>
      </c>
    </row>
    <row r="48" spans="1:12" x14ac:dyDescent="0.25">
      <c r="A48">
        <v>381868</v>
      </c>
      <c r="B48" t="s">
        <v>336</v>
      </c>
      <c r="C48" t="s">
        <v>582</v>
      </c>
      <c r="D48" t="s">
        <v>342</v>
      </c>
      <c r="E48" t="s">
        <v>375</v>
      </c>
      <c r="F48" t="s">
        <v>338</v>
      </c>
      <c r="G48" t="s">
        <v>373</v>
      </c>
      <c r="H48" s="100">
        <v>44866</v>
      </c>
      <c r="I48" s="100">
        <v>44926</v>
      </c>
      <c r="J48" t="s">
        <v>340</v>
      </c>
      <c r="K48">
        <v>0</v>
      </c>
      <c r="L48" t="s">
        <v>341</v>
      </c>
    </row>
    <row r="49" spans="1:12" x14ac:dyDescent="0.25">
      <c r="A49">
        <v>381865</v>
      </c>
      <c r="B49" t="s">
        <v>336</v>
      </c>
      <c r="C49" t="s">
        <v>582</v>
      </c>
      <c r="D49" t="s">
        <v>342</v>
      </c>
      <c r="E49" t="s">
        <v>376</v>
      </c>
      <c r="F49" t="s">
        <v>338</v>
      </c>
      <c r="G49" t="s">
        <v>373</v>
      </c>
      <c r="H49" s="100">
        <v>44866</v>
      </c>
      <c r="I49" s="100">
        <v>44926</v>
      </c>
      <c r="J49" t="s">
        <v>340</v>
      </c>
      <c r="K49">
        <v>0</v>
      </c>
      <c r="L49" t="s">
        <v>341</v>
      </c>
    </row>
    <row r="50" spans="1:12" x14ac:dyDescent="0.25">
      <c r="A50">
        <v>381869</v>
      </c>
      <c r="B50" t="s">
        <v>336</v>
      </c>
      <c r="C50" t="s">
        <v>582</v>
      </c>
      <c r="D50" t="s">
        <v>342</v>
      </c>
      <c r="E50" t="s">
        <v>377</v>
      </c>
      <c r="F50" t="s">
        <v>338</v>
      </c>
      <c r="G50" t="s">
        <v>373</v>
      </c>
      <c r="H50" s="100">
        <v>44866</v>
      </c>
      <c r="I50" s="100">
        <v>44926</v>
      </c>
      <c r="J50" t="s">
        <v>340</v>
      </c>
      <c r="K50">
        <v>0</v>
      </c>
      <c r="L50" t="s">
        <v>341</v>
      </c>
    </row>
    <row r="51" spans="1:12" x14ac:dyDescent="0.25">
      <c r="A51">
        <v>381867</v>
      </c>
      <c r="B51" t="s">
        <v>336</v>
      </c>
      <c r="C51" t="s">
        <v>582</v>
      </c>
      <c r="D51" t="s">
        <v>342</v>
      </c>
      <c r="E51" t="s">
        <v>378</v>
      </c>
      <c r="F51" t="s">
        <v>338</v>
      </c>
      <c r="G51" t="s">
        <v>373</v>
      </c>
      <c r="H51" s="100">
        <v>44866</v>
      </c>
      <c r="I51" s="100">
        <v>44926</v>
      </c>
      <c r="J51" t="s">
        <v>340</v>
      </c>
      <c r="K51">
        <v>0</v>
      </c>
      <c r="L51" t="s">
        <v>341</v>
      </c>
    </row>
    <row r="52" spans="1:12" x14ac:dyDescent="0.25">
      <c r="A52">
        <v>387272</v>
      </c>
      <c r="B52" t="s">
        <v>336</v>
      </c>
      <c r="C52" t="s">
        <v>584</v>
      </c>
      <c r="D52" t="s">
        <v>580</v>
      </c>
      <c r="E52" t="s">
        <v>379</v>
      </c>
      <c r="F52" t="s">
        <v>338</v>
      </c>
      <c r="G52" t="s">
        <v>380</v>
      </c>
      <c r="H52" s="100">
        <v>44835</v>
      </c>
      <c r="I52" s="100">
        <v>44957</v>
      </c>
      <c r="J52" t="s">
        <v>340</v>
      </c>
      <c r="K52">
        <v>0</v>
      </c>
      <c r="L52" t="s">
        <v>341</v>
      </c>
    </row>
    <row r="53" spans="1:12" x14ac:dyDescent="0.25">
      <c r="A53">
        <v>378734</v>
      </c>
      <c r="B53" t="s">
        <v>336</v>
      </c>
      <c r="C53" t="s">
        <v>582</v>
      </c>
      <c r="D53" t="s">
        <v>342</v>
      </c>
      <c r="E53" t="s">
        <v>381</v>
      </c>
      <c r="F53" t="s">
        <v>338</v>
      </c>
      <c r="G53" t="s">
        <v>382</v>
      </c>
      <c r="H53" s="100">
        <v>44836</v>
      </c>
      <c r="I53" s="100">
        <v>44926</v>
      </c>
      <c r="J53" t="s">
        <v>340</v>
      </c>
      <c r="K53">
        <v>0</v>
      </c>
      <c r="L53" t="s">
        <v>341</v>
      </c>
    </row>
    <row r="54" spans="1:12" x14ac:dyDescent="0.25">
      <c r="A54">
        <v>378730</v>
      </c>
      <c r="B54" t="s">
        <v>336</v>
      </c>
      <c r="C54" t="s">
        <v>582</v>
      </c>
      <c r="D54" t="s">
        <v>342</v>
      </c>
      <c r="E54" t="s">
        <v>383</v>
      </c>
      <c r="F54" t="s">
        <v>338</v>
      </c>
      <c r="G54" t="s">
        <v>382</v>
      </c>
      <c r="H54" s="100">
        <v>44836</v>
      </c>
      <c r="I54" s="100">
        <v>44926</v>
      </c>
      <c r="J54" t="s">
        <v>340</v>
      </c>
      <c r="K54">
        <v>0</v>
      </c>
      <c r="L54" t="s">
        <v>341</v>
      </c>
    </row>
    <row r="55" spans="1:12" x14ac:dyDescent="0.25">
      <c r="A55">
        <v>378737</v>
      </c>
      <c r="B55" t="s">
        <v>336</v>
      </c>
      <c r="C55" t="s">
        <v>582</v>
      </c>
      <c r="D55" t="s">
        <v>342</v>
      </c>
      <c r="E55" t="s">
        <v>384</v>
      </c>
      <c r="F55" t="s">
        <v>338</v>
      </c>
      <c r="G55" t="s">
        <v>382</v>
      </c>
      <c r="H55" s="100">
        <v>44836</v>
      </c>
      <c r="I55" s="100">
        <v>44926</v>
      </c>
      <c r="J55" t="s">
        <v>340</v>
      </c>
      <c r="K55">
        <v>0</v>
      </c>
      <c r="L55" t="s">
        <v>341</v>
      </c>
    </row>
    <row r="56" spans="1:12" x14ac:dyDescent="0.25">
      <c r="A56">
        <v>378739</v>
      </c>
      <c r="B56" t="s">
        <v>336</v>
      </c>
      <c r="C56" t="s">
        <v>582</v>
      </c>
      <c r="D56" t="s">
        <v>342</v>
      </c>
      <c r="E56" t="s">
        <v>385</v>
      </c>
      <c r="F56" t="s">
        <v>338</v>
      </c>
      <c r="G56" t="s">
        <v>382</v>
      </c>
      <c r="H56" s="100">
        <v>44836</v>
      </c>
      <c r="I56" s="100">
        <v>44926</v>
      </c>
      <c r="J56" t="s">
        <v>340</v>
      </c>
      <c r="K56">
        <v>0</v>
      </c>
      <c r="L56" t="s">
        <v>341</v>
      </c>
    </row>
    <row r="57" spans="1:12" x14ac:dyDescent="0.25">
      <c r="A57">
        <v>378732</v>
      </c>
      <c r="B57" t="s">
        <v>336</v>
      </c>
      <c r="C57" t="s">
        <v>582</v>
      </c>
      <c r="D57" t="s">
        <v>342</v>
      </c>
      <c r="E57" t="s">
        <v>386</v>
      </c>
      <c r="F57" t="s">
        <v>338</v>
      </c>
      <c r="G57" t="s">
        <v>382</v>
      </c>
      <c r="H57" s="100">
        <v>44836</v>
      </c>
      <c r="I57" s="100">
        <v>44926</v>
      </c>
      <c r="J57" t="s">
        <v>340</v>
      </c>
      <c r="K57">
        <v>0</v>
      </c>
      <c r="L57" t="s">
        <v>341</v>
      </c>
    </row>
    <row r="58" spans="1:12" x14ac:dyDescent="0.25">
      <c r="A58">
        <v>378746</v>
      </c>
      <c r="B58" t="s">
        <v>336</v>
      </c>
      <c r="C58" t="s">
        <v>582</v>
      </c>
      <c r="D58" t="s">
        <v>342</v>
      </c>
      <c r="E58" t="s">
        <v>387</v>
      </c>
      <c r="F58" t="s">
        <v>338</v>
      </c>
      <c r="G58" t="s">
        <v>382</v>
      </c>
      <c r="H58" s="100">
        <v>44836</v>
      </c>
      <c r="I58" s="100">
        <v>44926</v>
      </c>
      <c r="J58" t="s">
        <v>340</v>
      </c>
      <c r="K58">
        <v>0</v>
      </c>
      <c r="L58" t="s">
        <v>341</v>
      </c>
    </row>
    <row r="59" spans="1:12" x14ac:dyDescent="0.25">
      <c r="A59">
        <v>378731</v>
      </c>
      <c r="B59" t="s">
        <v>336</v>
      </c>
      <c r="C59" t="s">
        <v>582</v>
      </c>
      <c r="D59" t="s">
        <v>342</v>
      </c>
      <c r="E59" t="s">
        <v>388</v>
      </c>
      <c r="F59" t="s">
        <v>338</v>
      </c>
      <c r="G59" t="s">
        <v>382</v>
      </c>
      <c r="H59" s="100">
        <v>44836</v>
      </c>
      <c r="I59" s="100">
        <v>44926</v>
      </c>
      <c r="J59" t="s">
        <v>340</v>
      </c>
      <c r="K59">
        <v>0</v>
      </c>
      <c r="L59" t="s">
        <v>341</v>
      </c>
    </row>
    <row r="60" spans="1:12" x14ac:dyDescent="0.25">
      <c r="A60">
        <v>378736</v>
      </c>
      <c r="B60" t="s">
        <v>336</v>
      </c>
      <c r="C60" t="s">
        <v>582</v>
      </c>
      <c r="D60" t="s">
        <v>342</v>
      </c>
      <c r="E60" t="s">
        <v>389</v>
      </c>
      <c r="F60" t="s">
        <v>338</v>
      </c>
      <c r="G60" t="s">
        <v>382</v>
      </c>
      <c r="H60" s="100">
        <v>44836</v>
      </c>
      <c r="I60" s="100">
        <v>44926</v>
      </c>
      <c r="J60" t="s">
        <v>340</v>
      </c>
      <c r="K60">
        <v>0</v>
      </c>
      <c r="L60" t="s">
        <v>341</v>
      </c>
    </row>
    <row r="61" spans="1:12" x14ac:dyDescent="0.25">
      <c r="A61">
        <v>378735</v>
      </c>
      <c r="B61" t="s">
        <v>336</v>
      </c>
      <c r="C61" t="s">
        <v>582</v>
      </c>
      <c r="D61" t="s">
        <v>342</v>
      </c>
      <c r="E61" t="s">
        <v>390</v>
      </c>
      <c r="F61" t="s">
        <v>338</v>
      </c>
      <c r="G61" t="s">
        <v>382</v>
      </c>
      <c r="H61" s="100">
        <v>44836</v>
      </c>
      <c r="I61" s="100">
        <v>44926</v>
      </c>
      <c r="J61" t="s">
        <v>340</v>
      </c>
      <c r="K61">
        <v>0</v>
      </c>
      <c r="L61" t="s">
        <v>341</v>
      </c>
    </row>
    <row r="62" spans="1:12" x14ac:dyDescent="0.25">
      <c r="A62">
        <v>378738</v>
      </c>
      <c r="B62" t="s">
        <v>336</v>
      </c>
      <c r="C62" t="s">
        <v>582</v>
      </c>
      <c r="D62" t="s">
        <v>342</v>
      </c>
      <c r="E62" t="s">
        <v>391</v>
      </c>
      <c r="F62" t="s">
        <v>338</v>
      </c>
      <c r="G62" t="s">
        <v>382</v>
      </c>
      <c r="H62" s="100">
        <v>44836</v>
      </c>
      <c r="I62" s="100">
        <v>44926</v>
      </c>
      <c r="J62" t="s">
        <v>340</v>
      </c>
      <c r="K62">
        <v>0</v>
      </c>
      <c r="L62" t="s">
        <v>341</v>
      </c>
    </row>
    <row r="63" spans="1:12" x14ac:dyDescent="0.25">
      <c r="A63">
        <v>378745</v>
      </c>
      <c r="B63" t="s">
        <v>336</v>
      </c>
      <c r="C63" t="s">
        <v>582</v>
      </c>
      <c r="D63" t="s">
        <v>342</v>
      </c>
      <c r="E63" t="s">
        <v>392</v>
      </c>
      <c r="F63" t="s">
        <v>338</v>
      </c>
      <c r="G63" t="s">
        <v>382</v>
      </c>
      <c r="H63" s="100">
        <v>44836</v>
      </c>
      <c r="I63" s="100">
        <v>44926</v>
      </c>
      <c r="J63" t="s">
        <v>340</v>
      </c>
      <c r="K63">
        <v>0</v>
      </c>
      <c r="L63" t="s">
        <v>341</v>
      </c>
    </row>
    <row r="64" spans="1:12" x14ac:dyDescent="0.25">
      <c r="A64">
        <v>378748</v>
      </c>
      <c r="B64" t="s">
        <v>336</v>
      </c>
      <c r="C64" t="s">
        <v>582</v>
      </c>
      <c r="D64" t="s">
        <v>342</v>
      </c>
      <c r="E64" t="s">
        <v>393</v>
      </c>
      <c r="F64" t="s">
        <v>338</v>
      </c>
      <c r="G64" t="s">
        <v>382</v>
      </c>
      <c r="H64" s="100">
        <v>44836</v>
      </c>
      <c r="I64" s="100">
        <v>44926</v>
      </c>
      <c r="J64" t="s">
        <v>340</v>
      </c>
      <c r="K64">
        <v>0</v>
      </c>
      <c r="L64" t="s">
        <v>341</v>
      </c>
    </row>
    <row r="65" spans="1:12" x14ac:dyDescent="0.25">
      <c r="A65">
        <v>378742</v>
      </c>
      <c r="B65" t="s">
        <v>336</v>
      </c>
      <c r="C65" t="s">
        <v>582</v>
      </c>
      <c r="D65" t="s">
        <v>342</v>
      </c>
      <c r="E65" t="s">
        <v>394</v>
      </c>
      <c r="F65" t="s">
        <v>338</v>
      </c>
      <c r="G65" t="s">
        <v>382</v>
      </c>
      <c r="H65" s="100">
        <v>44836</v>
      </c>
      <c r="I65" s="100">
        <v>44926</v>
      </c>
      <c r="J65" t="s">
        <v>340</v>
      </c>
      <c r="K65">
        <v>0</v>
      </c>
      <c r="L65" t="s">
        <v>341</v>
      </c>
    </row>
    <row r="66" spans="1:12" x14ac:dyDescent="0.25">
      <c r="A66">
        <v>387270</v>
      </c>
      <c r="B66" t="s">
        <v>336</v>
      </c>
      <c r="C66" t="s">
        <v>584</v>
      </c>
      <c r="D66" t="s">
        <v>580</v>
      </c>
      <c r="E66" t="s">
        <v>517</v>
      </c>
      <c r="F66" t="s">
        <v>338</v>
      </c>
      <c r="G66" t="s">
        <v>396</v>
      </c>
      <c r="H66" s="100">
        <v>44562</v>
      </c>
      <c r="I66" s="100">
        <v>44834</v>
      </c>
      <c r="J66" t="s">
        <v>340</v>
      </c>
      <c r="K66">
        <v>0</v>
      </c>
      <c r="L66" t="s">
        <v>341</v>
      </c>
    </row>
    <row r="67" spans="1:12" x14ac:dyDescent="0.25">
      <c r="A67">
        <v>378728</v>
      </c>
      <c r="B67" t="s">
        <v>336</v>
      </c>
      <c r="C67" t="s">
        <v>582</v>
      </c>
      <c r="D67" t="s">
        <v>342</v>
      </c>
      <c r="E67" t="s">
        <v>398</v>
      </c>
      <c r="F67" t="s">
        <v>338</v>
      </c>
      <c r="G67" t="s">
        <v>399</v>
      </c>
      <c r="H67" s="100">
        <v>44835</v>
      </c>
      <c r="I67" s="100">
        <v>44926</v>
      </c>
      <c r="J67" t="s">
        <v>340</v>
      </c>
      <c r="K67">
        <v>0</v>
      </c>
      <c r="L67" t="s">
        <v>341</v>
      </c>
    </row>
    <row r="68" spans="1:12" x14ac:dyDescent="0.25">
      <c r="A68">
        <v>387259</v>
      </c>
      <c r="B68" t="s">
        <v>336</v>
      </c>
      <c r="C68" t="s">
        <v>585</v>
      </c>
      <c r="D68" t="s">
        <v>580</v>
      </c>
      <c r="E68" t="s">
        <v>406</v>
      </c>
      <c r="F68" t="s">
        <v>338</v>
      </c>
      <c r="G68" t="s">
        <v>401</v>
      </c>
      <c r="H68" s="100">
        <v>44562</v>
      </c>
      <c r="I68" s="100">
        <v>44926</v>
      </c>
      <c r="J68" t="s">
        <v>340</v>
      </c>
      <c r="K68">
        <v>0</v>
      </c>
      <c r="L68" t="s">
        <v>341</v>
      </c>
    </row>
    <row r="69" spans="1:12" x14ac:dyDescent="0.25">
      <c r="A69">
        <v>387262</v>
      </c>
      <c r="B69" t="s">
        <v>336</v>
      </c>
      <c r="C69" t="s">
        <v>585</v>
      </c>
      <c r="D69" t="s">
        <v>580</v>
      </c>
      <c r="E69" t="s">
        <v>407</v>
      </c>
      <c r="F69" t="s">
        <v>338</v>
      </c>
      <c r="G69" t="s">
        <v>401</v>
      </c>
      <c r="H69" s="100">
        <v>44562</v>
      </c>
      <c r="I69" s="100">
        <v>44926</v>
      </c>
      <c r="J69" t="s">
        <v>340</v>
      </c>
      <c r="K69">
        <v>0</v>
      </c>
      <c r="L69" t="s">
        <v>341</v>
      </c>
    </row>
    <row r="70" spans="1:12" x14ac:dyDescent="0.25">
      <c r="A70">
        <v>387263</v>
      </c>
      <c r="B70" t="s">
        <v>336</v>
      </c>
      <c r="C70" t="s">
        <v>585</v>
      </c>
      <c r="D70" t="s">
        <v>580</v>
      </c>
      <c r="E70" t="s">
        <v>408</v>
      </c>
      <c r="F70" t="s">
        <v>338</v>
      </c>
      <c r="G70" t="s">
        <v>401</v>
      </c>
      <c r="H70" s="100">
        <v>44562</v>
      </c>
      <c r="I70" s="100">
        <v>44926</v>
      </c>
      <c r="J70" t="s">
        <v>340</v>
      </c>
      <c r="K70">
        <v>0</v>
      </c>
      <c r="L70" t="s">
        <v>341</v>
      </c>
    </row>
    <row r="71" spans="1:12" x14ac:dyDescent="0.25">
      <c r="A71">
        <v>387264</v>
      </c>
      <c r="B71" t="s">
        <v>336</v>
      </c>
      <c r="C71" t="s">
        <v>585</v>
      </c>
      <c r="D71" t="s">
        <v>580</v>
      </c>
      <c r="E71" t="s">
        <v>411</v>
      </c>
      <c r="F71" t="s">
        <v>338</v>
      </c>
      <c r="G71" t="s">
        <v>401</v>
      </c>
      <c r="H71" s="100">
        <v>44562</v>
      </c>
      <c r="I71" s="100">
        <v>44926</v>
      </c>
      <c r="J71" t="s">
        <v>340</v>
      </c>
      <c r="K71">
        <v>0</v>
      </c>
      <c r="L71" t="s">
        <v>341</v>
      </c>
    </row>
    <row r="72" spans="1:12" x14ac:dyDescent="0.25">
      <c r="A72">
        <v>387246</v>
      </c>
      <c r="B72" t="s">
        <v>336</v>
      </c>
      <c r="C72" t="s">
        <v>585</v>
      </c>
      <c r="D72" t="s">
        <v>580</v>
      </c>
      <c r="E72" t="s">
        <v>410</v>
      </c>
      <c r="F72" t="s">
        <v>338</v>
      </c>
      <c r="G72" t="s">
        <v>401</v>
      </c>
      <c r="H72" s="100">
        <v>44562</v>
      </c>
      <c r="I72" s="100">
        <v>44926</v>
      </c>
      <c r="J72" t="s">
        <v>340</v>
      </c>
      <c r="K72">
        <v>0</v>
      </c>
      <c r="L72" t="s">
        <v>341</v>
      </c>
    </row>
    <row r="73" spans="1:12" x14ac:dyDescent="0.25">
      <c r="A73">
        <v>387257</v>
      </c>
      <c r="B73" t="s">
        <v>336</v>
      </c>
      <c r="C73" t="s">
        <v>585</v>
      </c>
      <c r="D73" t="s">
        <v>580</v>
      </c>
      <c r="E73" t="s">
        <v>405</v>
      </c>
      <c r="F73" t="s">
        <v>338</v>
      </c>
      <c r="G73" t="s">
        <v>401</v>
      </c>
      <c r="H73" s="100">
        <v>44562</v>
      </c>
      <c r="I73" s="100">
        <v>44926</v>
      </c>
      <c r="J73" t="s">
        <v>340</v>
      </c>
      <c r="K73">
        <v>0</v>
      </c>
      <c r="L73" t="s">
        <v>341</v>
      </c>
    </row>
    <row r="74" spans="1:12" x14ac:dyDescent="0.25">
      <c r="A74">
        <v>387267</v>
      </c>
      <c r="B74" t="s">
        <v>336</v>
      </c>
      <c r="C74" t="s">
        <v>585</v>
      </c>
      <c r="D74" t="s">
        <v>580</v>
      </c>
      <c r="E74" t="s">
        <v>404</v>
      </c>
      <c r="F74" t="s">
        <v>338</v>
      </c>
      <c r="G74" t="s">
        <v>401</v>
      </c>
      <c r="H74" s="100">
        <v>44562</v>
      </c>
      <c r="I74" s="100">
        <v>44926</v>
      </c>
      <c r="J74" t="s">
        <v>340</v>
      </c>
      <c r="K74">
        <v>0</v>
      </c>
      <c r="L74" t="s">
        <v>341</v>
      </c>
    </row>
    <row r="75" spans="1:12" x14ac:dyDescent="0.25">
      <c r="A75">
        <v>387255</v>
      </c>
      <c r="B75" t="s">
        <v>336</v>
      </c>
      <c r="C75" t="s">
        <v>585</v>
      </c>
      <c r="D75" t="s">
        <v>580</v>
      </c>
      <c r="E75" t="s">
        <v>403</v>
      </c>
      <c r="F75" t="s">
        <v>338</v>
      </c>
      <c r="G75" t="s">
        <v>401</v>
      </c>
      <c r="H75" s="100">
        <v>44562</v>
      </c>
      <c r="I75" s="100">
        <v>44926</v>
      </c>
      <c r="J75" t="s">
        <v>340</v>
      </c>
      <c r="K75">
        <v>0</v>
      </c>
      <c r="L75" t="s">
        <v>341</v>
      </c>
    </row>
    <row r="76" spans="1:12" x14ac:dyDescent="0.25">
      <c r="A76">
        <v>387250</v>
      </c>
      <c r="B76" t="s">
        <v>336</v>
      </c>
      <c r="C76" t="s">
        <v>585</v>
      </c>
      <c r="D76" t="s">
        <v>580</v>
      </c>
      <c r="E76" t="s">
        <v>402</v>
      </c>
      <c r="F76" t="s">
        <v>338</v>
      </c>
      <c r="G76" t="s">
        <v>401</v>
      </c>
      <c r="H76" s="100">
        <v>44562</v>
      </c>
      <c r="I76" s="100">
        <v>44926</v>
      </c>
      <c r="J76" t="s">
        <v>340</v>
      </c>
      <c r="K76">
        <v>0</v>
      </c>
      <c r="L76" t="s">
        <v>341</v>
      </c>
    </row>
    <row r="77" spans="1:12" x14ac:dyDescent="0.25">
      <c r="A77">
        <v>387268</v>
      </c>
      <c r="B77" t="s">
        <v>336</v>
      </c>
      <c r="C77" t="s">
        <v>585</v>
      </c>
      <c r="D77" t="s">
        <v>580</v>
      </c>
      <c r="E77" t="s">
        <v>409</v>
      </c>
      <c r="F77" t="s">
        <v>338</v>
      </c>
      <c r="G77" t="s">
        <v>401</v>
      </c>
      <c r="H77" s="100">
        <v>44562</v>
      </c>
      <c r="I77" s="100">
        <v>44926</v>
      </c>
      <c r="J77" t="s">
        <v>340</v>
      </c>
      <c r="K77">
        <v>0</v>
      </c>
      <c r="L77" t="s">
        <v>341</v>
      </c>
    </row>
    <row r="78" spans="1:12" x14ac:dyDescent="0.25">
      <c r="A78">
        <v>387249</v>
      </c>
      <c r="B78" t="s">
        <v>336</v>
      </c>
      <c r="C78" t="s">
        <v>585</v>
      </c>
      <c r="D78" t="s">
        <v>580</v>
      </c>
      <c r="E78" t="s">
        <v>400</v>
      </c>
      <c r="F78" t="s">
        <v>338</v>
      </c>
      <c r="G78" t="s">
        <v>401</v>
      </c>
      <c r="H78" s="100">
        <v>44562</v>
      </c>
      <c r="I78" s="100">
        <v>44926</v>
      </c>
      <c r="J78" t="s">
        <v>340</v>
      </c>
      <c r="K78">
        <v>0</v>
      </c>
      <c r="L78" t="s">
        <v>341</v>
      </c>
    </row>
    <row r="79" spans="1:12" x14ac:dyDescent="0.25">
      <c r="A79">
        <v>387265</v>
      </c>
      <c r="B79" t="s">
        <v>336</v>
      </c>
      <c r="C79" t="s">
        <v>585</v>
      </c>
      <c r="D79" t="s">
        <v>580</v>
      </c>
      <c r="E79" t="s">
        <v>412</v>
      </c>
      <c r="F79" t="s">
        <v>338</v>
      </c>
      <c r="G79" t="s">
        <v>401</v>
      </c>
      <c r="H79" s="100">
        <v>44562</v>
      </c>
      <c r="I79" s="100">
        <v>44926</v>
      </c>
      <c r="J79" t="s">
        <v>340</v>
      </c>
      <c r="K79">
        <v>0</v>
      </c>
      <c r="L79" t="s">
        <v>341</v>
      </c>
    </row>
    <row r="80" spans="1:12" x14ac:dyDescent="0.25">
      <c r="A80">
        <v>387271</v>
      </c>
      <c r="B80" t="s">
        <v>336</v>
      </c>
      <c r="C80" t="s">
        <v>584</v>
      </c>
      <c r="D80" t="s">
        <v>580</v>
      </c>
      <c r="E80" t="s">
        <v>347</v>
      </c>
      <c r="F80" t="s">
        <v>338</v>
      </c>
      <c r="G80" t="s">
        <v>348</v>
      </c>
      <c r="H80" s="100">
        <v>44805</v>
      </c>
      <c r="I80" s="100">
        <v>44895</v>
      </c>
      <c r="J80" t="s">
        <v>340</v>
      </c>
      <c r="K80">
        <v>0</v>
      </c>
      <c r="L80" t="s">
        <v>341</v>
      </c>
    </row>
    <row r="81" spans="1:12" x14ac:dyDescent="0.25">
      <c r="A81">
        <v>387253</v>
      </c>
      <c r="B81" t="s">
        <v>336</v>
      </c>
      <c r="C81" t="s">
        <v>585</v>
      </c>
      <c r="D81" t="s">
        <v>580</v>
      </c>
      <c r="E81" t="s">
        <v>418</v>
      </c>
      <c r="F81" t="s">
        <v>338</v>
      </c>
      <c r="G81" t="s">
        <v>414</v>
      </c>
      <c r="H81" s="100">
        <v>44562</v>
      </c>
      <c r="I81" s="100">
        <v>44926</v>
      </c>
      <c r="J81" t="s">
        <v>340</v>
      </c>
      <c r="K81">
        <v>0</v>
      </c>
      <c r="L81" t="s">
        <v>341</v>
      </c>
    </row>
    <row r="82" spans="1:12" x14ac:dyDescent="0.25">
      <c r="A82">
        <v>387252</v>
      </c>
      <c r="B82" t="s">
        <v>336</v>
      </c>
      <c r="C82" t="s">
        <v>585</v>
      </c>
      <c r="D82" t="s">
        <v>580</v>
      </c>
      <c r="E82" t="s">
        <v>417</v>
      </c>
      <c r="F82" t="s">
        <v>338</v>
      </c>
      <c r="G82" t="s">
        <v>414</v>
      </c>
      <c r="H82" s="100">
        <v>44562</v>
      </c>
      <c r="I82" s="100">
        <v>44926</v>
      </c>
      <c r="J82" t="s">
        <v>340</v>
      </c>
      <c r="K82">
        <v>0</v>
      </c>
      <c r="L82" t="s">
        <v>341</v>
      </c>
    </row>
    <row r="83" spans="1:12" x14ac:dyDescent="0.25">
      <c r="A83">
        <v>387248</v>
      </c>
      <c r="B83" t="s">
        <v>336</v>
      </c>
      <c r="C83" t="s">
        <v>585</v>
      </c>
      <c r="D83" t="s">
        <v>580</v>
      </c>
      <c r="E83" t="s">
        <v>415</v>
      </c>
      <c r="F83" t="s">
        <v>338</v>
      </c>
      <c r="G83" t="s">
        <v>414</v>
      </c>
      <c r="H83" s="100">
        <v>44562</v>
      </c>
      <c r="I83" s="100">
        <v>44926</v>
      </c>
      <c r="J83" t="s">
        <v>340</v>
      </c>
      <c r="K83">
        <v>0</v>
      </c>
      <c r="L83" t="s">
        <v>341</v>
      </c>
    </row>
    <row r="84" spans="1:12" x14ac:dyDescent="0.25">
      <c r="A84">
        <v>387260</v>
      </c>
      <c r="B84" t="s">
        <v>336</v>
      </c>
      <c r="C84" t="s">
        <v>585</v>
      </c>
      <c r="D84" t="s">
        <v>580</v>
      </c>
      <c r="E84" t="s">
        <v>420</v>
      </c>
      <c r="F84" t="s">
        <v>338</v>
      </c>
      <c r="G84" t="s">
        <v>414</v>
      </c>
      <c r="H84" s="100">
        <v>44562</v>
      </c>
      <c r="I84" s="100">
        <v>44926</v>
      </c>
      <c r="J84" t="s">
        <v>340</v>
      </c>
      <c r="K84">
        <v>0</v>
      </c>
      <c r="L84" t="s">
        <v>341</v>
      </c>
    </row>
    <row r="85" spans="1:12" x14ac:dyDescent="0.25">
      <c r="A85">
        <v>387251</v>
      </c>
      <c r="B85" t="s">
        <v>336</v>
      </c>
      <c r="C85" t="s">
        <v>585</v>
      </c>
      <c r="D85" t="s">
        <v>580</v>
      </c>
      <c r="E85" t="s">
        <v>416</v>
      </c>
      <c r="F85" t="s">
        <v>338</v>
      </c>
      <c r="G85" t="s">
        <v>414</v>
      </c>
      <c r="H85" s="100">
        <v>44562</v>
      </c>
      <c r="I85" s="100">
        <v>44926</v>
      </c>
      <c r="J85" t="s">
        <v>340</v>
      </c>
      <c r="K85">
        <v>0</v>
      </c>
      <c r="L85" t="s">
        <v>341</v>
      </c>
    </row>
    <row r="86" spans="1:12" x14ac:dyDescent="0.25">
      <c r="A86">
        <v>387266</v>
      </c>
      <c r="B86" t="s">
        <v>336</v>
      </c>
      <c r="C86" t="s">
        <v>585</v>
      </c>
      <c r="D86" t="s">
        <v>580</v>
      </c>
      <c r="E86" t="s">
        <v>421</v>
      </c>
      <c r="F86" t="s">
        <v>338</v>
      </c>
      <c r="G86" t="s">
        <v>414</v>
      </c>
      <c r="H86" s="100">
        <v>44562</v>
      </c>
      <c r="I86" s="100">
        <v>44926</v>
      </c>
      <c r="J86" t="s">
        <v>340</v>
      </c>
      <c r="K86">
        <v>0</v>
      </c>
      <c r="L86" t="s">
        <v>341</v>
      </c>
    </row>
    <row r="87" spans="1:12" x14ac:dyDescent="0.25">
      <c r="A87">
        <v>387247</v>
      </c>
      <c r="B87" t="s">
        <v>336</v>
      </c>
      <c r="C87" t="s">
        <v>585</v>
      </c>
      <c r="D87" t="s">
        <v>580</v>
      </c>
      <c r="E87" t="s">
        <v>413</v>
      </c>
      <c r="F87" t="s">
        <v>338</v>
      </c>
      <c r="G87" t="s">
        <v>414</v>
      </c>
      <c r="H87" s="100">
        <v>44562</v>
      </c>
      <c r="I87" s="100">
        <v>44926</v>
      </c>
      <c r="J87" t="s">
        <v>340</v>
      </c>
      <c r="K87">
        <v>0</v>
      </c>
      <c r="L87" t="s">
        <v>341</v>
      </c>
    </row>
    <row r="88" spans="1:12" x14ac:dyDescent="0.25">
      <c r="A88">
        <v>387256</v>
      </c>
      <c r="B88" t="s">
        <v>336</v>
      </c>
      <c r="C88" t="s">
        <v>585</v>
      </c>
      <c r="D88" t="s">
        <v>580</v>
      </c>
      <c r="E88" t="s">
        <v>419</v>
      </c>
      <c r="F88" t="s">
        <v>338</v>
      </c>
      <c r="G88" t="s">
        <v>414</v>
      </c>
      <c r="H88" s="100">
        <v>44562</v>
      </c>
      <c r="I88" s="100">
        <v>44926</v>
      </c>
      <c r="J88" t="s">
        <v>340</v>
      </c>
      <c r="K88">
        <v>0</v>
      </c>
      <c r="L88" t="s">
        <v>341</v>
      </c>
    </row>
    <row r="89" spans="1:12" x14ac:dyDescent="0.25">
      <c r="A89">
        <v>387245</v>
      </c>
      <c r="B89" t="s">
        <v>336</v>
      </c>
      <c r="C89" t="s">
        <v>579</v>
      </c>
      <c r="D89" t="s">
        <v>580</v>
      </c>
      <c r="E89" t="s">
        <v>422</v>
      </c>
      <c r="F89" t="s">
        <v>338</v>
      </c>
      <c r="G89" t="s">
        <v>423</v>
      </c>
      <c r="H89" s="100">
        <v>44841</v>
      </c>
      <c r="I89" s="100">
        <v>44926</v>
      </c>
      <c r="J89" t="s">
        <v>340</v>
      </c>
      <c r="K89">
        <v>0</v>
      </c>
      <c r="L89" t="s">
        <v>341</v>
      </c>
    </row>
    <row r="90" spans="1:12" x14ac:dyDescent="0.25">
      <c r="A90">
        <v>387258</v>
      </c>
      <c r="B90" t="s">
        <v>336</v>
      </c>
      <c r="C90" t="s">
        <v>585</v>
      </c>
      <c r="D90" t="s">
        <v>580</v>
      </c>
      <c r="E90" t="s">
        <v>426</v>
      </c>
      <c r="F90" t="s">
        <v>338</v>
      </c>
      <c r="G90" t="s">
        <v>425</v>
      </c>
      <c r="H90" s="100">
        <v>44562</v>
      </c>
      <c r="I90" s="100">
        <v>44926</v>
      </c>
      <c r="J90" t="s">
        <v>340</v>
      </c>
      <c r="K90">
        <v>0</v>
      </c>
      <c r="L90" t="s">
        <v>341</v>
      </c>
    </row>
    <row r="91" spans="1:12" x14ac:dyDescent="0.25">
      <c r="A91">
        <v>387261</v>
      </c>
      <c r="B91" t="s">
        <v>336</v>
      </c>
      <c r="C91" t="s">
        <v>585</v>
      </c>
      <c r="D91" t="s">
        <v>580</v>
      </c>
      <c r="E91" t="s">
        <v>427</v>
      </c>
      <c r="F91" t="s">
        <v>338</v>
      </c>
      <c r="G91" t="s">
        <v>425</v>
      </c>
      <c r="H91" s="100">
        <v>44562</v>
      </c>
      <c r="I91" s="100">
        <v>44926</v>
      </c>
      <c r="J91" t="s">
        <v>340</v>
      </c>
      <c r="K91">
        <v>0</v>
      </c>
      <c r="L91" t="s">
        <v>341</v>
      </c>
    </row>
    <row r="92" spans="1:12" x14ac:dyDescent="0.25">
      <c r="A92">
        <v>387254</v>
      </c>
      <c r="B92" t="s">
        <v>336</v>
      </c>
      <c r="C92" t="s">
        <v>585</v>
      </c>
      <c r="D92" t="s">
        <v>580</v>
      </c>
      <c r="E92" t="s">
        <v>424</v>
      </c>
      <c r="F92" t="s">
        <v>338</v>
      </c>
      <c r="G92" t="s">
        <v>425</v>
      </c>
      <c r="H92" s="100">
        <v>44562</v>
      </c>
      <c r="I92" s="100">
        <v>44926</v>
      </c>
      <c r="J92" t="s">
        <v>340</v>
      </c>
      <c r="K92">
        <v>0</v>
      </c>
      <c r="L92" t="s">
        <v>341</v>
      </c>
    </row>
    <row r="93" spans="1:12" x14ac:dyDescent="0.25">
      <c r="A93">
        <v>387241</v>
      </c>
      <c r="B93" t="s">
        <v>336</v>
      </c>
      <c r="C93" t="s">
        <v>579</v>
      </c>
      <c r="D93" t="s">
        <v>580</v>
      </c>
      <c r="E93" t="s">
        <v>349</v>
      </c>
      <c r="F93" t="s">
        <v>338</v>
      </c>
      <c r="G93" t="s">
        <v>350</v>
      </c>
      <c r="H93" s="100">
        <v>44568</v>
      </c>
      <c r="I93" s="100">
        <v>44860</v>
      </c>
      <c r="J93" t="s">
        <v>340</v>
      </c>
      <c r="K93">
        <v>0</v>
      </c>
      <c r="L93" t="s">
        <v>341</v>
      </c>
    </row>
    <row r="94" spans="1:12" x14ac:dyDescent="0.25">
      <c r="A94">
        <v>387240</v>
      </c>
      <c r="B94" t="s">
        <v>336</v>
      </c>
      <c r="C94" t="s">
        <v>579</v>
      </c>
      <c r="D94" t="s">
        <v>580</v>
      </c>
      <c r="E94" t="s">
        <v>351</v>
      </c>
      <c r="F94" t="s">
        <v>338</v>
      </c>
      <c r="G94" t="s">
        <v>350</v>
      </c>
      <c r="H94" s="100">
        <v>44780</v>
      </c>
      <c r="I94" s="100">
        <v>44840</v>
      </c>
      <c r="J94" t="s">
        <v>340</v>
      </c>
      <c r="K94">
        <v>0</v>
      </c>
      <c r="L94" t="s">
        <v>341</v>
      </c>
    </row>
    <row r="95" spans="1:12" x14ac:dyDescent="0.25">
      <c r="A95">
        <v>387213</v>
      </c>
      <c r="B95" t="s">
        <v>336</v>
      </c>
      <c r="C95" t="s">
        <v>581</v>
      </c>
      <c r="D95" t="s">
        <v>580</v>
      </c>
      <c r="E95" t="s">
        <v>501</v>
      </c>
      <c r="F95" t="s">
        <v>338</v>
      </c>
      <c r="G95" t="s">
        <v>344</v>
      </c>
      <c r="H95" s="100">
        <v>44927</v>
      </c>
      <c r="I95" s="100">
        <v>45290</v>
      </c>
      <c r="J95" t="s">
        <v>353</v>
      </c>
      <c r="K95">
        <v>0</v>
      </c>
      <c r="L95" t="s">
        <v>341</v>
      </c>
    </row>
    <row r="96" spans="1:12" x14ac:dyDescent="0.25">
      <c r="A96">
        <v>387212</v>
      </c>
      <c r="B96" t="s">
        <v>336</v>
      </c>
      <c r="C96" t="s">
        <v>581</v>
      </c>
      <c r="D96" t="s">
        <v>580</v>
      </c>
      <c r="E96" t="s">
        <v>456</v>
      </c>
      <c r="F96" t="s">
        <v>338</v>
      </c>
      <c r="G96" t="s">
        <v>344</v>
      </c>
      <c r="H96" s="100">
        <v>44197</v>
      </c>
      <c r="I96" s="100">
        <v>45657</v>
      </c>
      <c r="J96" t="s">
        <v>353</v>
      </c>
      <c r="K96">
        <v>0</v>
      </c>
      <c r="L96" t="s">
        <v>341</v>
      </c>
    </row>
    <row r="97" spans="1:12" x14ac:dyDescent="0.25">
      <c r="A97">
        <v>387277</v>
      </c>
      <c r="B97" t="s">
        <v>336</v>
      </c>
      <c r="C97" t="s">
        <v>584</v>
      </c>
      <c r="D97" t="s">
        <v>580</v>
      </c>
      <c r="E97" t="s">
        <v>366</v>
      </c>
      <c r="F97" t="s">
        <v>338</v>
      </c>
      <c r="G97" t="s">
        <v>365</v>
      </c>
      <c r="H97" s="100">
        <v>44866</v>
      </c>
      <c r="I97" s="100">
        <v>45016</v>
      </c>
      <c r="J97" t="s">
        <v>353</v>
      </c>
      <c r="K97">
        <v>0</v>
      </c>
      <c r="L97" t="s">
        <v>341</v>
      </c>
    </row>
    <row r="98" spans="1:12" x14ac:dyDescent="0.25">
      <c r="A98">
        <v>387282</v>
      </c>
      <c r="B98" t="s">
        <v>336</v>
      </c>
      <c r="C98" t="s">
        <v>584</v>
      </c>
      <c r="D98" t="s">
        <v>580</v>
      </c>
      <c r="E98" t="s">
        <v>480</v>
      </c>
      <c r="F98" t="s">
        <v>338</v>
      </c>
      <c r="G98" t="s">
        <v>365</v>
      </c>
      <c r="H98" s="100">
        <v>44927</v>
      </c>
      <c r="I98" s="100">
        <v>45138</v>
      </c>
      <c r="J98" t="s">
        <v>353</v>
      </c>
      <c r="K98">
        <v>0</v>
      </c>
      <c r="L98" t="s">
        <v>341</v>
      </c>
    </row>
    <row r="99" spans="1:12" x14ac:dyDescent="0.25">
      <c r="A99">
        <v>387276</v>
      </c>
      <c r="B99" t="s">
        <v>336</v>
      </c>
      <c r="C99" t="s">
        <v>584</v>
      </c>
      <c r="D99" t="s">
        <v>580</v>
      </c>
      <c r="E99" t="s">
        <v>364</v>
      </c>
      <c r="F99" t="s">
        <v>338</v>
      </c>
      <c r="G99" t="s">
        <v>365</v>
      </c>
      <c r="H99" s="100">
        <v>44866</v>
      </c>
      <c r="I99" s="100">
        <v>45016</v>
      </c>
      <c r="J99" t="s">
        <v>353</v>
      </c>
      <c r="K99">
        <v>0</v>
      </c>
      <c r="L99" t="s">
        <v>341</v>
      </c>
    </row>
    <row r="100" spans="1:12" x14ac:dyDescent="0.25">
      <c r="A100">
        <v>387280</v>
      </c>
      <c r="B100" t="s">
        <v>336</v>
      </c>
      <c r="C100" t="s">
        <v>584</v>
      </c>
      <c r="D100" t="s">
        <v>580</v>
      </c>
      <c r="E100" t="s">
        <v>481</v>
      </c>
      <c r="F100" t="s">
        <v>338</v>
      </c>
      <c r="G100" t="s">
        <v>365</v>
      </c>
      <c r="H100" s="100">
        <v>44927</v>
      </c>
      <c r="I100" s="100">
        <v>45108</v>
      </c>
      <c r="J100" t="s">
        <v>353</v>
      </c>
      <c r="K100">
        <v>0</v>
      </c>
      <c r="L100" t="s">
        <v>341</v>
      </c>
    </row>
    <row r="101" spans="1:12" x14ac:dyDescent="0.25">
      <c r="A101">
        <v>387285</v>
      </c>
      <c r="B101" t="s">
        <v>336</v>
      </c>
      <c r="C101" t="s">
        <v>584</v>
      </c>
      <c r="D101" t="s">
        <v>580</v>
      </c>
      <c r="E101" t="s">
        <v>476</v>
      </c>
      <c r="F101" t="s">
        <v>338</v>
      </c>
      <c r="G101" t="s">
        <v>365</v>
      </c>
      <c r="H101" s="100">
        <v>44927</v>
      </c>
      <c r="I101" s="100">
        <v>45199</v>
      </c>
      <c r="J101" t="s">
        <v>353</v>
      </c>
      <c r="K101">
        <v>0</v>
      </c>
      <c r="L101" t="s">
        <v>341</v>
      </c>
    </row>
    <row r="102" spans="1:12" x14ac:dyDescent="0.25">
      <c r="A102">
        <v>387284</v>
      </c>
      <c r="B102" t="s">
        <v>336</v>
      </c>
      <c r="C102" t="s">
        <v>584</v>
      </c>
      <c r="D102" t="s">
        <v>580</v>
      </c>
      <c r="E102" t="s">
        <v>478</v>
      </c>
      <c r="F102" t="s">
        <v>338</v>
      </c>
      <c r="G102" t="s">
        <v>365</v>
      </c>
      <c r="H102" s="100">
        <v>45108</v>
      </c>
      <c r="I102" s="100">
        <v>45199</v>
      </c>
      <c r="J102" t="s">
        <v>353</v>
      </c>
      <c r="K102">
        <v>0</v>
      </c>
      <c r="L102" t="s">
        <v>341</v>
      </c>
    </row>
    <row r="103" spans="1:12" x14ac:dyDescent="0.25">
      <c r="A103">
        <v>387279</v>
      </c>
      <c r="B103" t="s">
        <v>336</v>
      </c>
      <c r="C103" t="s">
        <v>584</v>
      </c>
      <c r="D103" t="s">
        <v>580</v>
      </c>
      <c r="E103" t="s">
        <v>482</v>
      </c>
      <c r="F103" t="s">
        <v>338</v>
      </c>
      <c r="G103" t="s">
        <v>380</v>
      </c>
      <c r="H103" s="100">
        <v>44958</v>
      </c>
      <c r="I103" s="100">
        <v>45107</v>
      </c>
      <c r="J103" t="s">
        <v>353</v>
      </c>
      <c r="K103">
        <v>0</v>
      </c>
      <c r="L103" t="s">
        <v>341</v>
      </c>
    </row>
    <row r="104" spans="1:12" x14ac:dyDescent="0.25">
      <c r="A104">
        <v>387273</v>
      </c>
      <c r="B104" t="s">
        <v>336</v>
      </c>
      <c r="C104" t="s">
        <v>584</v>
      </c>
      <c r="D104" t="s">
        <v>580</v>
      </c>
      <c r="E104" t="s">
        <v>395</v>
      </c>
      <c r="F104" t="s">
        <v>338</v>
      </c>
      <c r="G104" t="s">
        <v>396</v>
      </c>
      <c r="H104" s="100">
        <v>44835</v>
      </c>
      <c r="I104" s="100">
        <v>44985</v>
      </c>
      <c r="J104" t="s">
        <v>353</v>
      </c>
      <c r="K104">
        <v>0</v>
      </c>
      <c r="L104" t="s">
        <v>341</v>
      </c>
    </row>
    <row r="105" spans="1:12" x14ac:dyDescent="0.25">
      <c r="A105">
        <v>387289</v>
      </c>
      <c r="B105" t="s">
        <v>336</v>
      </c>
      <c r="C105" t="s">
        <v>584</v>
      </c>
      <c r="D105" t="s">
        <v>580</v>
      </c>
      <c r="E105" t="s">
        <v>397</v>
      </c>
      <c r="F105" t="s">
        <v>338</v>
      </c>
      <c r="G105" t="s">
        <v>396</v>
      </c>
      <c r="H105" s="100">
        <v>44805</v>
      </c>
      <c r="I105" s="100">
        <v>45291</v>
      </c>
      <c r="J105" t="s">
        <v>353</v>
      </c>
      <c r="K105">
        <v>0</v>
      </c>
      <c r="L105" t="s">
        <v>341</v>
      </c>
    </row>
    <row r="106" spans="1:12" x14ac:dyDescent="0.25">
      <c r="A106">
        <v>387274</v>
      </c>
      <c r="B106" t="s">
        <v>336</v>
      </c>
      <c r="C106" t="s">
        <v>584</v>
      </c>
      <c r="D106" t="s">
        <v>580</v>
      </c>
      <c r="E106" t="s">
        <v>486</v>
      </c>
      <c r="F106" t="s">
        <v>338</v>
      </c>
      <c r="G106" t="s">
        <v>396</v>
      </c>
      <c r="H106" s="100">
        <v>44927</v>
      </c>
      <c r="I106" s="100">
        <v>44985</v>
      </c>
      <c r="J106" t="s">
        <v>353</v>
      </c>
      <c r="K106">
        <v>0</v>
      </c>
      <c r="L106" t="s">
        <v>341</v>
      </c>
    </row>
    <row r="107" spans="1:12" x14ac:dyDescent="0.25">
      <c r="A107">
        <v>387286</v>
      </c>
      <c r="B107" t="s">
        <v>336</v>
      </c>
      <c r="C107" t="s">
        <v>584</v>
      </c>
      <c r="D107" t="s">
        <v>580</v>
      </c>
      <c r="E107" t="s">
        <v>490</v>
      </c>
      <c r="F107" t="s">
        <v>338</v>
      </c>
      <c r="G107" t="s">
        <v>348</v>
      </c>
      <c r="H107" s="100">
        <v>44927</v>
      </c>
      <c r="I107" s="100">
        <v>45199</v>
      </c>
      <c r="J107" t="s">
        <v>353</v>
      </c>
      <c r="K107">
        <v>0</v>
      </c>
      <c r="L107" t="s">
        <v>341</v>
      </c>
    </row>
    <row r="108" spans="1:12" x14ac:dyDescent="0.25">
      <c r="A108">
        <v>387275</v>
      </c>
      <c r="B108" t="s">
        <v>336</v>
      </c>
      <c r="C108" t="s">
        <v>584</v>
      </c>
      <c r="D108" t="s">
        <v>580</v>
      </c>
      <c r="E108" t="s">
        <v>489</v>
      </c>
      <c r="F108" t="s">
        <v>338</v>
      </c>
      <c r="G108" t="s">
        <v>348</v>
      </c>
      <c r="H108" s="100">
        <v>44895</v>
      </c>
      <c r="I108" s="100">
        <v>45016</v>
      </c>
      <c r="J108" t="s">
        <v>353</v>
      </c>
      <c r="K108">
        <v>0</v>
      </c>
      <c r="L108" t="s">
        <v>341</v>
      </c>
    </row>
    <row r="109" spans="1:12" x14ac:dyDescent="0.25">
      <c r="A109">
        <v>387283</v>
      </c>
      <c r="B109" t="s">
        <v>336</v>
      </c>
      <c r="C109" t="s">
        <v>584</v>
      </c>
      <c r="D109" t="s">
        <v>580</v>
      </c>
      <c r="E109" t="s">
        <v>488</v>
      </c>
      <c r="F109" t="s">
        <v>338</v>
      </c>
      <c r="G109" t="s">
        <v>348</v>
      </c>
      <c r="H109" s="100">
        <v>44927</v>
      </c>
      <c r="I109" s="100">
        <v>45199</v>
      </c>
      <c r="J109" t="s">
        <v>353</v>
      </c>
      <c r="K109">
        <v>0</v>
      </c>
      <c r="L109" t="s">
        <v>341</v>
      </c>
    </row>
    <row r="110" spans="1:12" x14ac:dyDescent="0.25">
      <c r="A110">
        <v>387292</v>
      </c>
      <c r="B110" t="s">
        <v>336</v>
      </c>
      <c r="C110" t="s">
        <v>584</v>
      </c>
      <c r="D110" t="s">
        <v>580</v>
      </c>
      <c r="E110" t="s">
        <v>432</v>
      </c>
      <c r="F110" t="s">
        <v>338</v>
      </c>
      <c r="G110" t="s">
        <v>429</v>
      </c>
      <c r="H110" s="100">
        <v>44835</v>
      </c>
      <c r="I110" s="100">
        <v>45291</v>
      </c>
      <c r="J110" t="s">
        <v>353</v>
      </c>
      <c r="K110">
        <v>0</v>
      </c>
      <c r="L110" t="s">
        <v>341</v>
      </c>
    </row>
    <row r="111" spans="1:12" x14ac:dyDescent="0.25">
      <c r="A111">
        <v>387291</v>
      </c>
      <c r="B111" t="s">
        <v>336</v>
      </c>
      <c r="C111" t="s">
        <v>584</v>
      </c>
      <c r="D111" t="s">
        <v>580</v>
      </c>
      <c r="E111" t="s">
        <v>431</v>
      </c>
      <c r="F111" t="s">
        <v>338</v>
      </c>
      <c r="G111" t="s">
        <v>429</v>
      </c>
      <c r="H111" s="100">
        <v>44835</v>
      </c>
      <c r="I111" s="100">
        <v>45291</v>
      </c>
      <c r="J111" t="s">
        <v>353</v>
      </c>
      <c r="K111">
        <v>0</v>
      </c>
      <c r="L111" t="s">
        <v>341</v>
      </c>
    </row>
    <row r="112" spans="1:12" x14ac:dyDescent="0.25">
      <c r="A112">
        <v>387288</v>
      </c>
      <c r="B112" t="s">
        <v>336</v>
      </c>
      <c r="C112" t="s">
        <v>584</v>
      </c>
      <c r="D112" t="s">
        <v>580</v>
      </c>
      <c r="E112" t="s">
        <v>428</v>
      </c>
      <c r="F112" t="s">
        <v>338</v>
      </c>
      <c r="G112" t="s">
        <v>429</v>
      </c>
      <c r="H112" s="100">
        <v>44835</v>
      </c>
      <c r="I112" s="100">
        <v>45291</v>
      </c>
      <c r="J112" t="s">
        <v>353</v>
      </c>
      <c r="K112">
        <v>0</v>
      </c>
      <c r="L112" t="s">
        <v>341</v>
      </c>
    </row>
    <row r="113" spans="1:12" x14ac:dyDescent="0.25">
      <c r="A113">
        <v>387290</v>
      </c>
      <c r="B113" t="s">
        <v>336</v>
      </c>
      <c r="C113" t="s">
        <v>584</v>
      </c>
      <c r="D113" t="s">
        <v>580</v>
      </c>
      <c r="E113" t="s">
        <v>430</v>
      </c>
      <c r="F113" t="s">
        <v>338</v>
      </c>
      <c r="G113" t="s">
        <v>429</v>
      </c>
      <c r="H113" s="100">
        <v>44835</v>
      </c>
      <c r="I113" s="100">
        <v>45291</v>
      </c>
      <c r="J113" t="s">
        <v>353</v>
      </c>
      <c r="K113">
        <v>0</v>
      </c>
      <c r="L113" t="s">
        <v>341</v>
      </c>
    </row>
    <row r="114" spans="1:12" x14ac:dyDescent="0.25">
      <c r="A114">
        <v>387223</v>
      </c>
      <c r="B114" t="s">
        <v>336</v>
      </c>
      <c r="C114" t="s">
        <v>581</v>
      </c>
      <c r="D114" t="s">
        <v>580</v>
      </c>
      <c r="E114" t="s">
        <v>495</v>
      </c>
      <c r="F114" t="s">
        <v>338</v>
      </c>
      <c r="G114" t="s">
        <v>434</v>
      </c>
      <c r="H114" s="100">
        <v>44927</v>
      </c>
      <c r="I114" s="100">
        <v>45291</v>
      </c>
      <c r="J114" t="s">
        <v>353</v>
      </c>
      <c r="K114">
        <v>0</v>
      </c>
      <c r="L114" t="s">
        <v>341</v>
      </c>
    </row>
    <row r="115" spans="1:12" x14ac:dyDescent="0.25">
      <c r="A115">
        <v>387217</v>
      </c>
      <c r="B115" t="s">
        <v>336</v>
      </c>
      <c r="C115" t="s">
        <v>581</v>
      </c>
      <c r="D115" t="s">
        <v>580</v>
      </c>
      <c r="E115" t="s">
        <v>437</v>
      </c>
      <c r="F115" t="s">
        <v>338</v>
      </c>
      <c r="G115" t="s">
        <v>434</v>
      </c>
      <c r="H115" s="100">
        <v>44562</v>
      </c>
      <c r="I115" s="100">
        <v>45291</v>
      </c>
      <c r="J115" t="s">
        <v>353</v>
      </c>
      <c r="K115">
        <v>0</v>
      </c>
      <c r="L115" t="s">
        <v>341</v>
      </c>
    </row>
    <row r="116" spans="1:12" x14ac:dyDescent="0.25">
      <c r="A116">
        <v>387214</v>
      </c>
      <c r="B116" t="s">
        <v>336</v>
      </c>
      <c r="C116" t="s">
        <v>581</v>
      </c>
      <c r="D116" t="s">
        <v>580</v>
      </c>
      <c r="E116" t="s">
        <v>433</v>
      </c>
      <c r="F116" t="s">
        <v>338</v>
      </c>
      <c r="G116" t="s">
        <v>434</v>
      </c>
      <c r="H116" s="100">
        <v>44562</v>
      </c>
      <c r="I116" s="100">
        <v>45291</v>
      </c>
      <c r="J116" t="s">
        <v>353</v>
      </c>
      <c r="K116">
        <v>0</v>
      </c>
      <c r="L116" t="s">
        <v>341</v>
      </c>
    </row>
    <row r="117" spans="1:12" x14ac:dyDescent="0.25">
      <c r="A117">
        <v>387219</v>
      </c>
      <c r="B117" t="s">
        <v>336</v>
      </c>
      <c r="C117" t="s">
        <v>581</v>
      </c>
      <c r="D117" t="s">
        <v>580</v>
      </c>
      <c r="E117" t="s">
        <v>439</v>
      </c>
      <c r="F117" t="s">
        <v>338</v>
      </c>
      <c r="G117" t="s">
        <v>434</v>
      </c>
      <c r="H117" s="100">
        <v>44562</v>
      </c>
      <c r="I117" s="100">
        <v>45291</v>
      </c>
      <c r="J117" t="s">
        <v>353</v>
      </c>
      <c r="K117">
        <v>0</v>
      </c>
      <c r="L117" t="s">
        <v>341</v>
      </c>
    </row>
    <row r="118" spans="1:12" x14ac:dyDescent="0.25">
      <c r="A118">
        <v>387226</v>
      </c>
      <c r="B118" t="s">
        <v>336</v>
      </c>
      <c r="C118" t="s">
        <v>581</v>
      </c>
      <c r="D118" t="s">
        <v>580</v>
      </c>
      <c r="E118" t="s">
        <v>499</v>
      </c>
      <c r="F118" t="s">
        <v>338</v>
      </c>
      <c r="G118" t="s">
        <v>434</v>
      </c>
      <c r="H118" s="100">
        <v>44927</v>
      </c>
      <c r="I118" s="100">
        <v>45291</v>
      </c>
      <c r="J118" t="s">
        <v>353</v>
      </c>
      <c r="K118">
        <v>0</v>
      </c>
      <c r="L118" t="s">
        <v>341</v>
      </c>
    </row>
    <row r="119" spans="1:12" x14ac:dyDescent="0.25">
      <c r="A119">
        <v>387218</v>
      </c>
      <c r="B119" t="s">
        <v>336</v>
      </c>
      <c r="C119" t="s">
        <v>581</v>
      </c>
      <c r="D119" t="s">
        <v>580</v>
      </c>
      <c r="E119" t="s">
        <v>438</v>
      </c>
      <c r="F119" t="s">
        <v>338</v>
      </c>
      <c r="G119" t="s">
        <v>434</v>
      </c>
      <c r="H119" s="100">
        <v>44562</v>
      </c>
      <c r="I119" s="100">
        <v>45291</v>
      </c>
      <c r="J119" t="s">
        <v>353</v>
      </c>
      <c r="K119">
        <v>0</v>
      </c>
      <c r="L119" t="s">
        <v>341</v>
      </c>
    </row>
    <row r="120" spans="1:12" x14ac:dyDescent="0.25">
      <c r="A120">
        <v>387221</v>
      </c>
      <c r="B120" t="s">
        <v>336</v>
      </c>
      <c r="C120" t="s">
        <v>581</v>
      </c>
      <c r="D120" t="s">
        <v>580</v>
      </c>
      <c r="E120" t="s">
        <v>493</v>
      </c>
      <c r="F120" t="s">
        <v>338</v>
      </c>
      <c r="G120" t="s">
        <v>434</v>
      </c>
      <c r="H120" s="100">
        <v>44927</v>
      </c>
      <c r="I120" s="100">
        <v>45291</v>
      </c>
      <c r="J120" t="s">
        <v>353</v>
      </c>
      <c r="K120">
        <v>0</v>
      </c>
      <c r="L120" t="s">
        <v>341</v>
      </c>
    </row>
    <row r="121" spans="1:12" x14ac:dyDescent="0.25">
      <c r="A121">
        <v>387225</v>
      </c>
      <c r="B121" t="s">
        <v>336</v>
      </c>
      <c r="C121" t="s">
        <v>581</v>
      </c>
      <c r="D121" t="s">
        <v>580</v>
      </c>
      <c r="E121" t="s">
        <v>498</v>
      </c>
      <c r="F121" t="s">
        <v>338</v>
      </c>
      <c r="G121" t="s">
        <v>434</v>
      </c>
      <c r="H121" s="100">
        <v>44927</v>
      </c>
      <c r="I121" s="100">
        <v>45291</v>
      </c>
      <c r="J121" t="s">
        <v>353</v>
      </c>
      <c r="K121">
        <v>0</v>
      </c>
      <c r="L121" t="s">
        <v>341</v>
      </c>
    </row>
    <row r="122" spans="1:12" x14ac:dyDescent="0.25">
      <c r="A122">
        <v>387224</v>
      </c>
      <c r="B122" t="s">
        <v>336</v>
      </c>
      <c r="C122" t="s">
        <v>581</v>
      </c>
      <c r="D122" t="s">
        <v>580</v>
      </c>
      <c r="E122" t="s">
        <v>497</v>
      </c>
      <c r="F122" t="s">
        <v>338</v>
      </c>
      <c r="G122" t="s">
        <v>434</v>
      </c>
      <c r="H122" s="100">
        <v>44927</v>
      </c>
      <c r="I122" s="100">
        <v>45291</v>
      </c>
      <c r="J122" t="s">
        <v>353</v>
      </c>
      <c r="K122">
        <v>0</v>
      </c>
      <c r="L122" t="s">
        <v>341</v>
      </c>
    </row>
    <row r="123" spans="1:12" x14ac:dyDescent="0.25">
      <c r="A123">
        <v>387215</v>
      </c>
      <c r="B123" t="s">
        <v>336</v>
      </c>
      <c r="C123" t="s">
        <v>581</v>
      </c>
      <c r="D123" t="s">
        <v>580</v>
      </c>
      <c r="E123" t="s">
        <v>435</v>
      </c>
      <c r="F123" t="s">
        <v>338</v>
      </c>
      <c r="G123" t="s">
        <v>434</v>
      </c>
      <c r="H123" s="100">
        <v>44562</v>
      </c>
      <c r="I123" s="100">
        <v>45291</v>
      </c>
      <c r="J123" t="s">
        <v>353</v>
      </c>
      <c r="K123">
        <v>0</v>
      </c>
      <c r="L123" t="s">
        <v>341</v>
      </c>
    </row>
    <row r="124" spans="1:12" x14ac:dyDescent="0.25">
      <c r="A124">
        <v>387222</v>
      </c>
      <c r="B124" t="s">
        <v>336</v>
      </c>
      <c r="C124" t="s">
        <v>581</v>
      </c>
      <c r="D124" t="s">
        <v>580</v>
      </c>
      <c r="E124" t="s">
        <v>494</v>
      </c>
      <c r="F124" t="s">
        <v>338</v>
      </c>
      <c r="G124" t="s">
        <v>434</v>
      </c>
      <c r="H124" s="100">
        <v>44927</v>
      </c>
      <c r="I124" s="100">
        <v>45291</v>
      </c>
      <c r="J124" t="s">
        <v>353</v>
      </c>
      <c r="K124">
        <v>0</v>
      </c>
      <c r="L124" t="s">
        <v>341</v>
      </c>
    </row>
    <row r="125" spans="1:12" x14ac:dyDescent="0.25">
      <c r="A125">
        <v>387229</v>
      </c>
      <c r="B125" t="s">
        <v>336</v>
      </c>
      <c r="C125" t="s">
        <v>581</v>
      </c>
      <c r="D125" t="s">
        <v>580</v>
      </c>
      <c r="E125" t="s">
        <v>500</v>
      </c>
      <c r="F125" t="s">
        <v>338</v>
      </c>
      <c r="G125" t="s">
        <v>434</v>
      </c>
      <c r="H125" s="100">
        <v>44927</v>
      </c>
      <c r="I125" s="100">
        <v>45291</v>
      </c>
      <c r="J125" t="s">
        <v>353</v>
      </c>
      <c r="K125">
        <v>0</v>
      </c>
      <c r="L125" t="s">
        <v>341</v>
      </c>
    </row>
    <row r="126" spans="1:12" x14ac:dyDescent="0.25">
      <c r="A126">
        <v>387220</v>
      </c>
      <c r="B126" t="s">
        <v>336</v>
      </c>
      <c r="C126" t="s">
        <v>581</v>
      </c>
      <c r="D126" t="s">
        <v>580</v>
      </c>
      <c r="E126" t="s">
        <v>491</v>
      </c>
      <c r="F126" t="s">
        <v>338</v>
      </c>
      <c r="G126" t="s">
        <v>434</v>
      </c>
      <c r="H126" s="100">
        <v>44927</v>
      </c>
      <c r="I126" s="100">
        <v>45291</v>
      </c>
      <c r="J126" t="s">
        <v>353</v>
      </c>
      <c r="K126">
        <v>0</v>
      </c>
      <c r="L126" t="s">
        <v>341</v>
      </c>
    </row>
    <row r="127" spans="1:12" x14ac:dyDescent="0.25">
      <c r="A127">
        <v>387216</v>
      </c>
      <c r="B127" t="s">
        <v>336</v>
      </c>
      <c r="C127" t="s">
        <v>581</v>
      </c>
      <c r="D127" t="s">
        <v>580</v>
      </c>
      <c r="E127" t="s">
        <v>436</v>
      </c>
      <c r="F127" t="s">
        <v>338</v>
      </c>
      <c r="G127" t="s">
        <v>434</v>
      </c>
      <c r="H127" s="100">
        <v>44562</v>
      </c>
      <c r="I127" s="100">
        <v>45291</v>
      </c>
      <c r="J127" t="s">
        <v>353</v>
      </c>
      <c r="K127">
        <v>0</v>
      </c>
      <c r="L127" t="s">
        <v>341</v>
      </c>
    </row>
    <row r="128" spans="1:12" x14ac:dyDescent="0.25">
      <c r="A128">
        <v>378708</v>
      </c>
      <c r="B128" t="s">
        <v>336</v>
      </c>
      <c r="C128" t="s">
        <v>582</v>
      </c>
      <c r="D128" t="s">
        <v>342</v>
      </c>
      <c r="E128" t="s">
        <v>459</v>
      </c>
      <c r="F128" t="s">
        <v>338</v>
      </c>
      <c r="G128" t="s">
        <v>344</v>
      </c>
      <c r="H128" s="100">
        <v>44958</v>
      </c>
      <c r="I128" s="100">
        <v>44985</v>
      </c>
      <c r="J128" t="s">
        <v>458</v>
      </c>
      <c r="K128">
        <v>0</v>
      </c>
      <c r="L128" t="s">
        <v>341</v>
      </c>
    </row>
    <row r="129" spans="1:12" x14ac:dyDescent="0.25">
      <c r="A129">
        <v>378726</v>
      </c>
      <c r="B129" t="s">
        <v>336</v>
      </c>
      <c r="C129" t="s">
        <v>582</v>
      </c>
      <c r="D129" t="s">
        <v>342</v>
      </c>
      <c r="E129" t="s">
        <v>461</v>
      </c>
      <c r="F129" t="s">
        <v>338</v>
      </c>
      <c r="G129" t="s">
        <v>344</v>
      </c>
      <c r="H129" s="100">
        <v>45078</v>
      </c>
      <c r="I129" s="100">
        <v>45107</v>
      </c>
      <c r="J129" t="s">
        <v>458</v>
      </c>
      <c r="K129">
        <v>0</v>
      </c>
      <c r="L129" t="s">
        <v>341</v>
      </c>
    </row>
    <row r="130" spans="1:12" x14ac:dyDescent="0.25">
      <c r="A130">
        <v>378719</v>
      </c>
      <c r="B130" t="s">
        <v>336</v>
      </c>
      <c r="C130" t="s">
        <v>582</v>
      </c>
      <c r="D130" t="s">
        <v>342</v>
      </c>
      <c r="E130" t="s">
        <v>462</v>
      </c>
      <c r="F130" t="s">
        <v>338</v>
      </c>
      <c r="G130" t="s">
        <v>344</v>
      </c>
      <c r="H130" s="100">
        <v>45047</v>
      </c>
      <c r="I130" s="100">
        <v>45056</v>
      </c>
      <c r="J130" t="s">
        <v>458</v>
      </c>
      <c r="K130">
        <v>0</v>
      </c>
      <c r="L130" t="s">
        <v>341</v>
      </c>
    </row>
    <row r="131" spans="1:12" x14ac:dyDescent="0.25">
      <c r="A131">
        <v>378716</v>
      </c>
      <c r="B131" t="s">
        <v>336</v>
      </c>
      <c r="C131" t="s">
        <v>582</v>
      </c>
      <c r="D131" t="s">
        <v>342</v>
      </c>
      <c r="E131" t="s">
        <v>463</v>
      </c>
      <c r="F131" t="s">
        <v>338</v>
      </c>
      <c r="G131" t="s">
        <v>344</v>
      </c>
      <c r="H131" s="100">
        <v>44958</v>
      </c>
      <c r="I131" s="100">
        <v>45016</v>
      </c>
      <c r="J131" t="s">
        <v>458</v>
      </c>
      <c r="K131">
        <v>0</v>
      </c>
      <c r="L131" t="s">
        <v>341</v>
      </c>
    </row>
    <row r="132" spans="1:12" x14ac:dyDescent="0.25">
      <c r="A132">
        <v>377900</v>
      </c>
      <c r="B132" t="s">
        <v>336</v>
      </c>
      <c r="C132" t="s">
        <v>582</v>
      </c>
      <c r="D132" t="s">
        <v>342</v>
      </c>
      <c r="E132" t="s">
        <v>464</v>
      </c>
      <c r="F132" t="s">
        <v>338</v>
      </c>
      <c r="G132" t="s">
        <v>344</v>
      </c>
      <c r="H132" s="100">
        <v>44896</v>
      </c>
      <c r="I132" s="100">
        <v>45016</v>
      </c>
      <c r="J132" t="s">
        <v>458</v>
      </c>
      <c r="K132">
        <v>0</v>
      </c>
      <c r="L132" t="s">
        <v>341</v>
      </c>
    </row>
    <row r="133" spans="1:12" x14ac:dyDescent="0.25">
      <c r="A133">
        <v>378722</v>
      </c>
      <c r="B133" t="s">
        <v>336</v>
      </c>
      <c r="C133" t="s">
        <v>582</v>
      </c>
      <c r="D133" t="s">
        <v>342</v>
      </c>
      <c r="E133" t="s">
        <v>466</v>
      </c>
      <c r="F133" t="s">
        <v>338</v>
      </c>
      <c r="G133" t="s">
        <v>344</v>
      </c>
      <c r="H133" s="100">
        <v>45047</v>
      </c>
      <c r="I133" s="100">
        <v>45064</v>
      </c>
      <c r="J133" t="s">
        <v>458</v>
      </c>
      <c r="K133">
        <v>0</v>
      </c>
      <c r="L133" t="s">
        <v>341</v>
      </c>
    </row>
    <row r="134" spans="1:12" x14ac:dyDescent="0.25">
      <c r="A134">
        <v>378715</v>
      </c>
      <c r="B134" t="s">
        <v>336</v>
      </c>
      <c r="C134" t="s">
        <v>582</v>
      </c>
      <c r="D134" t="s">
        <v>342</v>
      </c>
      <c r="E134" t="s">
        <v>468</v>
      </c>
      <c r="F134" t="s">
        <v>338</v>
      </c>
      <c r="G134" t="s">
        <v>344</v>
      </c>
      <c r="H134" s="100">
        <v>44927</v>
      </c>
      <c r="I134" s="100">
        <v>44985</v>
      </c>
      <c r="J134" t="s">
        <v>458</v>
      </c>
      <c r="K134">
        <v>0</v>
      </c>
      <c r="L134" t="s">
        <v>341</v>
      </c>
    </row>
    <row r="135" spans="1:12" x14ac:dyDescent="0.25">
      <c r="A135">
        <v>378723</v>
      </c>
      <c r="B135" t="s">
        <v>336</v>
      </c>
      <c r="C135" t="s">
        <v>582</v>
      </c>
      <c r="D135" t="s">
        <v>342</v>
      </c>
      <c r="E135" t="s">
        <v>469</v>
      </c>
      <c r="F135" t="s">
        <v>338</v>
      </c>
      <c r="G135" t="s">
        <v>344</v>
      </c>
      <c r="H135" s="100">
        <v>45047</v>
      </c>
      <c r="I135" s="100">
        <v>45077</v>
      </c>
      <c r="J135" t="s">
        <v>458</v>
      </c>
      <c r="K135">
        <v>0</v>
      </c>
      <c r="L135" t="s">
        <v>341</v>
      </c>
    </row>
    <row r="136" spans="1:12" x14ac:dyDescent="0.25">
      <c r="A136">
        <v>378718</v>
      </c>
      <c r="B136" t="s">
        <v>336</v>
      </c>
      <c r="C136" t="s">
        <v>582</v>
      </c>
      <c r="D136" t="s">
        <v>342</v>
      </c>
      <c r="E136" t="s">
        <v>470</v>
      </c>
      <c r="F136" t="s">
        <v>338</v>
      </c>
      <c r="G136" t="s">
        <v>344</v>
      </c>
      <c r="H136" s="100">
        <v>45017</v>
      </c>
      <c r="I136" s="100">
        <v>45046</v>
      </c>
      <c r="J136" t="s">
        <v>458</v>
      </c>
      <c r="K136">
        <v>0</v>
      </c>
      <c r="L136" t="s">
        <v>341</v>
      </c>
    </row>
    <row r="137" spans="1:12" x14ac:dyDescent="0.25">
      <c r="A137">
        <v>378724</v>
      </c>
      <c r="B137" t="s">
        <v>336</v>
      </c>
      <c r="C137" t="s">
        <v>582</v>
      </c>
      <c r="D137" t="s">
        <v>342</v>
      </c>
      <c r="E137" t="s">
        <v>472</v>
      </c>
      <c r="F137" t="s">
        <v>338</v>
      </c>
      <c r="G137" t="s">
        <v>344</v>
      </c>
      <c r="H137" s="100">
        <v>45047</v>
      </c>
      <c r="I137" s="100">
        <v>45085</v>
      </c>
      <c r="J137" t="s">
        <v>458</v>
      </c>
      <c r="K137">
        <v>0</v>
      </c>
      <c r="L137" t="s">
        <v>341</v>
      </c>
    </row>
    <row r="138" spans="1:12" x14ac:dyDescent="0.25">
      <c r="A138">
        <v>378717</v>
      </c>
      <c r="B138" t="s">
        <v>336</v>
      </c>
      <c r="C138" t="s">
        <v>582</v>
      </c>
      <c r="D138" t="s">
        <v>342</v>
      </c>
      <c r="E138" t="s">
        <v>473</v>
      </c>
      <c r="F138" t="s">
        <v>338</v>
      </c>
      <c r="G138" t="s">
        <v>344</v>
      </c>
      <c r="H138" s="100">
        <v>45017</v>
      </c>
      <c r="I138" s="100">
        <v>45032</v>
      </c>
      <c r="J138" t="s">
        <v>458</v>
      </c>
      <c r="K138">
        <v>0</v>
      </c>
      <c r="L138" t="s">
        <v>341</v>
      </c>
    </row>
    <row r="139" spans="1:12" x14ac:dyDescent="0.25">
      <c r="A139">
        <v>378714</v>
      </c>
      <c r="B139" t="s">
        <v>336</v>
      </c>
      <c r="C139" t="s">
        <v>582</v>
      </c>
      <c r="D139" t="s">
        <v>342</v>
      </c>
      <c r="E139" t="s">
        <v>474</v>
      </c>
      <c r="F139" t="s">
        <v>338</v>
      </c>
      <c r="G139" t="s">
        <v>344</v>
      </c>
      <c r="H139" s="100">
        <v>44927</v>
      </c>
      <c r="I139" s="100">
        <v>44985</v>
      </c>
      <c r="J139" t="s">
        <v>458</v>
      </c>
      <c r="K139">
        <v>0</v>
      </c>
      <c r="L139" t="s">
        <v>341</v>
      </c>
    </row>
    <row r="140" spans="1:12" x14ac:dyDescent="0.25">
      <c r="A140">
        <v>387294</v>
      </c>
      <c r="B140" t="s">
        <v>336</v>
      </c>
      <c r="C140" t="s">
        <v>584</v>
      </c>
      <c r="D140" t="s">
        <v>580</v>
      </c>
      <c r="E140" t="s">
        <v>477</v>
      </c>
      <c r="F140" t="s">
        <v>338</v>
      </c>
      <c r="G140" t="s">
        <v>365</v>
      </c>
      <c r="H140" s="100">
        <v>45017</v>
      </c>
      <c r="I140" s="100">
        <v>45291</v>
      </c>
      <c r="J140" t="s">
        <v>458</v>
      </c>
      <c r="K140">
        <v>0</v>
      </c>
      <c r="L140" t="s">
        <v>341</v>
      </c>
    </row>
    <row r="141" spans="1:12" x14ac:dyDescent="0.25">
      <c r="A141">
        <v>387293</v>
      </c>
      <c r="B141" t="s">
        <v>336</v>
      </c>
      <c r="C141" t="s">
        <v>584</v>
      </c>
      <c r="D141" t="s">
        <v>580</v>
      </c>
      <c r="E141" t="s">
        <v>475</v>
      </c>
      <c r="F141" t="s">
        <v>338</v>
      </c>
      <c r="G141" t="s">
        <v>365</v>
      </c>
      <c r="H141" s="100">
        <v>45200</v>
      </c>
      <c r="I141" s="100">
        <v>45291</v>
      </c>
      <c r="J141" t="s">
        <v>458</v>
      </c>
      <c r="K141">
        <v>0</v>
      </c>
      <c r="L141" t="s">
        <v>341</v>
      </c>
    </row>
    <row r="142" spans="1:12" x14ac:dyDescent="0.25">
      <c r="A142">
        <v>387281</v>
      </c>
      <c r="B142" t="s">
        <v>336</v>
      </c>
      <c r="C142" t="s">
        <v>584</v>
      </c>
      <c r="D142" t="s">
        <v>580</v>
      </c>
      <c r="E142" t="s">
        <v>479</v>
      </c>
      <c r="F142" t="s">
        <v>338</v>
      </c>
      <c r="G142" t="s">
        <v>365</v>
      </c>
      <c r="H142" s="100">
        <v>45017</v>
      </c>
      <c r="I142" s="100">
        <v>45108</v>
      </c>
      <c r="J142" t="s">
        <v>458</v>
      </c>
      <c r="K142">
        <v>0</v>
      </c>
      <c r="L142" t="s">
        <v>341</v>
      </c>
    </row>
    <row r="143" spans="1:12" x14ac:dyDescent="0.25">
      <c r="A143">
        <v>387295</v>
      </c>
      <c r="B143" t="s">
        <v>336</v>
      </c>
      <c r="C143" t="s">
        <v>584</v>
      </c>
      <c r="D143" t="s">
        <v>580</v>
      </c>
      <c r="E143" t="s">
        <v>483</v>
      </c>
      <c r="F143" t="s">
        <v>338</v>
      </c>
      <c r="G143" t="s">
        <v>380</v>
      </c>
      <c r="H143" s="100">
        <v>45231</v>
      </c>
      <c r="I143" s="100">
        <v>45323</v>
      </c>
      <c r="J143" t="s">
        <v>458</v>
      </c>
      <c r="K143">
        <v>0</v>
      </c>
      <c r="L143" t="s">
        <v>341</v>
      </c>
    </row>
    <row r="144" spans="1:12" x14ac:dyDescent="0.25">
      <c r="A144">
        <v>387287</v>
      </c>
      <c r="B144" t="s">
        <v>336</v>
      </c>
      <c r="C144" t="s">
        <v>584</v>
      </c>
      <c r="D144" t="s">
        <v>580</v>
      </c>
      <c r="E144" t="s">
        <v>484</v>
      </c>
      <c r="F144" t="s">
        <v>338</v>
      </c>
      <c r="G144" t="s">
        <v>380</v>
      </c>
      <c r="H144" s="100">
        <v>45108</v>
      </c>
      <c r="I144" s="100">
        <v>45291</v>
      </c>
      <c r="J144" t="s">
        <v>458</v>
      </c>
      <c r="K144">
        <v>0</v>
      </c>
      <c r="L144" t="s">
        <v>341</v>
      </c>
    </row>
    <row r="145" spans="1:12" x14ac:dyDescent="0.25">
      <c r="A145">
        <v>387278</v>
      </c>
      <c r="B145" t="s">
        <v>336</v>
      </c>
      <c r="C145" t="s">
        <v>584</v>
      </c>
      <c r="D145" t="s">
        <v>580</v>
      </c>
      <c r="E145" t="s">
        <v>485</v>
      </c>
      <c r="F145" t="s">
        <v>338</v>
      </c>
      <c r="G145" t="s">
        <v>396</v>
      </c>
      <c r="H145" s="100">
        <v>44986</v>
      </c>
      <c r="I145" s="100">
        <v>45107</v>
      </c>
      <c r="J145" t="s">
        <v>458</v>
      </c>
      <c r="K145">
        <v>0</v>
      </c>
      <c r="L145" t="s">
        <v>341</v>
      </c>
    </row>
    <row r="146" spans="1:12" x14ac:dyDescent="0.25">
      <c r="A146">
        <v>378720</v>
      </c>
      <c r="B146" t="s">
        <v>336</v>
      </c>
      <c r="C146" t="s">
        <v>582</v>
      </c>
      <c r="D146" t="s">
        <v>342</v>
      </c>
      <c r="E146" t="s">
        <v>487</v>
      </c>
      <c r="F146" t="s">
        <v>338</v>
      </c>
      <c r="G146" t="s">
        <v>399</v>
      </c>
      <c r="H146" s="100">
        <v>45047</v>
      </c>
      <c r="I146" s="100">
        <v>45067</v>
      </c>
      <c r="J146" t="s">
        <v>458</v>
      </c>
      <c r="K146">
        <v>0</v>
      </c>
      <c r="L146" t="s">
        <v>341</v>
      </c>
    </row>
    <row r="147" spans="1:12" x14ac:dyDescent="0.25">
      <c r="A147">
        <v>387227</v>
      </c>
      <c r="B147" t="s">
        <v>336</v>
      </c>
      <c r="C147" t="s">
        <v>581</v>
      </c>
      <c r="D147" t="s">
        <v>580</v>
      </c>
      <c r="E147" t="s">
        <v>492</v>
      </c>
      <c r="F147" t="s">
        <v>338</v>
      </c>
      <c r="G147" t="s">
        <v>434</v>
      </c>
      <c r="H147" s="100">
        <v>45292</v>
      </c>
      <c r="I147" s="100">
        <v>45657</v>
      </c>
      <c r="J147" t="s">
        <v>458</v>
      </c>
      <c r="K147">
        <v>0</v>
      </c>
      <c r="L147" t="s">
        <v>341</v>
      </c>
    </row>
    <row r="148" spans="1:12" x14ac:dyDescent="0.25">
      <c r="A148">
        <v>387228</v>
      </c>
      <c r="B148" t="s">
        <v>336</v>
      </c>
      <c r="C148" t="s">
        <v>581</v>
      </c>
      <c r="D148" t="s">
        <v>580</v>
      </c>
      <c r="E148" t="s">
        <v>586</v>
      </c>
      <c r="F148" t="s">
        <v>338</v>
      </c>
      <c r="G148" t="s">
        <v>434</v>
      </c>
      <c r="H148" s="100">
        <v>45292</v>
      </c>
      <c r="I148" s="100">
        <v>45657</v>
      </c>
      <c r="J148" t="s">
        <v>458</v>
      </c>
      <c r="K148">
        <v>0</v>
      </c>
      <c r="L148" t="s">
        <v>341</v>
      </c>
    </row>
    <row r="149" spans="1:12" x14ac:dyDescent="0.25">
      <c r="A149">
        <v>387230</v>
      </c>
      <c r="B149" t="s">
        <v>336</v>
      </c>
      <c r="C149" t="s">
        <v>581</v>
      </c>
      <c r="D149" t="s">
        <v>580</v>
      </c>
      <c r="E149" t="s">
        <v>496</v>
      </c>
      <c r="F149" t="s">
        <v>338</v>
      </c>
      <c r="G149" t="s">
        <v>434</v>
      </c>
      <c r="H149" s="100">
        <v>45292</v>
      </c>
      <c r="I149" s="100">
        <v>45657</v>
      </c>
      <c r="J149" t="s">
        <v>458</v>
      </c>
      <c r="K149">
        <v>0</v>
      </c>
      <c r="L149" t="s">
        <v>341</v>
      </c>
    </row>
    <row r="150" spans="1:12" x14ac:dyDescent="0.25">
      <c r="A150">
        <v>387204</v>
      </c>
      <c r="B150" t="s">
        <v>336</v>
      </c>
      <c r="C150" t="s">
        <v>581</v>
      </c>
      <c r="D150" t="s">
        <v>580</v>
      </c>
      <c r="E150" t="s">
        <v>553</v>
      </c>
      <c r="F150" t="s">
        <v>338</v>
      </c>
      <c r="G150" t="s">
        <v>344</v>
      </c>
      <c r="H150" s="100">
        <v>44562</v>
      </c>
      <c r="I150" s="100">
        <v>44924</v>
      </c>
      <c r="J150" t="s">
        <v>504</v>
      </c>
      <c r="K150">
        <v>0</v>
      </c>
      <c r="L150" t="s">
        <v>341</v>
      </c>
    </row>
    <row r="151" spans="1:12" x14ac:dyDescent="0.25">
      <c r="A151">
        <v>387173</v>
      </c>
      <c r="B151" t="s">
        <v>336</v>
      </c>
      <c r="C151" t="s">
        <v>581</v>
      </c>
      <c r="D151" t="s">
        <v>580</v>
      </c>
      <c r="E151" t="s">
        <v>526</v>
      </c>
      <c r="F151" t="s">
        <v>338</v>
      </c>
      <c r="G151" t="s">
        <v>344</v>
      </c>
      <c r="H151" s="100">
        <v>44197</v>
      </c>
      <c r="I151" s="100">
        <v>44531</v>
      </c>
      <c r="J151" t="s">
        <v>504</v>
      </c>
      <c r="K151">
        <v>0</v>
      </c>
      <c r="L151" t="s">
        <v>341</v>
      </c>
    </row>
    <row r="152" spans="1:12" x14ac:dyDescent="0.25">
      <c r="A152">
        <v>387201</v>
      </c>
      <c r="B152" t="s">
        <v>336</v>
      </c>
      <c r="C152" t="s">
        <v>581</v>
      </c>
      <c r="D152" t="s">
        <v>580</v>
      </c>
      <c r="E152" t="s">
        <v>542</v>
      </c>
      <c r="F152" t="s">
        <v>338</v>
      </c>
      <c r="G152" t="s">
        <v>344</v>
      </c>
      <c r="H152" s="100">
        <v>44562</v>
      </c>
      <c r="I152" s="100">
        <v>44924</v>
      </c>
      <c r="J152" t="s">
        <v>504</v>
      </c>
      <c r="K152">
        <v>0</v>
      </c>
      <c r="L152" t="s">
        <v>341</v>
      </c>
    </row>
    <row r="153" spans="1:12" x14ac:dyDescent="0.25">
      <c r="A153">
        <v>387180</v>
      </c>
      <c r="B153" t="s">
        <v>336</v>
      </c>
      <c r="C153" t="s">
        <v>581</v>
      </c>
      <c r="D153" t="s">
        <v>580</v>
      </c>
      <c r="E153" t="s">
        <v>538</v>
      </c>
      <c r="F153" t="s">
        <v>338</v>
      </c>
      <c r="G153" t="s">
        <v>344</v>
      </c>
      <c r="H153" s="100">
        <v>44562</v>
      </c>
      <c r="I153" s="100">
        <v>44593</v>
      </c>
      <c r="J153" t="s">
        <v>504</v>
      </c>
      <c r="K153">
        <v>0</v>
      </c>
      <c r="L153" t="s">
        <v>341</v>
      </c>
    </row>
    <row r="154" spans="1:12" x14ac:dyDescent="0.25">
      <c r="A154">
        <v>387168</v>
      </c>
      <c r="B154" t="s">
        <v>336</v>
      </c>
      <c r="C154" t="s">
        <v>581</v>
      </c>
      <c r="D154" t="s">
        <v>580</v>
      </c>
      <c r="E154" t="s">
        <v>544</v>
      </c>
      <c r="F154" t="s">
        <v>338</v>
      </c>
      <c r="G154" t="s">
        <v>344</v>
      </c>
      <c r="H154" s="100">
        <v>44197</v>
      </c>
      <c r="I154" s="100">
        <v>44440</v>
      </c>
      <c r="J154" t="s">
        <v>504</v>
      </c>
      <c r="K154">
        <v>0</v>
      </c>
      <c r="L154" t="s">
        <v>341</v>
      </c>
    </row>
    <row r="155" spans="1:12" x14ac:dyDescent="0.25">
      <c r="A155">
        <v>387156</v>
      </c>
      <c r="B155" t="s">
        <v>336</v>
      </c>
      <c r="C155" t="s">
        <v>581</v>
      </c>
      <c r="D155" t="s">
        <v>580</v>
      </c>
      <c r="E155" t="s">
        <v>541</v>
      </c>
      <c r="F155" t="s">
        <v>338</v>
      </c>
      <c r="G155" t="s">
        <v>344</v>
      </c>
      <c r="H155" s="100">
        <v>43831</v>
      </c>
      <c r="I155" s="100">
        <v>44166</v>
      </c>
      <c r="J155" t="s">
        <v>504</v>
      </c>
      <c r="K155">
        <v>0</v>
      </c>
      <c r="L155" t="s">
        <v>341</v>
      </c>
    </row>
    <row r="156" spans="1:12" x14ac:dyDescent="0.25">
      <c r="A156">
        <v>387166</v>
      </c>
      <c r="B156" t="s">
        <v>336</v>
      </c>
      <c r="C156" t="s">
        <v>581</v>
      </c>
      <c r="D156" t="s">
        <v>580</v>
      </c>
      <c r="E156" t="s">
        <v>558</v>
      </c>
      <c r="F156" t="s">
        <v>338</v>
      </c>
      <c r="G156" t="s">
        <v>344</v>
      </c>
      <c r="H156" s="100">
        <v>44197</v>
      </c>
      <c r="I156" s="100">
        <v>44378</v>
      </c>
      <c r="J156" t="s">
        <v>504</v>
      </c>
      <c r="K156">
        <v>0</v>
      </c>
      <c r="L156" t="s">
        <v>341</v>
      </c>
    </row>
    <row r="157" spans="1:12" x14ac:dyDescent="0.25">
      <c r="A157">
        <v>387205</v>
      </c>
      <c r="B157" t="s">
        <v>336</v>
      </c>
      <c r="C157" t="s">
        <v>581</v>
      </c>
      <c r="D157" t="s">
        <v>580</v>
      </c>
      <c r="E157" t="s">
        <v>561</v>
      </c>
      <c r="F157" t="s">
        <v>338</v>
      </c>
      <c r="G157" t="s">
        <v>344</v>
      </c>
      <c r="H157" s="100">
        <v>44562</v>
      </c>
      <c r="I157" s="100">
        <v>44924</v>
      </c>
      <c r="J157" t="s">
        <v>504</v>
      </c>
      <c r="K157">
        <v>0</v>
      </c>
      <c r="L157" t="s">
        <v>341</v>
      </c>
    </row>
    <row r="158" spans="1:12" x14ac:dyDescent="0.25">
      <c r="A158">
        <v>387169</v>
      </c>
      <c r="B158" t="s">
        <v>336</v>
      </c>
      <c r="C158" t="s">
        <v>581</v>
      </c>
      <c r="D158" t="s">
        <v>580</v>
      </c>
      <c r="E158" t="s">
        <v>551</v>
      </c>
      <c r="F158" t="s">
        <v>338</v>
      </c>
      <c r="G158" t="s">
        <v>344</v>
      </c>
      <c r="H158" s="100">
        <v>44197</v>
      </c>
      <c r="I158" s="100">
        <v>44440</v>
      </c>
      <c r="J158" t="s">
        <v>504</v>
      </c>
      <c r="K158">
        <v>0</v>
      </c>
      <c r="L158" t="s">
        <v>341</v>
      </c>
    </row>
    <row r="159" spans="1:12" x14ac:dyDescent="0.25">
      <c r="A159">
        <v>387182</v>
      </c>
      <c r="B159" t="s">
        <v>336</v>
      </c>
      <c r="C159" t="s">
        <v>581</v>
      </c>
      <c r="D159" t="s">
        <v>580</v>
      </c>
      <c r="E159" t="s">
        <v>522</v>
      </c>
      <c r="F159" t="s">
        <v>338</v>
      </c>
      <c r="G159" t="s">
        <v>344</v>
      </c>
      <c r="H159" s="100">
        <v>44562</v>
      </c>
      <c r="I159" s="100">
        <v>44724</v>
      </c>
      <c r="J159" t="s">
        <v>504</v>
      </c>
      <c r="K159">
        <v>0</v>
      </c>
      <c r="L159" t="s">
        <v>341</v>
      </c>
    </row>
    <row r="160" spans="1:12" x14ac:dyDescent="0.25">
      <c r="A160">
        <v>387197</v>
      </c>
      <c r="B160" t="s">
        <v>336</v>
      </c>
      <c r="C160" t="s">
        <v>581</v>
      </c>
      <c r="D160" t="s">
        <v>580</v>
      </c>
      <c r="E160" t="s">
        <v>533</v>
      </c>
      <c r="F160" t="s">
        <v>338</v>
      </c>
      <c r="G160" t="s">
        <v>344</v>
      </c>
      <c r="H160" s="100">
        <v>44562</v>
      </c>
      <c r="I160" s="100">
        <v>44924</v>
      </c>
      <c r="J160" t="s">
        <v>504</v>
      </c>
      <c r="K160">
        <v>0</v>
      </c>
      <c r="L160" t="s">
        <v>341</v>
      </c>
    </row>
    <row r="161" spans="1:12" x14ac:dyDescent="0.25">
      <c r="A161">
        <v>387183</v>
      </c>
      <c r="B161" t="s">
        <v>336</v>
      </c>
      <c r="C161" t="s">
        <v>581</v>
      </c>
      <c r="D161" t="s">
        <v>580</v>
      </c>
      <c r="E161" t="s">
        <v>552</v>
      </c>
      <c r="F161" t="s">
        <v>338</v>
      </c>
      <c r="G161" t="s">
        <v>344</v>
      </c>
      <c r="H161" s="100">
        <v>44562</v>
      </c>
      <c r="I161" s="100">
        <v>44724</v>
      </c>
      <c r="J161" t="s">
        <v>504</v>
      </c>
      <c r="K161">
        <v>0</v>
      </c>
      <c r="L161" t="s">
        <v>341</v>
      </c>
    </row>
    <row r="162" spans="1:12" x14ac:dyDescent="0.25">
      <c r="A162">
        <v>387178</v>
      </c>
      <c r="B162" t="s">
        <v>336</v>
      </c>
      <c r="C162" t="s">
        <v>581</v>
      </c>
      <c r="D162" t="s">
        <v>580</v>
      </c>
      <c r="E162" t="s">
        <v>523</v>
      </c>
      <c r="F162" t="s">
        <v>338</v>
      </c>
      <c r="G162" t="s">
        <v>344</v>
      </c>
      <c r="H162" s="100">
        <v>44197</v>
      </c>
      <c r="I162" s="100">
        <v>44559</v>
      </c>
      <c r="J162" t="s">
        <v>504</v>
      </c>
      <c r="K162">
        <v>0</v>
      </c>
      <c r="L162" t="s">
        <v>341</v>
      </c>
    </row>
    <row r="163" spans="1:12" x14ac:dyDescent="0.25">
      <c r="A163">
        <v>387195</v>
      </c>
      <c r="B163" t="s">
        <v>336</v>
      </c>
      <c r="C163" t="s">
        <v>581</v>
      </c>
      <c r="D163" t="s">
        <v>580</v>
      </c>
      <c r="E163" t="s">
        <v>527</v>
      </c>
      <c r="F163" t="s">
        <v>338</v>
      </c>
      <c r="G163" t="s">
        <v>344</v>
      </c>
      <c r="H163" s="100">
        <v>44562</v>
      </c>
      <c r="I163" s="100">
        <v>44924</v>
      </c>
      <c r="J163" t="s">
        <v>504</v>
      </c>
      <c r="K163">
        <v>0</v>
      </c>
      <c r="L163" t="s">
        <v>341</v>
      </c>
    </row>
    <row r="164" spans="1:12" x14ac:dyDescent="0.25">
      <c r="A164">
        <v>387181</v>
      </c>
      <c r="B164" t="s">
        <v>336</v>
      </c>
      <c r="C164" t="s">
        <v>581</v>
      </c>
      <c r="D164" t="s">
        <v>580</v>
      </c>
      <c r="E164" t="s">
        <v>556</v>
      </c>
      <c r="F164" t="s">
        <v>338</v>
      </c>
      <c r="G164" t="s">
        <v>344</v>
      </c>
      <c r="H164" s="100">
        <v>44562</v>
      </c>
      <c r="I164" s="100">
        <v>44650</v>
      </c>
      <c r="J164" t="s">
        <v>504</v>
      </c>
      <c r="K164">
        <v>0</v>
      </c>
      <c r="L164" t="s">
        <v>341</v>
      </c>
    </row>
    <row r="165" spans="1:12" x14ac:dyDescent="0.25">
      <c r="A165">
        <v>387179</v>
      </c>
      <c r="B165" t="s">
        <v>336</v>
      </c>
      <c r="C165" t="s">
        <v>581</v>
      </c>
      <c r="D165" t="s">
        <v>580</v>
      </c>
      <c r="E165" t="s">
        <v>528</v>
      </c>
      <c r="F165" t="s">
        <v>338</v>
      </c>
      <c r="G165" t="s">
        <v>344</v>
      </c>
      <c r="H165" s="100">
        <v>44197</v>
      </c>
      <c r="I165" s="100">
        <v>44561</v>
      </c>
      <c r="J165" t="s">
        <v>504</v>
      </c>
      <c r="K165">
        <v>0</v>
      </c>
      <c r="L165" t="s">
        <v>341</v>
      </c>
    </row>
    <row r="166" spans="1:12" x14ac:dyDescent="0.25">
      <c r="A166">
        <v>387194</v>
      </c>
      <c r="B166" t="s">
        <v>336</v>
      </c>
      <c r="C166" t="s">
        <v>581</v>
      </c>
      <c r="D166" t="s">
        <v>580</v>
      </c>
      <c r="E166" t="s">
        <v>525</v>
      </c>
      <c r="F166" t="s">
        <v>338</v>
      </c>
      <c r="G166" t="s">
        <v>344</v>
      </c>
      <c r="H166" s="100">
        <v>44562</v>
      </c>
      <c r="I166" s="100">
        <v>44924</v>
      </c>
      <c r="J166" t="s">
        <v>504</v>
      </c>
      <c r="K166">
        <v>0</v>
      </c>
      <c r="L166" t="s">
        <v>341</v>
      </c>
    </row>
    <row r="167" spans="1:12" x14ac:dyDescent="0.25">
      <c r="A167">
        <v>387171</v>
      </c>
      <c r="B167" t="s">
        <v>336</v>
      </c>
      <c r="C167" t="s">
        <v>581</v>
      </c>
      <c r="D167" t="s">
        <v>580</v>
      </c>
      <c r="E167" t="s">
        <v>559</v>
      </c>
      <c r="F167" t="s">
        <v>338</v>
      </c>
      <c r="G167" t="s">
        <v>344</v>
      </c>
      <c r="H167" s="100">
        <v>44197</v>
      </c>
      <c r="I167" s="100">
        <v>44440</v>
      </c>
      <c r="J167" t="s">
        <v>504</v>
      </c>
      <c r="K167">
        <v>0</v>
      </c>
      <c r="L167" t="s">
        <v>341</v>
      </c>
    </row>
    <row r="168" spans="1:12" x14ac:dyDescent="0.25">
      <c r="A168">
        <v>387199</v>
      </c>
      <c r="B168" t="s">
        <v>336</v>
      </c>
      <c r="C168" t="s">
        <v>581</v>
      </c>
      <c r="D168" t="s">
        <v>580</v>
      </c>
      <c r="E168" t="s">
        <v>537</v>
      </c>
      <c r="F168" t="s">
        <v>338</v>
      </c>
      <c r="G168" t="s">
        <v>344</v>
      </c>
      <c r="H168" s="100">
        <v>44562</v>
      </c>
      <c r="I168" s="100">
        <v>44924</v>
      </c>
      <c r="J168" t="s">
        <v>504</v>
      </c>
      <c r="K168">
        <v>0</v>
      </c>
      <c r="L168" t="s">
        <v>341</v>
      </c>
    </row>
    <row r="169" spans="1:12" x14ac:dyDescent="0.25">
      <c r="A169">
        <v>387176</v>
      </c>
      <c r="B169" t="s">
        <v>336</v>
      </c>
      <c r="C169" t="s">
        <v>581</v>
      </c>
      <c r="D169" t="s">
        <v>580</v>
      </c>
      <c r="E169" t="s">
        <v>545</v>
      </c>
      <c r="F169" t="s">
        <v>338</v>
      </c>
      <c r="G169" t="s">
        <v>344</v>
      </c>
      <c r="H169" s="100">
        <v>44197</v>
      </c>
      <c r="I169" s="100">
        <v>44531</v>
      </c>
      <c r="J169" t="s">
        <v>504</v>
      </c>
      <c r="K169">
        <v>0</v>
      </c>
      <c r="L169" t="s">
        <v>341</v>
      </c>
    </row>
    <row r="170" spans="1:12" x14ac:dyDescent="0.25">
      <c r="A170">
        <v>387198</v>
      </c>
      <c r="B170" t="s">
        <v>336</v>
      </c>
      <c r="C170" t="s">
        <v>581</v>
      </c>
      <c r="D170" t="s">
        <v>580</v>
      </c>
      <c r="E170" t="s">
        <v>534</v>
      </c>
      <c r="F170" t="s">
        <v>338</v>
      </c>
      <c r="G170" t="s">
        <v>344</v>
      </c>
      <c r="H170" s="100">
        <v>44562</v>
      </c>
      <c r="I170" s="100">
        <v>44924</v>
      </c>
      <c r="J170" t="s">
        <v>504</v>
      </c>
      <c r="K170">
        <v>0</v>
      </c>
      <c r="L170" t="s">
        <v>341</v>
      </c>
    </row>
    <row r="171" spans="1:12" x14ac:dyDescent="0.25">
      <c r="A171">
        <v>387177</v>
      </c>
      <c r="B171" t="s">
        <v>336</v>
      </c>
      <c r="C171" t="s">
        <v>581</v>
      </c>
      <c r="D171" t="s">
        <v>580</v>
      </c>
      <c r="E171" t="s">
        <v>550</v>
      </c>
      <c r="F171" t="s">
        <v>338</v>
      </c>
      <c r="G171" t="s">
        <v>344</v>
      </c>
      <c r="H171" s="100">
        <v>44197</v>
      </c>
      <c r="I171" s="100">
        <v>44531</v>
      </c>
      <c r="J171" t="s">
        <v>504</v>
      </c>
      <c r="K171">
        <v>0</v>
      </c>
      <c r="L171" t="s">
        <v>341</v>
      </c>
    </row>
    <row r="172" spans="1:12" x14ac:dyDescent="0.25">
      <c r="A172">
        <v>387170</v>
      </c>
      <c r="B172" t="s">
        <v>336</v>
      </c>
      <c r="C172" t="s">
        <v>581</v>
      </c>
      <c r="D172" t="s">
        <v>580</v>
      </c>
      <c r="E172" t="s">
        <v>554</v>
      </c>
      <c r="F172" t="s">
        <v>338</v>
      </c>
      <c r="G172" t="s">
        <v>344</v>
      </c>
      <c r="H172" s="100">
        <v>44197</v>
      </c>
      <c r="I172" s="100">
        <v>44440</v>
      </c>
      <c r="J172" t="s">
        <v>504</v>
      </c>
      <c r="K172">
        <v>0</v>
      </c>
      <c r="L172" t="s">
        <v>341</v>
      </c>
    </row>
    <row r="173" spans="1:12" x14ac:dyDescent="0.25">
      <c r="A173">
        <v>387200</v>
      </c>
      <c r="B173" t="s">
        <v>336</v>
      </c>
      <c r="C173" t="s">
        <v>581</v>
      </c>
      <c r="D173" t="s">
        <v>580</v>
      </c>
      <c r="E173" t="s">
        <v>540</v>
      </c>
      <c r="F173" t="s">
        <v>338</v>
      </c>
      <c r="G173" t="s">
        <v>344</v>
      </c>
      <c r="H173" s="100">
        <v>44562</v>
      </c>
      <c r="I173" s="100">
        <v>44924</v>
      </c>
      <c r="J173" t="s">
        <v>504</v>
      </c>
      <c r="K173">
        <v>0</v>
      </c>
      <c r="L173" t="s">
        <v>341</v>
      </c>
    </row>
    <row r="174" spans="1:12" x14ac:dyDescent="0.25">
      <c r="A174">
        <v>387196</v>
      </c>
      <c r="B174" t="s">
        <v>336</v>
      </c>
      <c r="C174" t="s">
        <v>581</v>
      </c>
      <c r="D174" t="s">
        <v>580</v>
      </c>
      <c r="E174" t="s">
        <v>529</v>
      </c>
      <c r="F174" t="s">
        <v>338</v>
      </c>
      <c r="G174" t="s">
        <v>344</v>
      </c>
      <c r="H174" s="100">
        <v>44531</v>
      </c>
      <c r="I174" s="100">
        <v>44924</v>
      </c>
      <c r="J174" t="s">
        <v>504</v>
      </c>
      <c r="K174">
        <v>0</v>
      </c>
      <c r="L174" t="s">
        <v>341</v>
      </c>
    </row>
    <row r="175" spans="1:12" x14ac:dyDescent="0.25">
      <c r="A175">
        <v>387167</v>
      </c>
      <c r="B175" t="s">
        <v>336</v>
      </c>
      <c r="C175" t="s">
        <v>581</v>
      </c>
      <c r="D175" t="s">
        <v>580</v>
      </c>
      <c r="E175" t="s">
        <v>548</v>
      </c>
      <c r="F175" t="s">
        <v>338</v>
      </c>
      <c r="G175" t="s">
        <v>344</v>
      </c>
      <c r="H175" s="100">
        <v>44197</v>
      </c>
      <c r="I175" s="100">
        <v>44409</v>
      </c>
      <c r="J175" t="s">
        <v>504</v>
      </c>
      <c r="K175">
        <v>0</v>
      </c>
      <c r="L175" t="s">
        <v>341</v>
      </c>
    </row>
    <row r="176" spans="1:12" x14ac:dyDescent="0.25">
      <c r="A176">
        <v>387172</v>
      </c>
      <c r="B176" t="s">
        <v>336</v>
      </c>
      <c r="C176" t="s">
        <v>581</v>
      </c>
      <c r="D176" t="s">
        <v>580</v>
      </c>
      <c r="E176" t="s">
        <v>549</v>
      </c>
      <c r="F176" t="s">
        <v>338</v>
      </c>
      <c r="G176" t="s">
        <v>344</v>
      </c>
      <c r="H176" s="100">
        <v>44197</v>
      </c>
      <c r="I176" s="100">
        <v>44530</v>
      </c>
      <c r="J176" t="s">
        <v>504</v>
      </c>
      <c r="K176">
        <v>0</v>
      </c>
      <c r="L176" t="s">
        <v>341</v>
      </c>
    </row>
    <row r="177" spans="1:12" x14ac:dyDescent="0.25">
      <c r="A177">
        <v>387175</v>
      </c>
      <c r="B177" t="s">
        <v>336</v>
      </c>
      <c r="C177" t="s">
        <v>581</v>
      </c>
      <c r="D177" t="s">
        <v>580</v>
      </c>
      <c r="E177" t="s">
        <v>531</v>
      </c>
      <c r="F177" t="s">
        <v>338</v>
      </c>
      <c r="G177" t="s">
        <v>344</v>
      </c>
      <c r="H177" s="100">
        <v>44197</v>
      </c>
      <c r="I177" s="100">
        <v>44531</v>
      </c>
      <c r="J177" t="s">
        <v>504</v>
      </c>
      <c r="K177">
        <v>0</v>
      </c>
      <c r="L177" t="s">
        <v>341</v>
      </c>
    </row>
    <row r="178" spans="1:12" x14ac:dyDescent="0.25">
      <c r="A178">
        <v>387165</v>
      </c>
      <c r="B178" t="s">
        <v>336</v>
      </c>
      <c r="C178" t="s">
        <v>581</v>
      </c>
      <c r="D178" t="s">
        <v>580</v>
      </c>
      <c r="E178" t="s">
        <v>560</v>
      </c>
      <c r="F178" t="s">
        <v>338</v>
      </c>
      <c r="G178" t="s">
        <v>344</v>
      </c>
      <c r="H178" s="100">
        <v>44197</v>
      </c>
      <c r="I178" s="100">
        <v>44317</v>
      </c>
      <c r="J178" t="s">
        <v>504</v>
      </c>
      <c r="K178">
        <v>0</v>
      </c>
      <c r="L178" t="s">
        <v>341</v>
      </c>
    </row>
    <row r="179" spans="1:12" x14ac:dyDescent="0.25">
      <c r="A179">
        <v>387174</v>
      </c>
      <c r="B179" t="s">
        <v>336</v>
      </c>
      <c r="C179" t="s">
        <v>581</v>
      </c>
      <c r="D179" t="s">
        <v>580</v>
      </c>
      <c r="E179" t="s">
        <v>530</v>
      </c>
      <c r="F179" t="s">
        <v>338</v>
      </c>
      <c r="G179" t="s">
        <v>344</v>
      </c>
      <c r="H179" s="100">
        <v>44197</v>
      </c>
      <c r="I179" s="100">
        <v>44531</v>
      </c>
      <c r="J179" t="s">
        <v>504</v>
      </c>
      <c r="K179">
        <v>0</v>
      </c>
      <c r="L179" t="s">
        <v>341</v>
      </c>
    </row>
    <row r="180" spans="1:12" x14ac:dyDescent="0.25">
      <c r="A180">
        <v>387236</v>
      </c>
      <c r="B180" t="s">
        <v>336</v>
      </c>
      <c r="C180" t="s">
        <v>579</v>
      </c>
      <c r="D180" t="s">
        <v>580</v>
      </c>
      <c r="E180" t="s">
        <v>515</v>
      </c>
      <c r="F180" t="s">
        <v>338</v>
      </c>
      <c r="G180" t="s">
        <v>368</v>
      </c>
      <c r="H180" s="100">
        <v>44568</v>
      </c>
      <c r="I180" s="100">
        <v>44767</v>
      </c>
      <c r="J180" t="s">
        <v>504</v>
      </c>
      <c r="K180">
        <v>0</v>
      </c>
      <c r="L180" t="s">
        <v>341</v>
      </c>
    </row>
    <row r="181" spans="1:12" x14ac:dyDescent="0.25">
      <c r="A181">
        <v>387234</v>
      </c>
      <c r="B181" t="s">
        <v>336</v>
      </c>
      <c r="C181" t="s">
        <v>579</v>
      </c>
      <c r="D181" t="s">
        <v>580</v>
      </c>
      <c r="E181" t="s">
        <v>513</v>
      </c>
      <c r="F181" t="s">
        <v>338</v>
      </c>
      <c r="G181" t="s">
        <v>368</v>
      </c>
      <c r="H181" s="100">
        <v>44507</v>
      </c>
      <c r="I181" s="100">
        <v>44629</v>
      </c>
      <c r="J181" t="s">
        <v>504</v>
      </c>
      <c r="K181">
        <v>0</v>
      </c>
      <c r="L181" t="s">
        <v>341</v>
      </c>
    </row>
    <row r="182" spans="1:12" x14ac:dyDescent="0.25">
      <c r="A182">
        <v>387233</v>
      </c>
      <c r="B182" t="s">
        <v>336</v>
      </c>
      <c r="C182" t="s">
        <v>579</v>
      </c>
      <c r="D182" t="s">
        <v>580</v>
      </c>
      <c r="E182" t="s">
        <v>512</v>
      </c>
      <c r="F182" t="s">
        <v>338</v>
      </c>
      <c r="G182" t="s">
        <v>368</v>
      </c>
      <c r="H182" s="100">
        <v>44568</v>
      </c>
      <c r="I182" s="100">
        <v>44629</v>
      </c>
      <c r="J182" t="s">
        <v>504</v>
      </c>
      <c r="K182">
        <v>0</v>
      </c>
      <c r="L182" t="s">
        <v>341</v>
      </c>
    </row>
    <row r="183" spans="1:12" x14ac:dyDescent="0.25">
      <c r="A183">
        <v>387231</v>
      </c>
      <c r="B183" t="s">
        <v>336</v>
      </c>
      <c r="C183" t="s">
        <v>579</v>
      </c>
      <c r="D183" t="s">
        <v>580</v>
      </c>
      <c r="E183" t="s">
        <v>514</v>
      </c>
      <c r="F183" t="s">
        <v>338</v>
      </c>
      <c r="G183" t="s">
        <v>368</v>
      </c>
      <c r="H183" s="100">
        <v>44507</v>
      </c>
      <c r="I183" s="100">
        <v>44572</v>
      </c>
      <c r="J183" t="s">
        <v>504</v>
      </c>
      <c r="K183">
        <v>0</v>
      </c>
      <c r="L183" t="s">
        <v>341</v>
      </c>
    </row>
    <row r="184" spans="1:12" x14ac:dyDescent="0.25">
      <c r="A184">
        <v>387237</v>
      </c>
      <c r="B184" t="s">
        <v>336</v>
      </c>
      <c r="C184" t="s">
        <v>579</v>
      </c>
      <c r="D184" t="s">
        <v>580</v>
      </c>
      <c r="E184" t="s">
        <v>516</v>
      </c>
      <c r="F184" t="s">
        <v>338</v>
      </c>
      <c r="G184" t="s">
        <v>368</v>
      </c>
      <c r="H184" s="100">
        <v>44811</v>
      </c>
      <c r="I184" s="100">
        <v>44874</v>
      </c>
      <c r="J184" t="s">
        <v>504</v>
      </c>
      <c r="K184">
        <v>0</v>
      </c>
      <c r="L184" t="s">
        <v>341</v>
      </c>
    </row>
    <row r="185" spans="1:12" x14ac:dyDescent="0.25">
      <c r="A185">
        <v>387232</v>
      </c>
      <c r="B185" t="s">
        <v>336</v>
      </c>
      <c r="C185" t="s">
        <v>579</v>
      </c>
      <c r="D185" t="s">
        <v>580</v>
      </c>
      <c r="E185" t="s">
        <v>511</v>
      </c>
      <c r="F185" t="s">
        <v>338</v>
      </c>
      <c r="G185" t="s">
        <v>368</v>
      </c>
      <c r="H185" s="100">
        <v>44507</v>
      </c>
      <c r="I185" s="100">
        <v>44620</v>
      </c>
      <c r="J185" t="s">
        <v>504</v>
      </c>
      <c r="K185">
        <v>0</v>
      </c>
      <c r="L185" t="s">
        <v>341</v>
      </c>
    </row>
    <row r="186" spans="1:12" x14ac:dyDescent="0.25">
      <c r="A186">
        <v>387235</v>
      </c>
      <c r="B186" t="s">
        <v>336</v>
      </c>
      <c r="C186" t="s">
        <v>579</v>
      </c>
      <c r="D186" t="s">
        <v>580</v>
      </c>
      <c r="E186" t="s">
        <v>510</v>
      </c>
      <c r="F186" t="s">
        <v>338</v>
      </c>
      <c r="G186" t="s">
        <v>368</v>
      </c>
      <c r="H186" s="100">
        <v>44596</v>
      </c>
      <c r="I186" s="100">
        <v>44747</v>
      </c>
      <c r="J186" t="s">
        <v>504</v>
      </c>
      <c r="K186">
        <v>0</v>
      </c>
      <c r="L186" t="s">
        <v>341</v>
      </c>
    </row>
    <row r="187" spans="1:12" x14ac:dyDescent="0.25">
      <c r="A187">
        <v>387157</v>
      </c>
      <c r="B187" t="s">
        <v>336</v>
      </c>
      <c r="C187" t="s">
        <v>581</v>
      </c>
      <c r="D187" t="s">
        <v>580</v>
      </c>
      <c r="E187" t="s">
        <v>587</v>
      </c>
      <c r="F187" t="s">
        <v>338</v>
      </c>
      <c r="G187" t="s">
        <v>441</v>
      </c>
      <c r="H187" s="100">
        <v>43831</v>
      </c>
      <c r="I187" s="100">
        <v>44166</v>
      </c>
      <c r="J187" t="s">
        <v>504</v>
      </c>
      <c r="K187">
        <v>0</v>
      </c>
      <c r="L187" t="s">
        <v>341</v>
      </c>
    </row>
    <row r="188" spans="1:12" x14ac:dyDescent="0.25">
      <c r="A188">
        <v>387155</v>
      </c>
      <c r="B188" t="s">
        <v>336</v>
      </c>
      <c r="C188" t="s">
        <v>581</v>
      </c>
      <c r="D188" t="s">
        <v>580</v>
      </c>
      <c r="E188" t="s">
        <v>532</v>
      </c>
      <c r="F188" t="s">
        <v>338</v>
      </c>
      <c r="G188" t="s">
        <v>441</v>
      </c>
      <c r="H188" s="100">
        <v>43831</v>
      </c>
      <c r="I188" s="100">
        <v>44166</v>
      </c>
      <c r="J188" t="s">
        <v>504</v>
      </c>
      <c r="K188">
        <v>0</v>
      </c>
      <c r="L188" t="s">
        <v>341</v>
      </c>
    </row>
    <row r="189" spans="1:12" x14ac:dyDescent="0.25">
      <c r="A189">
        <v>387164</v>
      </c>
      <c r="B189" t="s">
        <v>336</v>
      </c>
      <c r="C189" t="s">
        <v>581</v>
      </c>
      <c r="D189" t="s">
        <v>580</v>
      </c>
      <c r="E189" t="s">
        <v>539</v>
      </c>
      <c r="F189" t="s">
        <v>338</v>
      </c>
      <c r="G189" t="s">
        <v>441</v>
      </c>
      <c r="H189" s="100">
        <v>43831</v>
      </c>
      <c r="I189" s="100">
        <v>44196</v>
      </c>
      <c r="J189" t="s">
        <v>504</v>
      </c>
      <c r="K189">
        <v>0</v>
      </c>
      <c r="L189" t="s">
        <v>341</v>
      </c>
    </row>
    <row r="190" spans="1:12" x14ac:dyDescent="0.25">
      <c r="A190">
        <v>387160</v>
      </c>
      <c r="B190" t="s">
        <v>336</v>
      </c>
      <c r="C190" t="s">
        <v>581</v>
      </c>
      <c r="D190" t="s">
        <v>580</v>
      </c>
      <c r="E190" t="s">
        <v>562</v>
      </c>
      <c r="F190" t="s">
        <v>338</v>
      </c>
      <c r="G190" t="s">
        <v>441</v>
      </c>
      <c r="H190" s="100">
        <v>43831</v>
      </c>
      <c r="I190" s="100">
        <v>44166</v>
      </c>
      <c r="J190" t="s">
        <v>504</v>
      </c>
      <c r="K190">
        <v>0</v>
      </c>
      <c r="L190" t="s">
        <v>341</v>
      </c>
    </row>
    <row r="191" spans="1:12" x14ac:dyDescent="0.25">
      <c r="A191">
        <v>387161</v>
      </c>
      <c r="B191" t="s">
        <v>336</v>
      </c>
      <c r="C191" t="s">
        <v>581</v>
      </c>
      <c r="D191" t="s">
        <v>580</v>
      </c>
      <c r="E191" t="s">
        <v>524</v>
      </c>
      <c r="F191" t="s">
        <v>338</v>
      </c>
      <c r="G191" t="s">
        <v>441</v>
      </c>
      <c r="H191" s="100">
        <v>43831</v>
      </c>
      <c r="I191" s="100">
        <v>44196</v>
      </c>
      <c r="J191" t="s">
        <v>504</v>
      </c>
      <c r="K191">
        <v>0</v>
      </c>
      <c r="L191" t="s">
        <v>341</v>
      </c>
    </row>
    <row r="192" spans="1:12" x14ac:dyDescent="0.25">
      <c r="A192">
        <v>387159</v>
      </c>
      <c r="B192" t="s">
        <v>336</v>
      </c>
      <c r="C192" t="s">
        <v>581</v>
      </c>
      <c r="D192" t="s">
        <v>580</v>
      </c>
      <c r="E192" t="s">
        <v>557</v>
      </c>
      <c r="F192" t="s">
        <v>338</v>
      </c>
      <c r="G192" t="s">
        <v>441</v>
      </c>
      <c r="H192" s="100">
        <v>43831</v>
      </c>
      <c r="I192" s="100">
        <v>44166</v>
      </c>
      <c r="J192" t="s">
        <v>504</v>
      </c>
      <c r="K192">
        <v>0</v>
      </c>
      <c r="L192" t="s">
        <v>341</v>
      </c>
    </row>
    <row r="193" spans="1:12" x14ac:dyDescent="0.25">
      <c r="A193">
        <v>387163</v>
      </c>
      <c r="B193" t="s">
        <v>336</v>
      </c>
      <c r="C193" t="s">
        <v>581</v>
      </c>
      <c r="D193" t="s">
        <v>580</v>
      </c>
      <c r="E193" t="s">
        <v>536</v>
      </c>
      <c r="F193" t="s">
        <v>338</v>
      </c>
      <c r="G193" t="s">
        <v>441</v>
      </c>
      <c r="H193" s="100">
        <v>43831</v>
      </c>
      <c r="I193" s="100">
        <v>44196</v>
      </c>
      <c r="J193" t="s">
        <v>504</v>
      </c>
      <c r="K193">
        <v>0</v>
      </c>
      <c r="L193" t="s">
        <v>341</v>
      </c>
    </row>
    <row r="194" spans="1:12" x14ac:dyDescent="0.25">
      <c r="A194">
        <v>387158</v>
      </c>
      <c r="B194" t="s">
        <v>336</v>
      </c>
      <c r="C194" t="s">
        <v>581</v>
      </c>
      <c r="D194" t="s">
        <v>580</v>
      </c>
      <c r="E194" t="s">
        <v>555</v>
      </c>
      <c r="F194" t="s">
        <v>338</v>
      </c>
      <c r="G194" t="s">
        <v>441</v>
      </c>
      <c r="H194" s="100">
        <v>43831</v>
      </c>
      <c r="I194" s="100">
        <v>44166</v>
      </c>
      <c r="J194" t="s">
        <v>504</v>
      </c>
      <c r="K194">
        <v>0</v>
      </c>
      <c r="L194" t="s">
        <v>341</v>
      </c>
    </row>
    <row r="195" spans="1:12" x14ac:dyDescent="0.25">
      <c r="A195">
        <v>387162</v>
      </c>
      <c r="B195" t="s">
        <v>336</v>
      </c>
      <c r="C195" t="s">
        <v>581</v>
      </c>
      <c r="D195" t="s">
        <v>580</v>
      </c>
      <c r="E195" t="s">
        <v>535</v>
      </c>
      <c r="F195" t="s">
        <v>338</v>
      </c>
      <c r="G195" t="s">
        <v>441</v>
      </c>
      <c r="H195" s="100">
        <v>43831</v>
      </c>
      <c r="I195" s="100">
        <v>44196</v>
      </c>
      <c r="J195" t="s">
        <v>504</v>
      </c>
      <c r="K195">
        <v>0</v>
      </c>
      <c r="L195" t="s">
        <v>341</v>
      </c>
    </row>
    <row r="196" spans="1:12" x14ac:dyDescent="0.25">
      <c r="A196">
        <v>377896</v>
      </c>
      <c r="B196" t="s">
        <v>336</v>
      </c>
      <c r="C196" t="s">
        <v>582</v>
      </c>
      <c r="D196" t="s">
        <v>342</v>
      </c>
      <c r="E196" t="s">
        <v>518</v>
      </c>
      <c r="F196" t="s">
        <v>338</v>
      </c>
      <c r="G196" t="s">
        <v>344</v>
      </c>
      <c r="H196" s="100">
        <v>44789</v>
      </c>
      <c r="I196" s="100">
        <v>44834</v>
      </c>
      <c r="J196" t="s">
        <v>519</v>
      </c>
      <c r="K196">
        <v>1</v>
      </c>
      <c r="L196" t="s">
        <v>341</v>
      </c>
    </row>
    <row r="197" spans="1:12" x14ac:dyDescent="0.25">
      <c r="A197">
        <v>377899</v>
      </c>
      <c r="B197" t="s">
        <v>336</v>
      </c>
      <c r="C197" t="s">
        <v>582</v>
      </c>
      <c r="D197" t="s">
        <v>342</v>
      </c>
      <c r="E197" t="s">
        <v>520</v>
      </c>
      <c r="F197" t="s">
        <v>338</v>
      </c>
      <c r="G197" t="s">
        <v>344</v>
      </c>
      <c r="H197" s="100">
        <v>44789</v>
      </c>
      <c r="I197" s="100">
        <v>44895</v>
      </c>
      <c r="J197" t="s">
        <v>519</v>
      </c>
      <c r="K197">
        <v>1</v>
      </c>
      <c r="L197" t="s">
        <v>341</v>
      </c>
    </row>
    <row r="198" spans="1:12" x14ac:dyDescent="0.25">
      <c r="A198">
        <v>377898</v>
      </c>
      <c r="B198" t="s">
        <v>336</v>
      </c>
      <c r="C198" t="s">
        <v>582</v>
      </c>
      <c r="D198" t="s">
        <v>342</v>
      </c>
      <c r="E198" t="s">
        <v>521</v>
      </c>
      <c r="F198" t="s">
        <v>338</v>
      </c>
      <c r="G198" t="s">
        <v>344</v>
      </c>
      <c r="H198" s="100">
        <v>44789</v>
      </c>
      <c r="I198" s="100">
        <v>44895</v>
      </c>
      <c r="J198" t="s">
        <v>519</v>
      </c>
      <c r="K198">
        <v>1</v>
      </c>
      <c r="L198" t="s">
        <v>341</v>
      </c>
    </row>
    <row r="199" spans="1:12" x14ac:dyDescent="0.25">
      <c r="A199">
        <v>387153</v>
      </c>
      <c r="B199" t="s">
        <v>336</v>
      </c>
      <c r="C199" t="s">
        <v>581</v>
      </c>
      <c r="D199" t="s">
        <v>580</v>
      </c>
      <c r="E199" t="s">
        <v>546</v>
      </c>
      <c r="F199" t="s">
        <v>338</v>
      </c>
      <c r="G199" t="s">
        <v>441</v>
      </c>
      <c r="H199" s="100">
        <v>43831</v>
      </c>
      <c r="I199" s="100">
        <v>43982</v>
      </c>
      <c r="J199" t="s">
        <v>519</v>
      </c>
      <c r="K199">
        <v>0</v>
      </c>
      <c r="L199" t="s">
        <v>341</v>
      </c>
    </row>
    <row r="200" spans="1:12" x14ac:dyDescent="0.25">
      <c r="A200">
        <v>387154</v>
      </c>
      <c r="B200" t="s">
        <v>336</v>
      </c>
      <c r="C200" t="s">
        <v>581</v>
      </c>
      <c r="D200" t="s">
        <v>580</v>
      </c>
      <c r="E200" t="s">
        <v>547</v>
      </c>
      <c r="F200" t="s">
        <v>338</v>
      </c>
      <c r="G200" t="s">
        <v>441</v>
      </c>
      <c r="H200" s="100">
        <v>43831</v>
      </c>
      <c r="I200" s="100">
        <v>44166</v>
      </c>
      <c r="J200" t="s">
        <v>519</v>
      </c>
      <c r="K200">
        <v>0</v>
      </c>
      <c r="L200" t="s">
        <v>341</v>
      </c>
    </row>
    <row r="201" spans="1:12" x14ac:dyDescent="0.25">
      <c r="A201">
        <v>377894</v>
      </c>
      <c r="B201" t="s">
        <v>336</v>
      </c>
      <c r="C201" t="s">
        <v>582</v>
      </c>
      <c r="D201" t="s">
        <v>342</v>
      </c>
      <c r="E201" t="s">
        <v>564</v>
      </c>
      <c r="F201" t="s">
        <v>338</v>
      </c>
      <c r="G201" t="s">
        <v>565</v>
      </c>
      <c r="H201" s="100">
        <v>44789</v>
      </c>
      <c r="I201" s="100">
        <v>44803</v>
      </c>
      <c r="J201" t="s">
        <v>519</v>
      </c>
      <c r="K201">
        <v>1</v>
      </c>
      <c r="L201" t="s">
        <v>341</v>
      </c>
    </row>
  </sheetData>
  <autoFilter ref="A1:L201" xr:uid="{0AC34E12-13AE-4DA3-87FB-118C9C5F611D}"/>
  <mergeCells count="2">
    <mergeCell ref="V1:W1"/>
    <mergeCell ref="X1:Y1"/>
  </mergeCells>
  <pageMargins left="0.7" right="0.7" top="0.75" bottom="0.75" header="0.3" footer="0.3"/>
  <pageSetup orientation="portrait" horizontalDpi="1200" verticalDpi="1200" r:id="rId1"/>
  <headerFooter>
    <oddHeader>&amp;L&amp;"Arial"&amp;10&amp;K000000&amp;1#</oddHeader>
  </headerFooter>
  <ignoredErrors>
    <ignoredError sqref="P2:P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C56E-D393-4291-B2AB-9C4E3DF7C836}">
  <sheetPr codeName="Sheet7">
    <tabColor theme="0" tint="-0.499984740745262"/>
  </sheetPr>
  <dimension ref="A1:D5"/>
  <sheetViews>
    <sheetView showGridLines="0" workbookViewId="0">
      <selection sqref="A1:D5"/>
    </sheetView>
  </sheetViews>
  <sheetFormatPr defaultRowHeight="20.100000000000001" customHeight="1" x14ac:dyDescent="0.25"/>
  <cols>
    <col min="1" max="1" width="4.140625" style="4" customWidth="1"/>
    <col min="2" max="2" width="21" style="4" customWidth="1"/>
    <col min="3" max="3" width="35.5703125" style="4" customWidth="1"/>
    <col min="4" max="4" width="13" style="4" customWidth="1"/>
    <col min="5" max="16384" width="9.140625" style="4"/>
  </cols>
  <sheetData>
    <row r="1" spans="1:4" ht="20.100000000000001" customHeight="1" x14ac:dyDescent="0.25">
      <c r="A1" s="114" t="s">
        <v>74</v>
      </c>
      <c r="B1" s="114" t="s">
        <v>321</v>
      </c>
      <c r="C1" s="114" t="s">
        <v>322</v>
      </c>
      <c r="D1" s="114" t="s">
        <v>323</v>
      </c>
    </row>
    <row r="2" spans="1:4" ht="20.100000000000001" customHeight="1" x14ac:dyDescent="0.25">
      <c r="A2" s="115">
        <v>1</v>
      </c>
      <c r="B2" s="116"/>
      <c r="C2" s="116"/>
      <c r="D2" s="116"/>
    </row>
    <row r="3" spans="1:4" ht="20.100000000000001" customHeight="1" x14ac:dyDescent="0.25">
      <c r="A3" s="115">
        <v>2</v>
      </c>
      <c r="B3" s="116"/>
      <c r="C3" s="116"/>
      <c r="D3" s="116"/>
    </row>
    <row r="4" spans="1:4" ht="20.100000000000001" customHeight="1" x14ac:dyDescent="0.25">
      <c r="A4" s="115">
        <v>3</v>
      </c>
      <c r="B4" s="116"/>
      <c r="C4" s="116"/>
      <c r="D4" s="116"/>
    </row>
    <row r="5" spans="1:4" ht="20.100000000000001" customHeight="1" x14ac:dyDescent="0.25">
      <c r="A5" s="115">
        <v>4</v>
      </c>
      <c r="B5" s="116"/>
      <c r="C5" s="116"/>
      <c r="D5" s="116"/>
    </row>
  </sheetData>
  <pageMargins left="0.7" right="0.7" top="0.75" bottom="0.75" header="0.3" footer="0.3"/>
  <pageSetup orientation="portrait" horizontalDpi="1200" verticalDpi="1200" r:id="rId1"/>
  <headerFooter>
    <oddHeader>&amp;L&amp;"Arial"&amp;10&amp;K000000&amp;1#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5D2F-8A62-401F-994E-F2374A68C6CA}">
  <sheetPr codeName="Sheet8">
    <tabColor theme="0" tint="-0.499984740745262"/>
  </sheetPr>
  <dimension ref="A1:D5"/>
  <sheetViews>
    <sheetView workbookViewId="0">
      <selection activeCell="C9" sqref="C9"/>
    </sheetView>
  </sheetViews>
  <sheetFormatPr defaultRowHeight="15" x14ac:dyDescent="0.25"/>
  <cols>
    <col min="2" max="2" width="16" customWidth="1"/>
  </cols>
  <sheetData>
    <row r="1" spans="1:4" ht="16.5" x14ac:dyDescent="0.25">
      <c r="A1" s="114" t="s">
        <v>74</v>
      </c>
      <c r="B1" s="114" t="s">
        <v>321</v>
      </c>
      <c r="C1" s="114" t="s">
        <v>322</v>
      </c>
      <c r="D1" s="114" t="s">
        <v>323</v>
      </c>
    </row>
    <row r="2" spans="1:4" ht="16.5" x14ac:dyDescent="0.25">
      <c r="A2" s="115">
        <v>1</v>
      </c>
      <c r="B2" s="116"/>
      <c r="C2" s="116"/>
      <c r="D2" s="116"/>
    </row>
    <row r="3" spans="1:4" ht="16.5" x14ac:dyDescent="0.25">
      <c r="A3" s="115">
        <v>2</v>
      </c>
      <c r="B3" s="116"/>
      <c r="C3" s="116"/>
      <c r="D3" s="116"/>
    </row>
    <row r="4" spans="1:4" ht="16.5" x14ac:dyDescent="0.25">
      <c r="A4" s="115">
        <v>3</v>
      </c>
      <c r="B4" s="116"/>
      <c r="C4" s="116"/>
      <c r="D4" s="116"/>
    </row>
    <row r="5" spans="1:4" ht="16.5" x14ac:dyDescent="0.25">
      <c r="A5" s="115">
        <v>4</v>
      </c>
      <c r="B5" s="116"/>
      <c r="C5" s="116"/>
      <c r="D5" s="11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F36A-456E-453D-B0F1-A9672C08FFE5}">
  <sheetPr codeName="Sheet9">
    <tabColor theme="0" tint="-0.499984740745262"/>
  </sheetPr>
  <dimension ref="A1:I129"/>
  <sheetViews>
    <sheetView zoomScale="80" zoomScaleNormal="80" workbookViewId="0">
      <selection activeCell="B1" sqref="B1"/>
    </sheetView>
  </sheetViews>
  <sheetFormatPr defaultRowHeight="15" x14ac:dyDescent="0.25"/>
  <cols>
    <col min="1" max="1" width="3" style="104" bestFit="1" customWidth="1"/>
    <col min="2" max="2" width="20.140625" style="104" bestFit="1" customWidth="1"/>
    <col min="3" max="3" width="129.42578125" style="104" bestFit="1" customWidth="1"/>
    <col min="4" max="4" width="113.85546875" style="104" bestFit="1" customWidth="1"/>
    <col min="5" max="5" width="45" style="104" bestFit="1" customWidth="1"/>
    <col min="6" max="6" width="9.7109375" style="104" bestFit="1" customWidth="1"/>
    <col min="7" max="7" width="12.85546875" style="104" bestFit="1" customWidth="1"/>
    <col min="8" max="8" width="12.7109375" style="104" bestFit="1" customWidth="1"/>
    <col min="9" max="9" width="47" style="104" bestFit="1" customWidth="1"/>
  </cols>
  <sheetData>
    <row r="1" spans="1:9" x14ac:dyDescent="0.25">
      <c r="A1" s="104" t="e">
        <f>#REF!</f>
        <v>#REF!</v>
      </c>
      <c r="B1" s="104" t="e">
        <f>#REF!</f>
        <v>#REF!</v>
      </c>
      <c r="C1" s="104" t="e">
        <f>#REF!</f>
        <v>#REF!</v>
      </c>
      <c r="D1" s="104" t="e">
        <f>#REF!</f>
        <v>#REF!</v>
      </c>
      <c r="E1" s="104" t="e">
        <f>#REF!</f>
        <v>#REF!</v>
      </c>
      <c r="F1" s="104" t="e">
        <f>#REF!</f>
        <v>#REF!</v>
      </c>
      <c r="G1" s="104" t="s">
        <v>325</v>
      </c>
      <c r="H1" s="104" t="s">
        <v>313</v>
      </c>
      <c r="I1" s="104" t="s">
        <v>324</v>
      </c>
    </row>
    <row r="2" spans="1:9" x14ac:dyDescent="0.25">
      <c r="A2" s="104">
        <v>1</v>
      </c>
      <c r="B2" s="104" t="e">
        <f>#REF!</f>
        <v>#REF!</v>
      </c>
      <c r="C2" s="104" t="e">
        <f>#REF!</f>
        <v>#REF!</v>
      </c>
      <c r="D2" s="104" t="e">
        <f>#REF!</f>
        <v>#REF!</v>
      </c>
      <c r="E2" s="104" t="e">
        <f>#REF!</f>
        <v>#REF!</v>
      </c>
      <c r="F2" s="125" t="e">
        <f>#REF!</f>
        <v>#REF!</v>
      </c>
      <c r="G2" s="125" t="e">
        <f>#REF!</f>
        <v>#REF!</v>
      </c>
      <c r="H2" s="104" t="e">
        <f>#REF!</f>
        <v>#REF!</v>
      </c>
      <c r="I2" s="104" t="e">
        <f>#REF!</f>
        <v>#REF!</v>
      </c>
    </row>
    <row r="3" spans="1:9" x14ac:dyDescent="0.25">
      <c r="A3" s="104">
        <v>2</v>
      </c>
      <c r="B3" s="104" t="e">
        <f>#REF!</f>
        <v>#REF!</v>
      </c>
      <c r="C3" s="104" t="e">
        <f>#REF!</f>
        <v>#REF!</v>
      </c>
      <c r="D3" s="104" t="e">
        <f>#REF!</f>
        <v>#REF!</v>
      </c>
      <c r="E3" s="104" t="e">
        <f>#REF!</f>
        <v>#REF!</v>
      </c>
      <c r="F3" s="125" t="s">
        <v>326</v>
      </c>
      <c r="G3" s="125" t="s">
        <v>326</v>
      </c>
      <c r="H3" s="104" t="e">
        <f>#REF!</f>
        <v>#REF!</v>
      </c>
      <c r="I3" s="104" t="e">
        <f>#REF!</f>
        <v>#REF!</v>
      </c>
    </row>
    <row r="4" spans="1:9" x14ac:dyDescent="0.25">
      <c r="A4" s="104">
        <v>3</v>
      </c>
      <c r="B4" s="104" t="e">
        <f>#REF!</f>
        <v>#REF!</v>
      </c>
      <c r="C4" s="104" t="e">
        <f>#REF!</f>
        <v>#REF!</v>
      </c>
      <c r="D4" s="104" t="e">
        <f>#REF!</f>
        <v>#REF!</v>
      </c>
      <c r="E4" s="104" t="e">
        <f>#REF!</f>
        <v>#REF!</v>
      </c>
      <c r="F4" s="125" t="s">
        <v>326</v>
      </c>
      <c r="G4" s="125" t="s">
        <v>326</v>
      </c>
      <c r="H4" s="104" t="e">
        <f>#REF!</f>
        <v>#REF!</v>
      </c>
      <c r="I4" s="104" t="e">
        <f>#REF!</f>
        <v>#REF!</v>
      </c>
    </row>
    <row r="5" spans="1:9" x14ac:dyDescent="0.25">
      <c r="A5" s="104">
        <v>4</v>
      </c>
      <c r="B5" s="104" t="e">
        <f>#REF!</f>
        <v>#REF!</v>
      </c>
      <c r="C5" s="104" t="e">
        <f>#REF!</f>
        <v>#REF!</v>
      </c>
      <c r="D5" s="104" t="e">
        <f>#REF!</f>
        <v>#REF!</v>
      </c>
      <c r="E5" s="104" t="e">
        <f>#REF!</f>
        <v>#REF!</v>
      </c>
      <c r="F5" s="125" t="s">
        <v>326</v>
      </c>
      <c r="G5" s="125" t="s">
        <v>326</v>
      </c>
      <c r="H5" s="104" t="e">
        <f>#REF!</f>
        <v>#REF!</v>
      </c>
      <c r="I5" s="104" t="e">
        <f>#REF!</f>
        <v>#REF!</v>
      </c>
    </row>
    <row r="6" spans="1:9" x14ac:dyDescent="0.25">
      <c r="A6" s="104">
        <v>5</v>
      </c>
      <c r="B6" s="104" t="e">
        <f>#REF!</f>
        <v>#REF!</v>
      </c>
      <c r="C6" s="104" t="e">
        <f>#REF!</f>
        <v>#REF!</v>
      </c>
      <c r="D6" s="104" t="e">
        <f>#REF!</f>
        <v>#REF!</v>
      </c>
      <c r="E6" s="104" t="e">
        <f>#REF!</f>
        <v>#REF!</v>
      </c>
      <c r="F6" s="125" t="s">
        <v>326</v>
      </c>
      <c r="G6" s="125" t="s">
        <v>326</v>
      </c>
      <c r="H6" s="104" t="e">
        <f>#REF!</f>
        <v>#REF!</v>
      </c>
      <c r="I6" s="104" t="e">
        <f>#REF!</f>
        <v>#REF!</v>
      </c>
    </row>
    <row r="7" spans="1:9" x14ac:dyDescent="0.25">
      <c r="A7" s="104">
        <v>6</v>
      </c>
      <c r="B7" s="104" t="e">
        <f>#REF!</f>
        <v>#REF!</v>
      </c>
      <c r="C7" s="104" t="e">
        <f>#REF!</f>
        <v>#REF!</v>
      </c>
      <c r="D7" s="104" t="e">
        <f>#REF!</f>
        <v>#REF!</v>
      </c>
      <c r="E7" s="104" t="e">
        <f>#REF!</f>
        <v>#REF!</v>
      </c>
      <c r="F7" s="125" t="s">
        <v>326</v>
      </c>
      <c r="G7" s="125" t="s">
        <v>326</v>
      </c>
      <c r="H7" s="104" t="e">
        <f>#REF!</f>
        <v>#REF!</v>
      </c>
      <c r="I7" s="104" t="e">
        <f>#REF!</f>
        <v>#REF!</v>
      </c>
    </row>
    <row r="8" spans="1:9" x14ac:dyDescent="0.25">
      <c r="A8" s="104">
        <v>7</v>
      </c>
      <c r="B8" s="104" t="e">
        <f>#REF!</f>
        <v>#REF!</v>
      </c>
      <c r="C8" s="104" t="e">
        <f>#REF!</f>
        <v>#REF!</v>
      </c>
      <c r="D8" s="104" t="e">
        <f>#REF!</f>
        <v>#REF!</v>
      </c>
      <c r="E8" s="104" t="e">
        <f>#REF!</f>
        <v>#REF!</v>
      </c>
      <c r="F8" s="125" t="e">
        <f>#REF!</f>
        <v>#REF!</v>
      </c>
      <c r="G8" s="125" t="e">
        <f>#REF!</f>
        <v>#REF!</v>
      </c>
      <c r="H8" s="104" t="e">
        <f>#REF!</f>
        <v>#REF!</v>
      </c>
      <c r="I8" s="104" t="e">
        <f>#REF!</f>
        <v>#REF!</v>
      </c>
    </row>
    <row r="9" spans="1:9" x14ac:dyDescent="0.25">
      <c r="A9" s="104">
        <v>8</v>
      </c>
      <c r="B9" s="104" t="e">
        <f>#REF!</f>
        <v>#REF!</v>
      </c>
      <c r="C9" s="104" t="e">
        <f>#REF!</f>
        <v>#REF!</v>
      </c>
      <c r="D9" s="104" t="e">
        <f>#REF!</f>
        <v>#REF!</v>
      </c>
      <c r="E9" s="104" t="e">
        <f>#REF!</f>
        <v>#REF!</v>
      </c>
      <c r="F9" s="125" t="e">
        <f>#REF!</f>
        <v>#REF!</v>
      </c>
      <c r="G9" s="125" t="e">
        <f>#REF!</f>
        <v>#REF!</v>
      </c>
      <c r="H9" s="104" t="e">
        <f>#REF!</f>
        <v>#REF!</v>
      </c>
      <c r="I9" s="104" t="e">
        <f>#REF!</f>
        <v>#REF!</v>
      </c>
    </row>
    <row r="10" spans="1:9" x14ac:dyDescent="0.25">
      <c r="A10" s="104">
        <v>9</v>
      </c>
      <c r="B10" s="104" t="e">
        <f>#REF!</f>
        <v>#REF!</v>
      </c>
      <c r="C10" s="104" t="e">
        <f>#REF!</f>
        <v>#REF!</v>
      </c>
      <c r="D10" s="104" t="e">
        <f>#REF!</f>
        <v>#REF!</v>
      </c>
      <c r="E10" s="104" t="e">
        <f>#REF!</f>
        <v>#REF!</v>
      </c>
      <c r="F10" s="125" t="e">
        <f>#REF!</f>
        <v>#REF!</v>
      </c>
      <c r="G10" s="125" t="e">
        <f>#REF!</f>
        <v>#REF!</v>
      </c>
      <c r="H10" s="104" t="e">
        <f>#REF!</f>
        <v>#REF!</v>
      </c>
      <c r="I10" s="104" t="e">
        <f>#REF!</f>
        <v>#REF!</v>
      </c>
    </row>
    <row r="11" spans="1:9" x14ac:dyDescent="0.25">
      <c r="A11" s="104">
        <v>10</v>
      </c>
      <c r="B11" s="104" t="e">
        <f>#REF!</f>
        <v>#REF!</v>
      </c>
      <c r="C11" s="104" t="e">
        <f>#REF!</f>
        <v>#REF!</v>
      </c>
      <c r="D11" s="104" t="e">
        <f>#REF!</f>
        <v>#REF!</v>
      </c>
      <c r="E11" s="104" t="e">
        <f>#REF!</f>
        <v>#REF!</v>
      </c>
      <c r="F11" s="125" t="e">
        <f>#REF!</f>
        <v>#REF!</v>
      </c>
      <c r="G11" s="125" t="e">
        <f>#REF!</f>
        <v>#REF!</v>
      </c>
      <c r="H11" s="104" t="e">
        <f>#REF!</f>
        <v>#REF!</v>
      </c>
      <c r="I11" s="104" t="e">
        <f>#REF!</f>
        <v>#REF!</v>
      </c>
    </row>
    <row r="12" spans="1:9" x14ac:dyDescent="0.25">
      <c r="A12" s="104">
        <v>11</v>
      </c>
      <c r="B12" s="104" t="e">
        <f>#REF!</f>
        <v>#REF!</v>
      </c>
      <c r="C12" s="104" t="e">
        <f>#REF!</f>
        <v>#REF!</v>
      </c>
      <c r="D12" s="104" t="e">
        <f>#REF!</f>
        <v>#REF!</v>
      </c>
      <c r="E12" s="104" t="e">
        <f>#REF!</f>
        <v>#REF!</v>
      </c>
      <c r="F12" s="125" t="e">
        <f>#REF!</f>
        <v>#REF!</v>
      </c>
      <c r="G12" s="125" t="e">
        <f>#REF!</f>
        <v>#REF!</v>
      </c>
      <c r="H12" s="104" t="e">
        <f>#REF!</f>
        <v>#REF!</v>
      </c>
      <c r="I12" s="104" t="e">
        <f>#REF!</f>
        <v>#REF!</v>
      </c>
    </row>
    <row r="13" spans="1:9" x14ac:dyDescent="0.25">
      <c r="A13" s="104">
        <v>12</v>
      </c>
      <c r="B13" s="104" t="e">
        <f>#REF!</f>
        <v>#REF!</v>
      </c>
      <c r="C13" s="104" t="e">
        <f>#REF!</f>
        <v>#REF!</v>
      </c>
      <c r="D13" s="104" t="e">
        <f>#REF!</f>
        <v>#REF!</v>
      </c>
      <c r="E13" s="104" t="e">
        <f>#REF!</f>
        <v>#REF!</v>
      </c>
      <c r="F13" s="125" t="s">
        <v>326</v>
      </c>
      <c r="G13" s="125" t="s">
        <v>326</v>
      </c>
      <c r="H13" s="125" t="s">
        <v>326</v>
      </c>
      <c r="I13" s="104" t="e">
        <f>#REF!</f>
        <v>#REF!</v>
      </c>
    </row>
    <row r="14" spans="1:9" x14ac:dyDescent="0.25">
      <c r="A14" s="104">
        <v>13</v>
      </c>
      <c r="B14" s="104" t="e">
        <f>#REF!</f>
        <v>#REF!</v>
      </c>
      <c r="C14" s="104" t="e">
        <f>#REF!</f>
        <v>#REF!</v>
      </c>
      <c r="D14" s="104" t="e">
        <f>#REF!</f>
        <v>#REF!</v>
      </c>
      <c r="E14" s="104" t="e">
        <f>#REF!</f>
        <v>#REF!</v>
      </c>
      <c r="F14" s="125" t="s">
        <v>326</v>
      </c>
      <c r="G14" s="125" t="s">
        <v>326</v>
      </c>
      <c r="H14" s="125" t="s">
        <v>326</v>
      </c>
      <c r="I14" s="104" t="e">
        <f>#REF!</f>
        <v>#REF!</v>
      </c>
    </row>
    <row r="15" spans="1:9" x14ac:dyDescent="0.25">
      <c r="A15" s="104">
        <v>14</v>
      </c>
      <c r="B15" s="104" t="e">
        <f>#REF!</f>
        <v>#REF!</v>
      </c>
      <c r="C15" s="104" t="e">
        <f>#REF!</f>
        <v>#REF!</v>
      </c>
      <c r="D15" s="104" t="e">
        <f>#REF!</f>
        <v>#REF!</v>
      </c>
      <c r="E15" s="104" t="e">
        <f>#REF!</f>
        <v>#REF!</v>
      </c>
      <c r="F15" s="125" t="e">
        <f>#REF!</f>
        <v>#REF!</v>
      </c>
      <c r="G15" s="125" t="e">
        <f>#REF!</f>
        <v>#REF!</v>
      </c>
      <c r="H15" s="125" t="s">
        <v>326</v>
      </c>
      <c r="I15" s="104" t="e">
        <f>#REF!</f>
        <v>#REF!</v>
      </c>
    </row>
    <row r="16" spans="1:9" x14ac:dyDescent="0.25">
      <c r="A16" s="104">
        <v>15</v>
      </c>
      <c r="B16" s="104" t="e">
        <f>#REF!</f>
        <v>#REF!</v>
      </c>
      <c r="C16" s="104" t="e">
        <f>#REF!</f>
        <v>#REF!</v>
      </c>
      <c r="D16" s="104" t="e">
        <f>#REF!</f>
        <v>#REF!</v>
      </c>
      <c r="E16" s="104" t="e">
        <f>#REF!</f>
        <v>#REF!</v>
      </c>
      <c r="F16" s="125" t="e">
        <f>#REF!</f>
        <v>#REF!</v>
      </c>
      <c r="G16" s="125" t="e">
        <f>#REF!</f>
        <v>#REF!</v>
      </c>
      <c r="H16" s="125" t="s">
        <v>326</v>
      </c>
      <c r="I16" s="104" t="e">
        <f>#REF!</f>
        <v>#REF!</v>
      </c>
    </row>
    <row r="17" spans="1:9" x14ac:dyDescent="0.25">
      <c r="A17" s="104">
        <v>16</v>
      </c>
      <c r="B17" s="104" t="e">
        <f>#REF!</f>
        <v>#REF!</v>
      </c>
      <c r="C17" s="104" t="e">
        <f>#REF!</f>
        <v>#REF!</v>
      </c>
      <c r="D17" s="104" t="e">
        <f>#REF!</f>
        <v>#REF!</v>
      </c>
      <c r="E17" s="104" t="e">
        <f>#REF!</f>
        <v>#REF!</v>
      </c>
      <c r="F17" s="125" t="s">
        <v>326</v>
      </c>
      <c r="G17" s="125" t="s">
        <v>326</v>
      </c>
      <c r="H17" s="125" t="s">
        <v>326</v>
      </c>
      <c r="I17" s="104" t="e">
        <f>#REF!</f>
        <v>#REF!</v>
      </c>
    </row>
    <row r="19" spans="1:9" x14ac:dyDescent="0.25">
      <c r="A19" s="104" t="e">
        <f>#REF!</f>
        <v>#REF!</v>
      </c>
      <c r="B19" s="104" t="e">
        <f>#REF!</f>
        <v>#REF!</v>
      </c>
      <c r="C19" s="104" t="e">
        <f>#REF!</f>
        <v>#REF!</v>
      </c>
      <c r="D19" s="104" t="e">
        <f>#REF!</f>
        <v>#REF!</v>
      </c>
      <c r="E19" s="104" t="e">
        <f>#REF!</f>
        <v>#REF!</v>
      </c>
      <c r="F19" s="104" t="e">
        <f>#REF!</f>
        <v>#REF!</v>
      </c>
      <c r="G19" s="104" t="s">
        <v>325</v>
      </c>
      <c r="H19" s="104" t="s">
        <v>313</v>
      </c>
      <c r="I19" s="104" t="s">
        <v>324</v>
      </c>
    </row>
    <row r="20" spans="1:9" x14ac:dyDescent="0.25">
      <c r="A20" s="104">
        <v>1</v>
      </c>
      <c r="B20" s="104" t="e">
        <f>#REF!</f>
        <v>#REF!</v>
      </c>
      <c r="C20" s="104" t="e">
        <f>#REF!</f>
        <v>#REF!</v>
      </c>
      <c r="D20" s="104" t="e">
        <f>#REF!</f>
        <v>#REF!</v>
      </c>
      <c r="E20" s="104" t="e">
        <f>#REF!</f>
        <v>#REF!</v>
      </c>
      <c r="F20" s="125" t="e">
        <f>#REF!</f>
        <v>#REF!</v>
      </c>
      <c r="G20" s="125" t="e">
        <f>#REF!</f>
        <v>#REF!</v>
      </c>
      <c r="H20" s="104" t="s">
        <v>326</v>
      </c>
      <c r="I20" s="104" t="e">
        <f>#REF!</f>
        <v>#REF!</v>
      </c>
    </row>
    <row r="21" spans="1:9" x14ac:dyDescent="0.25">
      <c r="A21" s="104">
        <v>2</v>
      </c>
      <c r="B21" s="104" t="e">
        <f>#REF!</f>
        <v>#REF!</v>
      </c>
      <c r="C21" s="104" t="e">
        <f>#REF!</f>
        <v>#REF!</v>
      </c>
      <c r="D21" s="104" t="e">
        <f>#REF!</f>
        <v>#REF!</v>
      </c>
      <c r="E21" s="104" t="e">
        <f>#REF!</f>
        <v>#REF!</v>
      </c>
      <c r="F21" s="125" t="e">
        <f>#REF!</f>
        <v>#REF!</v>
      </c>
      <c r="G21" s="125" t="e">
        <f>#REF!</f>
        <v>#REF!</v>
      </c>
      <c r="H21" s="104" t="e">
        <f>#REF!</f>
        <v>#REF!</v>
      </c>
      <c r="I21" s="104" t="e">
        <f>#REF!</f>
        <v>#REF!</v>
      </c>
    </row>
    <row r="22" spans="1:9" x14ac:dyDescent="0.25">
      <c r="A22" s="104">
        <v>3</v>
      </c>
      <c r="B22" s="104" t="e">
        <f>#REF!</f>
        <v>#REF!</v>
      </c>
      <c r="C22" s="104" t="e">
        <f>#REF!</f>
        <v>#REF!</v>
      </c>
      <c r="D22" s="104" t="e">
        <f>#REF!</f>
        <v>#REF!</v>
      </c>
      <c r="E22" s="104" t="e">
        <f>#REF!</f>
        <v>#REF!</v>
      </c>
      <c r="F22" s="125" t="e">
        <f>#REF!</f>
        <v>#REF!</v>
      </c>
      <c r="G22" s="125" t="e">
        <f>#REF!</f>
        <v>#REF!</v>
      </c>
      <c r="H22" s="104" t="e">
        <f>#REF!</f>
        <v>#REF!</v>
      </c>
      <c r="I22" s="104" t="e">
        <f>#REF!</f>
        <v>#REF!</v>
      </c>
    </row>
    <row r="23" spans="1:9" x14ac:dyDescent="0.25">
      <c r="A23" s="104">
        <v>4</v>
      </c>
      <c r="B23" s="104" t="e">
        <f>#REF!</f>
        <v>#REF!</v>
      </c>
      <c r="C23" s="104" t="e">
        <f>#REF!</f>
        <v>#REF!</v>
      </c>
      <c r="D23" s="104" t="e">
        <f>#REF!</f>
        <v>#REF!</v>
      </c>
      <c r="E23" s="104" t="e">
        <f>#REF!</f>
        <v>#REF!</v>
      </c>
      <c r="F23" s="125" t="e">
        <f>#REF!</f>
        <v>#REF!</v>
      </c>
      <c r="G23" s="125" t="e">
        <f>#REF!</f>
        <v>#REF!</v>
      </c>
      <c r="H23" s="104" t="e">
        <f>#REF!</f>
        <v>#REF!</v>
      </c>
      <c r="I23" s="104" t="e">
        <f>#REF!</f>
        <v>#REF!</v>
      </c>
    </row>
    <row r="24" spans="1:9" x14ac:dyDescent="0.25">
      <c r="A24" s="104">
        <v>5</v>
      </c>
      <c r="B24" s="104" t="e">
        <f>#REF!</f>
        <v>#REF!</v>
      </c>
      <c r="C24" s="104" t="e">
        <f>#REF!</f>
        <v>#REF!</v>
      </c>
      <c r="D24" s="104" t="e">
        <f>#REF!</f>
        <v>#REF!</v>
      </c>
      <c r="E24" s="104" t="e">
        <f>#REF!</f>
        <v>#REF!</v>
      </c>
      <c r="F24" s="125" t="e">
        <f>#REF!</f>
        <v>#REF!</v>
      </c>
      <c r="G24" s="125" t="e">
        <f>#REF!</f>
        <v>#REF!</v>
      </c>
      <c r="H24" s="104" t="e">
        <f>#REF!</f>
        <v>#REF!</v>
      </c>
      <c r="I24" s="104" t="e">
        <f>#REF!</f>
        <v>#REF!</v>
      </c>
    </row>
    <row r="25" spans="1:9" x14ac:dyDescent="0.25">
      <c r="A25" s="104">
        <v>6</v>
      </c>
      <c r="B25" s="104" t="e">
        <f>#REF!</f>
        <v>#REF!</v>
      </c>
      <c r="C25" s="104" t="e">
        <f>#REF!</f>
        <v>#REF!</v>
      </c>
      <c r="D25" s="104" t="e">
        <f>#REF!</f>
        <v>#REF!</v>
      </c>
      <c r="E25" s="104" t="e">
        <f>#REF!</f>
        <v>#REF!</v>
      </c>
      <c r="F25" s="125" t="e">
        <f>#REF!</f>
        <v>#REF!</v>
      </c>
      <c r="G25" s="125" t="e">
        <f>#REF!</f>
        <v>#REF!</v>
      </c>
      <c r="H25" s="104" t="e">
        <f>#REF!</f>
        <v>#REF!</v>
      </c>
      <c r="I25" s="104" t="e">
        <f>#REF!</f>
        <v>#REF!</v>
      </c>
    </row>
    <row r="26" spans="1:9" x14ac:dyDescent="0.25">
      <c r="A26" s="104">
        <v>7</v>
      </c>
      <c r="B26" s="104" t="e">
        <f>#REF!</f>
        <v>#REF!</v>
      </c>
      <c r="C26" s="104" t="e">
        <f>#REF!</f>
        <v>#REF!</v>
      </c>
      <c r="D26" s="104" t="e">
        <f>#REF!</f>
        <v>#REF!</v>
      </c>
      <c r="E26" s="104" t="e">
        <f>#REF!</f>
        <v>#REF!</v>
      </c>
      <c r="F26" s="125" t="e">
        <f>#REF!</f>
        <v>#REF!</v>
      </c>
      <c r="G26" s="125" t="e">
        <f>#REF!</f>
        <v>#REF!</v>
      </c>
      <c r="H26" s="104" t="e">
        <f>#REF!</f>
        <v>#REF!</v>
      </c>
      <c r="I26" s="104" t="e">
        <f>#REF!</f>
        <v>#REF!</v>
      </c>
    </row>
    <row r="27" spans="1:9" x14ac:dyDescent="0.25">
      <c r="A27" s="104">
        <v>8</v>
      </c>
      <c r="B27" s="104" t="e">
        <f>#REF!</f>
        <v>#REF!</v>
      </c>
      <c r="C27" s="104" t="e">
        <f>#REF!</f>
        <v>#REF!</v>
      </c>
      <c r="D27" s="104" t="e">
        <f>#REF!</f>
        <v>#REF!</v>
      </c>
      <c r="E27" s="104" t="e">
        <f>#REF!</f>
        <v>#REF!</v>
      </c>
      <c r="F27" s="125" t="e">
        <f>#REF!</f>
        <v>#REF!</v>
      </c>
      <c r="G27" s="125" t="e">
        <f>#REF!</f>
        <v>#REF!</v>
      </c>
      <c r="H27" s="104" t="e">
        <f>#REF!</f>
        <v>#REF!</v>
      </c>
      <c r="I27" s="104" t="e">
        <f>#REF!</f>
        <v>#REF!</v>
      </c>
    </row>
    <row r="28" spans="1:9" x14ac:dyDescent="0.25">
      <c r="A28" s="104">
        <v>9</v>
      </c>
      <c r="B28" s="104" t="e">
        <f>#REF!</f>
        <v>#REF!</v>
      </c>
      <c r="C28" s="104" t="e">
        <f>#REF!</f>
        <v>#REF!</v>
      </c>
      <c r="D28" s="104" t="e">
        <f>#REF!</f>
        <v>#REF!</v>
      </c>
      <c r="E28" s="104" t="e">
        <f>#REF!</f>
        <v>#REF!</v>
      </c>
      <c r="F28" s="125" t="e">
        <f>#REF!</f>
        <v>#REF!</v>
      </c>
      <c r="G28" s="125" t="e">
        <f>#REF!</f>
        <v>#REF!</v>
      </c>
      <c r="H28" s="104" t="e">
        <f>#REF!</f>
        <v>#REF!</v>
      </c>
      <c r="I28" s="104" t="e">
        <f>#REF!</f>
        <v>#REF!</v>
      </c>
    </row>
    <row r="29" spans="1:9" x14ac:dyDescent="0.25">
      <c r="A29" s="104">
        <v>10</v>
      </c>
      <c r="B29" s="104" t="e">
        <f>#REF!</f>
        <v>#REF!</v>
      </c>
      <c r="C29" s="104" t="e">
        <f>#REF!</f>
        <v>#REF!</v>
      </c>
      <c r="D29" s="104" t="e">
        <f>#REF!</f>
        <v>#REF!</v>
      </c>
      <c r="E29" s="104" t="e">
        <f>#REF!</f>
        <v>#REF!</v>
      </c>
      <c r="F29" s="125" t="e">
        <f>#REF!</f>
        <v>#REF!</v>
      </c>
      <c r="G29" s="125" t="e">
        <f>#REF!</f>
        <v>#REF!</v>
      </c>
      <c r="H29" s="104" t="e">
        <f>#REF!</f>
        <v>#REF!</v>
      </c>
      <c r="I29" s="104" t="e">
        <f>#REF!</f>
        <v>#REF!</v>
      </c>
    </row>
    <row r="30" spans="1:9" x14ac:dyDescent="0.25">
      <c r="A30" s="104">
        <v>11</v>
      </c>
      <c r="B30" s="104" t="e">
        <f>#REF!</f>
        <v>#REF!</v>
      </c>
      <c r="C30" s="104" t="e">
        <f>#REF!</f>
        <v>#REF!</v>
      </c>
      <c r="D30" s="104" t="e">
        <f>#REF!</f>
        <v>#REF!</v>
      </c>
      <c r="E30" s="104" t="e">
        <f>#REF!</f>
        <v>#REF!</v>
      </c>
      <c r="F30" s="125" t="e">
        <f>#REF!</f>
        <v>#REF!</v>
      </c>
      <c r="G30" s="125" t="s">
        <v>326</v>
      </c>
      <c r="H30" s="125" t="s">
        <v>326</v>
      </c>
      <c r="I30" s="104" t="e">
        <f>#REF!</f>
        <v>#REF!</v>
      </c>
    </row>
    <row r="32" spans="1:9" x14ac:dyDescent="0.25">
      <c r="A32" s="104" t="e">
        <f>#REF!</f>
        <v>#REF!</v>
      </c>
      <c r="B32" s="104" t="e">
        <f>#REF!</f>
        <v>#REF!</v>
      </c>
      <c r="C32" s="104" t="e">
        <f>#REF!</f>
        <v>#REF!</v>
      </c>
      <c r="D32" s="104" t="e">
        <f>#REF!</f>
        <v>#REF!</v>
      </c>
      <c r="E32" s="104" t="e">
        <f>#REF!</f>
        <v>#REF!</v>
      </c>
      <c r="F32" s="104" t="e">
        <f>#REF!</f>
        <v>#REF!</v>
      </c>
      <c r="G32" s="104" t="s">
        <v>325</v>
      </c>
      <c r="H32" s="104" t="s">
        <v>313</v>
      </c>
      <c r="I32" s="104" t="s">
        <v>324</v>
      </c>
    </row>
    <row r="33" spans="1:9" x14ac:dyDescent="0.25">
      <c r="A33" s="104">
        <v>1</v>
      </c>
      <c r="B33" s="104" t="e">
        <f>#REF!</f>
        <v>#REF!</v>
      </c>
      <c r="C33" s="104" t="e">
        <f>#REF!</f>
        <v>#REF!</v>
      </c>
      <c r="D33" s="104" t="e">
        <f>#REF!</f>
        <v>#REF!</v>
      </c>
      <c r="E33" s="104" t="e">
        <f>#REF!</f>
        <v>#REF!</v>
      </c>
      <c r="F33" s="125" t="e">
        <f>#REF!</f>
        <v>#REF!</v>
      </c>
      <c r="G33" s="125" t="e">
        <f>#REF!</f>
        <v>#REF!</v>
      </c>
      <c r="H33" s="104" t="e">
        <f>#REF!</f>
        <v>#REF!</v>
      </c>
      <c r="I33" s="104" t="e">
        <f>#REF!</f>
        <v>#REF!</v>
      </c>
    </row>
    <row r="34" spans="1:9" x14ac:dyDescent="0.25">
      <c r="A34" s="104">
        <v>2</v>
      </c>
      <c r="B34" s="104" t="e">
        <f>#REF!</f>
        <v>#REF!</v>
      </c>
      <c r="C34" s="104" t="e">
        <f>#REF!</f>
        <v>#REF!</v>
      </c>
      <c r="D34" s="104" t="e">
        <f>#REF!</f>
        <v>#REF!</v>
      </c>
      <c r="E34" s="104" t="e">
        <f>#REF!</f>
        <v>#REF!</v>
      </c>
      <c r="F34" s="125" t="e">
        <f>#REF!</f>
        <v>#REF!</v>
      </c>
      <c r="G34" s="125" t="e">
        <f>#REF!</f>
        <v>#REF!</v>
      </c>
      <c r="H34" s="104" t="e">
        <f>#REF!</f>
        <v>#REF!</v>
      </c>
      <c r="I34" s="104" t="e">
        <f>#REF!</f>
        <v>#REF!</v>
      </c>
    </row>
    <row r="35" spans="1:9" x14ac:dyDescent="0.25">
      <c r="A35" s="104">
        <v>3</v>
      </c>
      <c r="B35" s="104" t="e">
        <f>#REF!</f>
        <v>#REF!</v>
      </c>
      <c r="C35" s="104" t="e">
        <f>#REF!</f>
        <v>#REF!</v>
      </c>
      <c r="D35" s="104" t="e">
        <f>#REF!</f>
        <v>#REF!</v>
      </c>
      <c r="E35" s="104" t="e">
        <f>#REF!</f>
        <v>#REF!</v>
      </c>
      <c r="F35" s="125" t="e">
        <f>#REF!</f>
        <v>#REF!</v>
      </c>
      <c r="G35" s="125" t="e">
        <f>#REF!</f>
        <v>#REF!</v>
      </c>
      <c r="H35" s="104" t="e">
        <f>#REF!</f>
        <v>#REF!</v>
      </c>
      <c r="I35" s="104" t="e">
        <f>#REF!</f>
        <v>#REF!</v>
      </c>
    </row>
    <row r="36" spans="1:9" x14ac:dyDescent="0.25">
      <c r="A36" s="104">
        <v>4</v>
      </c>
      <c r="B36" s="104" t="e">
        <f>#REF!</f>
        <v>#REF!</v>
      </c>
      <c r="C36" s="104" t="e">
        <f>#REF!</f>
        <v>#REF!</v>
      </c>
      <c r="D36" s="104" t="e">
        <f>#REF!</f>
        <v>#REF!</v>
      </c>
      <c r="E36" s="104" t="e">
        <f>#REF!</f>
        <v>#REF!</v>
      </c>
      <c r="F36" s="125" t="e">
        <f>#REF!</f>
        <v>#REF!</v>
      </c>
      <c r="G36" s="125" t="e">
        <f>#REF!</f>
        <v>#REF!</v>
      </c>
      <c r="H36" s="104" t="e">
        <f>#REF!</f>
        <v>#REF!</v>
      </c>
      <c r="I36" s="104" t="e">
        <f>#REF!</f>
        <v>#REF!</v>
      </c>
    </row>
    <row r="37" spans="1:9" x14ac:dyDescent="0.25">
      <c r="A37" s="104">
        <v>5</v>
      </c>
      <c r="B37" s="104" t="e">
        <f>#REF!</f>
        <v>#REF!</v>
      </c>
      <c r="C37" s="104" t="e">
        <f>#REF!</f>
        <v>#REF!</v>
      </c>
      <c r="D37" s="104" t="e">
        <f>#REF!</f>
        <v>#REF!</v>
      </c>
      <c r="E37" s="104" t="e">
        <f>#REF!</f>
        <v>#REF!</v>
      </c>
      <c r="F37" s="125" t="e">
        <f>#REF!</f>
        <v>#REF!</v>
      </c>
      <c r="G37" s="125" t="e">
        <f>#REF!</f>
        <v>#REF!</v>
      </c>
      <c r="H37" s="104" t="e">
        <f>#REF!</f>
        <v>#REF!</v>
      </c>
      <c r="I37" s="104" t="e">
        <f>#REF!</f>
        <v>#REF!</v>
      </c>
    </row>
    <row r="38" spans="1:9" x14ac:dyDescent="0.25">
      <c r="A38" s="104">
        <v>6</v>
      </c>
      <c r="B38" s="104" t="e">
        <f>#REF!</f>
        <v>#REF!</v>
      </c>
      <c r="C38" s="104" t="e">
        <f>#REF!</f>
        <v>#REF!</v>
      </c>
      <c r="D38" s="104" t="e">
        <f>#REF!</f>
        <v>#REF!</v>
      </c>
      <c r="E38" s="104" t="e">
        <f>#REF!</f>
        <v>#REF!</v>
      </c>
      <c r="F38" s="125" t="e">
        <f>#REF!</f>
        <v>#REF!</v>
      </c>
      <c r="G38" s="125" t="e">
        <f>#REF!</f>
        <v>#REF!</v>
      </c>
      <c r="H38" s="104" t="e">
        <f>#REF!</f>
        <v>#REF!</v>
      </c>
      <c r="I38" s="104" t="e">
        <f>#REF!</f>
        <v>#REF!</v>
      </c>
    </row>
    <row r="39" spans="1:9" x14ac:dyDescent="0.25">
      <c r="A39" s="104">
        <v>7</v>
      </c>
      <c r="B39" s="104" t="e">
        <f>#REF!</f>
        <v>#REF!</v>
      </c>
      <c r="C39" s="104" t="e">
        <f>#REF!</f>
        <v>#REF!</v>
      </c>
      <c r="D39" s="104" t="e">
        <f>#REF!</f>
        <v>#REF!</v>
      </c>
      <c r="E39" s="104" t="e">
        <f>#REF!</f>
        <v>#REF!</v>
      </c>
      <c r="F39" s="125" t="e">
        <f>#REF!</f>
        <v>#REF!</v>
      </c>
      <c r="G39" s="125" t="e">
        <f>#REF!</f>
        <v>#REF!</v>
      </c>
      <c r="H39" s="104" t="e">
        <f>#REF!</f>
        <v>#REF!</v>
      </c>
      <c r="I39" s="104" t="e">
        <f>#REF!</f>
        <v>#REF!</v>
      </c>
    </row>
    <row r="40" spans="1:9" x14ac:dyDescent="0.25">
      <c r="A40" s="104">
        <v>8</v>
      </c>
      <c r="B40" s="104" t="e">
        <f>#REF!</f>
        <v>#REF!</v>
      </c>
      <c r="C40" s="104" t="e">
        <f>#REF!</f>
        <v>#REF!</v>
      </c>
      <c r="D40" s="104" t="e">
        <f>#REF!</f>
        <v>#REF!</v>
      </c>
      <c r="E40" s="104" t="e">
        <f>#REF!</f>
        <v>#REF!</v>
      </c>
      <c r="F40" s="125" t="e">
        <f>#REF!</f>
        <v>#REF!</v>
      </c>
      <c r="G40" s="125" t="e">
        <f>#REF!</f>
        <v>#REF!</v>
      </c>
      <c r="H40" s="104" t="e">
        <f>#REF!</f>
        <v>#REF!</v>
      </c>
      <c r="I40" s="104" t="e">
        <f>#REF!</f>
        <v>#REF!</v>
      </c>
    </row>
    <row r="41" spans="1:9" x14ac:dyDescent="0.25">
      <c r="A41" s="104">
        <v>9</v>
      </c>
      <c r="B41" s="104" t="e">
        <f>#REF!</f>
        <v>#REF!</v>
      </c>
      <c r="C41" s="104" t="e">
        <f>#REF!</f>
        <v>#REF!</v>
      </c>
      <c r="D41" s="104" t="e">
        <f>#REF!</f>
        <v>#REF!</v>
      </c>
      <c r="E41" s="104" t="e">
        <f>#REF!</f>
        <v>#REF!</v>
      </c>
      <c r="F41" s="125" t="e">
        <f>#REF!</f>
        <v>#REF!</v>
      </c>
      <c r="G41" s="125" t="e">
        <f>#REF!</f>
        <v>#REF!</v>
      </c>
      <c r="H41" s="104" t="e">
        <f>#REF!</f>
        <v>#REF!</v>
      </c>
      <c r="I41" s="104" t="e">
        <f>#REF!</f>
        <v>#REF!</v>
      </c>
    </row>
    <row r="42" spans="1:9" x14ac:dyDescent="0.25">
      <c r="A42" s="104">
        <v>10</v>
      </c>
      <c r="B42" s="104" t="e">
        <f>#REF!</f>
        <v>#REF!</v>
      </c>
      <c r="C42" s="104" t="e">
        <f>#REF!</f>
        <v>#REF!</v>
      </c>
      <c r="D42" s="104" t="e">
        <f>#REF!</f>
        <v>#REF!</v>
      </c>
      <c r="E42" s="104" t="e">
        <f>#REF!</f>
        <v>#REF!</v>
      </c>
      <c r="F42" s="125" t="e">
        <f>#REF!</f>
        <v>#REF!</v>
      </c>
      <c r="G42" s="125" t="e">
        <f>#REF!</f>
        <v>#REF!</v>
      </c>
      <c r="H42" s="104" t="e">
        <f>#REF!</f>
        <v>#REF!</v>
      </c>
      <c r="I42" s="104" t="e">
        <f>#REF!</f>
        <v>#REF!</v>
      </c>
    </row>
    <row r="43" spans="1:9" x14ac:dyDescent="0.25">
      <c r="A43" s="104">
        <v>11</v>
      </c>
      <c r="B43" s="104" t="e">
        <f>#REF!</f>
        <v>#REF!</v>
      </c>
      <c r="C43" s="104" t="e">
        <f>#REF!</f>
        <v>#REF!</v>
      </c>
      <c r="D43" s="104" t="e">
        <f>#REF!</f>
        <v>#REF!</v>
      </c>
      <c r="E43" s="104" t="e">
        <f>#REF!</f>
        <v>#REF!</v>
      </c>
      <c r="F43" s="125" t="e">
        <f>#REF!</f>
        <v>#REF!</v>
      </c>
      <c r="G43" s="125" t="e">
        <f>#REF!</f>
        <v>#REF!</v>
      </c>
      <c r="H43" s="104" t="e">
        <f>#REF!</f>
        <v>#REF!</v>
      </c>
      <c r="I43" s="104" t="e">
        <f>#REF!</f>
        <v>#REF!</v>
      </c>
    </row>
    <row r="44" spans="1:9" x14ac:dyDescent="0.25">
      <c r="A44" s="104">
        <v>12</v>
      </c>
      <c r="B44" s="104" t="e">
        <f>#REF!</f>
        <v>#REF!</v>
      </c>
      <c r="C44" s="104" t="e">
        <f>#REF!</f>
        <v>#REF!</v>
      </c>
      <c r="D44" s="104" t="e">
        <f>#REF!</f>
        <v>#REF!</v>
      </c>
      <c r="E44" s="104" t="e">
        <f>#REF!</f>
        <v>#REF!</v>
      </c>
      <c r="F44" s="125" t="e">
        <f>#REF!</f>
        <v>#REF!</v>
      </c>
      <c r="G44" s="125" t="e">
        <f>#REF!</f>
        <v>#REF!</v>
      </c>
      <c r="H44" s="104" t="e">
        <f>#REF!</f>
        <v>#REF!</v>
      </c>
      <c r="I44" s="104" t="e">
        <f>#REF!</f>
        <v>#REF!</v>
      </c>
    </row>
    <row r="45" spans="1:9" x14ac:dyDescent="0.25">
      <c r="A45" s="104">
        <v>13</v>
      </c>
      <c r="B45" s="104" t="e">
        <f>#REF!</f>
        <v>#REF!</v>
      </c>
      <c r="C45" s="104" t="e">
        <f>#REF!</f>
        <v>#REF!</v>
      </c>
      <c r="D45" s="104" t="e">
        <f>#REF!</f>
        <v>#REF!</v>
      </c>
      <c r="E45" s="104" t="e">
        <f>#REF!</f>
        <v>#REF!</v>
      </c>
      <c r="F45" s="125" t="e">
        <f>#REF!</f>
        <v>#REF!</v>
      </c>
      <c r="G45" s="125" t="e">
        <f>#REF!</f>
        <v>#REF!</v>
      </c>
      <c r="H45" s="104" t="e">
        <f>#REF!</f>
        <v>#REF!</v>
      </c>
      <c r="I45" s="104" t="e">
        <f>#REF!</f>
        <v>#REF!</v>
      </c>
    </row>
    <row r="46" spans="1:9" x14ac:dyDescent="0.25">
      <c r="A46" s="104">
        <v>14</v>
      </c>
      <c r="B46" s="104" t="e">
        <f>#REF!</f>
        <v>#REF!</v>
      </c>
      <c r="C46" s="104" t="e">
        <f>#REF!</f>
        <v>#REF!</v>
      </c>
      <c r="D46" s="104" t="e">
        <f>#REF!</f>
        <v>#REF!</v>
      </c>
      <c r="E46" s="104" t="e">
        <f>#REF!</f>
        <v>#REF!</v>
      </c>
      <c r="F46" s="125" t="e">
        <f>#REF!</f>
        <v>#REF!</v>
      </c>
      <c r="G46" s="125" t="e">
        <f>#REF!</f>
        <v>#REF!</v>
      </c>
      <c r="H46" s="104" t="e">
        <f>#REF!</f>
        <v>#REF!</v>
      </c>
      <c r="I46" s="104" t="e">
        <f>#REF!</f>
        <v>#REF!</v>
      </c>
    </row>
    <row r="47" spans="1:9" x14ac:dyDescent="0.25">
      <c r="A47" s="104">
        <v>15</v>
      </c>
      <c r="B47" s="104" t="e">
        <f>#REF!</f>
        <v>#REF!</v>
      </c>
      <c r="C47" s="104" t="e">
        <f>#REF!</f>
        <v>#REF!</v>
      </c>
      <c r="D47" s="104" t="e">
        <f>#REF!</f>
        <v>#REF!</v>
      </c>
      <c r="E47" s="104" t="e">
        <f>#REF!</f>
        <v>#REF!</v>
      </c>
      <c r="F47" s="125" t="e">
        <f>#REF!</f>
        <v>#REF!</v>
      </c>
      <c r="G47" s="125" t="e">
        <f>#REF!</f>
        <v>#REF!</v>
      </c>
      <c r="H47" s="104" t="e">
        <f>#REF!</f>
        <v>#REF!</v>
      </c>
      <c r="I47" s="104" t="e">
        <f>#REF!</f>
        <v>#REF!</v>
      </c>
    </row>
    <row r="48" spans="1:9" x14ac:dyDescent="0.25">
      <c r="A48" s="104">
        <v>16</v>
      </c>
      <c r="B48" s="104" t="e">
        <f>#REF!</f>
        <v>#REF!</v>
      </c>
      <c r="C48" s="104" t="e">
        <f>#REF!</f>
        <v>#REF!</v>
      </c>
      <c r="D48" s="104" t="e">
        <f>#REF!</f>
        <v>#REF!</v>
      </c>
      <c r="E48" s="104" t="e">
        <f>#REF!</f>
        <v>#REF!</v>
      </c>
      <c r="F48" s="125" t="e">
        <f>#REF!</f>
        <v>#REF!</v>
      </c>
      <c r="G48" s="125" t="e">
        <f>#REF!</f>
        <v>#REF!</v>
      </c>
      <c r="H48" s="104" t="e">
        <f>#REF!</f>
        <v>#REF!</v>
      </c>
      <c r="I48" s="104" t="e">
        <f>#REF!</f>
        <v>#REF!</v>
      </c>
    </row>
    <row r="49" spans="1:9" x14ac:dyDescent="0.25">
      <c r="A49" s="104">
        <v>17</v>
      </c>
      <c r="B49" s="104" t="e">
        <f>#REF!</f>
        <v>#REF!</v>
      </c>
      <c r="C49" s="104" t="e">
        <f>#REF!</f>
        <v>#REF!</v>
      </c>
      <c r="D49" s="104" t="e">
        <f>#REF!</f>
        <v>#REF!</v>
      </c>
      <c r="E49" s="104" t="e">
        <f>#REF!</f>
        <v>#REF!</v>
      </c>
      <c r="F49" s="125" t="e">
        <f>#REF!</f>
        <v>#REF!</v>
      </c>
      <c r="G49" s="125" t="e">
        <f>#REF!</f>
        <v>#REF!</v>
      </c>
      <c r="H49" s="104" t="e">
        <f>#REF!</f>
        <v>#REF!</v>
      </c>
      <c r="I49" s="104" t="e">
        <f>#REF!</f>
        <v>#REF!</v>
      </c>
    </row>
    <row r="50" spans="1:9" x14ac:dyDescent="0.25">
      <c r="A50" s="104">
        <v>18</v>
      </c>
      <c r="B50" s="104" t="e">
        <f>#REF!</f>
        <v>#REF!</v>
      </c>
      <c r="C50" s="104" t="e">
        <f>#REF!</f>
        <v>#REF!</v>
      </c>
      <c r="D50" s="104" t="e">
        <f>#REF!</f>
        <v>#REF!</v>
      </c>
      <c r="E50" s="104" t="e">
        <f>#REF!</f>
        <v>#REF!</v>
      </c>
      <c r="F50" s="125" t="e">
        <f>#REF!</f>
        <v>#REF!</v>
      </c>
      <c r="G50" s="125" t="e">
        <f>#REF!</f>
        <v>#REF!</v>
      </c>
      <c r="H50" s="104" t="e">
        <f>#REF!</f>
        <v>#REF!</v>
      </c>
      <c r="I50" s="104" t="e">
        <f>#REF!</f>
        <v>#REF!</v>
      </c>
    </row>
    <row r="51" spans="1:9" x14ac:dyDescent="0.25">
      <c r="A51" s="104">
        <v>19</v>
      </c>
      <c r="B51" s="104" t="e">
        <f>#REF!</f>
        <v>#REF!</v>
      </c>
      <c r="C51" s="104" t="e">
        <f>#REF!</f>
        <v>#REF!</v>
      </c>
      <c r="D51" s="104" t="e">
        <f>#REF!</f>
        <v>#REF!</v>
      </c>
      <c r="E51" s="104" t="e">
        <f>#REF!</f>
        <v>#REF!</v>
      </c>
      <c r="F51" s="125" t="e">
        <f>#REF!</f>
        <v>#REF!</v>
      </c>
      <c r="G51" s="125" t="e">
        <f>#REF!</f>
        <v>#REF!</v>
      </c>
      <c r="H51" s="104" t="e">
        <f>#REF!</f>
        <v>#REF!</v>
      </c>
      <c r="I51" s="104" t="e">
        <f>#REF!</f>
        <v>#REF!</v>
      </c>
    </row>
    <row r="52" spans="1:9" x14ac:dyDescent="0.25">
      <c r="A52" s="104">
        <v>20</v>
      </c>
      <c r="B52" s="104" t="e">
        <f>#REF!</f>
        <v>#REF!</v>
      </c>
      <c r="C52" s="104" t="e">
        <f>#REF!</f>
        <v>#REF!</v>
      </c>
      <c r="D52" s="104" t="e">
        <f>#REF!</f>
        <v>#REF!</v>
      </c>
      <c r="E52" s="104" t="e">
        <f>#REF!</f>
        <v>#REF!</v>
      </c>
      <c r="F52" s="125" t="e">
        <f>#REF!</f>
        <v>#REF!</v>
      </c>
      <c r="G52" s="125" t="e">
        <f>#REF!</f>
        <v>#REF!</v>
      </c>
      <c r="H52" s="104" t="e">
        <f>#REF!</f>
        <v>#REF!</v>
      </c>
      <c r="I52" s="104" t="e">
        <f>#REF!</f>
        <v>#REF!</v>
      </c>
    </row>
    <row r="53" spans="1:9" x14ac:dyDescent="0.25">
      <c r="A53" s="104">
        <v>21</v>
      </c>
      <c r="B53" s="104" t="e">
        <f>#REF!</f>
        <v>#REF!</v>
      </c>
      <c r="C53" s="104" t="e">
        <f>#REF!</f>
        <v>#REF!</v>
      </c>
      <c r="D53" s="104" t="e">
        <f>#REF!</f>
        <v>#REF!</v>
      </c>
      <c r="E53" s="104" t="e">
        <f>#REF!</f>
        <v>#REF!</v>
      </c>
      <c r="F53" s="125" t="e">
        <f>#REF!</f>
        <v>#REF!</v>
      </c>
      <c r="G53" s="125" t="e">
        <f>#REF!</f>
        <v>#REF!</v>
      </c>
      <c r="H53" s="104" t="e">
        <f>#REF!</f>
        <v>#REF!</v>
      </c>
      <c r="I53" s="104" t="e">
        <f>#REF!</f>
        <v>#REF!</v>
      </c>
    </row>
    <row r="54" spans="1:9" x14ac:dyDescent="0.25">
      <c r="A54" s="104">
        <v>22</v>
      </c>
      <c r="B54" s="104" t="e">
        <f>#REF!</f>
        <v>#REF!</v>
      </c>
      <c r="C54" s="104" t="e">
        <f>#REF!</f>
        <v>#REF!</v>
      </c>
      <c r="D54" s="104" t="e">
        <f>#REF!</f>
        <v>#REF!</v>
      </c>
      <c r="E54" s="104" t="e">
        <f>#REF!</f>
        <v>#REF!</v>
      </c>
      <c r="F54" s="125" t="e">
        <f>#REF!</f>
        <v>#REF!</v>
      </c>
      <c r="G54" s="125" t="e">
        <f>#REF!</f>
        <v>#REF!</v>
      </c>
      <c r="H54" s="104" t="e">
        <f>#REF!</f>
        <v>#REF!</v>
      </c>
      <c r="I54" s="104" t="e">
        <f>#REF!</f>
        <v>#REF!</v>
      </c>
    </row>
    <row r="55" spans="1:9" x14ac:dyDescent="0.25">
      <c r="A55" s="104">
        <v>23</v>
      </c>
      <c r="B55" s="104" t="e">
        <f>#REF!</f>
        <v>#REF!</v>
      </c>
      <c r="C55" s="104" t="e">
        <f>#REF!</f>
        <v>#REF!</v>
      </c>
      <c r="D55" s="104" t="e">
        <f>#REF!</f>
        <v>#REF!</v>
      </c>
      <c r="E55" s="104" t="e">
        <f>#REF!</f>
        <v>#REF!</v>
      </c>
      <c r="F55" s="125" t="e">
        <f>#REF!</f>
        <v>#REF!</v>
      </c>
      <c r="G55" s="125" t="e">
        <f>#REF!</f>
        <v>#REF!</v>
      </c>
      <c r="H55" s="104" t="e">
        <f>#REF!</f>
        <v>#REF!</v>
      </c>
      <c r="I55" s="104" t="e">
        <f>#REF!</f>
        <v>#REF!</v>
      </c>
    </row>
    <row r="56" spans="1:9" x14ac:dyDescent="0.25">
      <c r="A56" s="104">
        <v>24</v>
      </c>
      <c r="B56" s="104" t="e">
        <f>#REF!</f>
        <v>#REF!</v>
      </c>
      <c r="C56" s="104" t="e">
        <f>#REF!</f>
        <v>#REF!</v>
      </c>
      <c r="D56" s="104" t="e">
        <f>#REF!</f>
        <v>#REF!</v>
      </c>
      <c r="E56" s="104" t="e">
        <f>#REF!</f>
        <v>#REF!</v>
      </c>
      <c r="F56" s="125" t="e">
        <f>#REF!</f>
        <v>#REF!</v>
      </c>
      <c r="G56" s="125" t="e">
        <f>#REF!</f>
        <v>#REF!</v>
      </c>
      <c r="H56" s="104" t="e">
        <f>#REF!</f>
        <v>#REF!</v>
      </c>
      <c r="I56" s="104" t="e">
        <f>#REF!</f>
        <v>#REF!</v>
      </c>
    </row>
    <row r="57" spans="1:9" x14ac:dyDescent="0.25">
      <c r="A57" s="104">
        <v>25</v>
      </c>
      <c r="B57" s="104" t="e">
        <f>#REF!</f>
        <v>#REF!</v>
      </c>
      <c r="C57" s="104" t="e">
        <f>#REF!</f>
        <v>#REF!</v>
      </c>
      <c r="D57" s="104" t="e">
        <f>#REF!</f>
        <v>#REF!</v>
      </c>
      <c r="E57" s="104" t="e">
        <f>#REF!</f>
        <v>#REF!</v>
      </c>
      <c r="F57" s="125" t="e">
        <f>#REF!</f>
        <v>#REF!</v>
      </c>
      <c r="G57" s="125" t="e">
        <f>#REF!</f>
        <v>#REF!</v>
      </c>
      <c r="H57" s="104" t="e">
        <f>#REF!</f>
        <v>#REF!</v>
      </c>
      <c r="I57" s="104" t="e">
        <f>#REF!</f>
        <v>#REF!</v>
      </c>
    </row>
    <row r="58" spans="1:9" x14ac:dyDescent="0.25">
      <c r="A58" s="104">
        <v>26</v>
      </c>
      <c r="B58" s="104" t="e">
        <f>#REF!</f>
        <v>#REF!</v>
      </c>
      <c r="C58" s="104" t="e">
        <f>#REF!</f>
        <v>#REF!</v>
      </c>
      <c r="D58" s="104" t="e">
        <f>#REF!</f>
        <v>#REF!</v>
      </c>
      <c r="E58" s="104" t="e">
        <f>#REF!</f>
        <v>#REF!</v>
      </c>
      <c r="F58" s="125" t="e">
        <f>#REF!</f>
        <v>#REF!</v>
      </c>
      <c r="G58" s="125" t="e">
        <f>#REF!</f>
        <v>#REF!</v>
      </c>
      <c r="H58" s="104" t="e">
        <f>#REF!</f>
        <v>#REF!</v>
      </c>
      <c r="I58" s="104" t="e">
        <f>#REF!</f>
        <v>#REF!</v>
      </c>
    </row>
    <row r="59" spans="1:9" x14ac:dyDescent="0.25">
      <c r="A59" s="104">
        <v>27</v>
      </c>
      <c r="B59" s="104" t="e">
        <f>#REF!</f>
        <v>#REF!</v>
      </c>
      <c r="C59" s="104" t="e">
        <f>#REF!</f>
        <v>#REF!</v>
      </c>
      <c r="D59" s="104" t="e">
        <f>#REF!</f>
        <v>#REF!</v>
      </c>
      <c r="E59" s="104" t="e">
        <f>#REF!</f>
        <v>#REF!</v>
      </c>
      <c r="F59" s="125" t="e">
        <f>#REF!</f>
        <v>#REF!</v>
      </c>
      <c r="G59" s="125" t="e">
        <f>#REF!</f>
        <v>#REF!</v>
      </c>
      <c r="H59" s="104" t="e">
        <f>#REF!</f>
        <v>#REF!</v>
      </c>
      <c r="I59" s="104" t="e">
        <f>#REF!</f>
        <v>#REF!</v>
      </c>
    </row>
    <row r="60" spans="1:9" x14ac:dyDescent="0.25">
      <c r="A60" s="104">
        <v>28</v>
      </c>
      <c r="B60" s="104" t="e">
        <f>#REF!</f>
        <v>#REF!</v>
      </c>
      <c r="C60" s="104" t="e">
        <f>#REF!</f>
        <v>#REF!</v>
      </c>
      <c r="D60" s="104" t="e">
        <f>#REF!</f>
        <v>#REF!</v>
      </c>
      <c r="E60" s="104" t="e">
        <f>#REF!</f>
        <v>#REF!</v>
      </c>
      <c r="F60" s="125" t="e">
        <f>#REF!</f>
        <v>#REF!</v>
      </c>
      <c r="G60" s="125" t="e">
        <f>#REF!</f>
        <v>#REF!</v>
      </c>
      <c r="H60" s="104" t="e">
        <f>#REF!</f>
        <v>#REF!</v>
      </c>
      <c r="I60" s="104" t="e">
        <f>#REF!</f>
        <v>#REF!</v>
      </c>
    </row>
    <row r="61" spans="1:9" x14ac:dyDescent="0.25">
      <c r="A61" s="104">
        <v>29</v>
      </c>
      <c r="B61" s="104" t="e">
        <f>#REF!</f>
        <v>#REF!</v>
      </c>
      <c r="C61" s="104" t="e">
        <f>#REF!</f>
        <v>#REF!</v>
      </c>
      <c r="D61" s="104" t="e">
        <f>#REF!</f>
        <v>#REF!</v>
      </c>
      <c r="E61" s="104" t="e">
        <f>#REF!</f>
        <v>#REF!</v>
      </c>
      <c r="F61" s="125" t="e">
        <f>#REF!</f>
        <v>#REF!</v>
      </c>
      <c r="G61" s="125" t="e">
        <f>#REF!</f>
        <v>#REF!</v>
      </c>
      <c r="H61" s="104" t="e">
        <f>#REF!</f>
        <v>#REF!</v>
      </c>
      <c r="I61" s="104" t="e">
        <f>#REF!</f>
        <v>#REF!</v>
      </c>
    </row>
    <row r="62" spans="1:9" x14ac:dyDescent="0.25">
      <c r="A62" s="104">
        <v>30</v>
      </c>
      <c r="B62" s="104" t="e">
        <f>#REF!</f>
        <v>#REF!</v>
      </c>
      <c r="C62" s="104" t="e">
        <f>#REF!</f>
        <v>#REF!</v>
      </c>
      <c r="D62" s="104" t="e">
        <f>#REF!</f>
        <v>#REF!</v>
      </c>
      <c r="E62" s="104" t="e">
        <f>#REF!</f>
        <v>#REF!</v>
      </c>
      <c r="F62" s="125" t="e">
        <f>#REF!</f>
        <v>#REF!</v>
      </c>
      <c r="G62" s="125" t="e">
        <f>#REF!</f>
        <v>#REF!</v>
      </c>
      <c r="H62" s="104" t="e">
        <f>#REF!</f>
        <v>#REF!</v>
      </c>
      <c r="I62" s="104" t="e">
        <f>#REF!</f>
        <v>#REF!</v>
      </c>
    </row>
    <row r="63" spans="1:9" x14ac:dyDescent="0.25">
      <c r="A63" s="104">
        <v>31</v>
      </c>
      <c r="B63" s="104" t="e">
        <f>#REF!</f>
        <v>#REF!</v>
      </c>
      <c r="C63" s="104" t="e">
        <f>#REF!</f>
        <v>#REF!</v>
      </c>
      <c r="D63" s="104" t="e">
        <f>#REF!</f>
        <v>#REF!</v>
      </c>
      <c r="E63" s="104" t="e">
        <f>#REF!</f>
        <v>#REF!</v>
      </c>
      <c r="F63" s="125" t="e">
        <f>#REF!</f>
        <v>#REF!</v>
      </c>
      <c r="G63" s="125" t="e">
        <f>#REF!</f>
        <v>#REF!</v>
      </c>
      <c r="H63" s="104" t="e">
        <f>#REF!</f>
        <v>#REF!</v>
      </c>
      <c r="I63" s="104" t="e">
        <f>#REF!</f>
        <v>#REF!</v>
      </c>
    </row>
    <row r="64" spans="1:9" x14ac:dyDescent="0.25">
      <c r="A64" s="104">
        <v>32</v>
      </c>
      <c r="B64" s="104" t="e">
        <f>#REF!</f>
        <v>#REF!</v>
      </c>
      <c r="C64" s="104" t="e">
        <f>#REF!</f>
        <v>#REF!</v>
      </c>
      <c r="D64" s="104" t="e">
        <f>#REF!</f>
        <v>#REF!</v>
      </c>
      <c r="E64" s="104" t="e">
        <f>#REF!</f>
        <v>#REF!</v>
      </c>
      <c r="F64" s="125" t="e">
        <f>#REF!</f>
        <v>#REF!</v>
      </c>
      <c r="G64" s="125" t="e">
        <f>#REF!</f>
        <v>#REF!</v>
      </c>
      <c r="H64" s="104" t="e">
        <f>#REF!</f>
        <v>#REF!</v>
      </c>
      <c r="I64" s="104" t="e">
        <f>#REF!</f>
        <v>#REF!</v>
      </c>
    </row>
    <row r="65" spans="1:9" x14ac:dyDescent="0.25">
      <c r="A65" s="104">
        <v>33</v>
      </c>
      <c r="B65" s="104" t="e">
        <f>#REF!</f>
        <v>#REF!</v>
      </c>
      <c r="C65" s="104" t="e">
        <f>#REF!</f>
        <v>#REF!</v>
      </c>
      <c r="D65" s="104" t="e">
        <f>#REF!</f>
        <v>#REF!</v>
      </c>
      <c r="E65" s="104" t="e">
        <f>#REF!</f>
        <v>#REF!</v>
      </c>
      <c r="F65" s="125" t="e">
        <f>#REF!</f>
        <v>#REF!</v>
      </c>
      <c r="G65" s="125" t="e">
        <f>#REF!</f>
        <v>#REF!</v>
      </c>
      <c r="H65" s="104" t="e">
        <f>#REF!</f>
        <v>#REF!</v>
      </c>
      <c r="I65" s="104" t="e">
        <f>#REF!</f>
        <v>#REF!</v>
      </c>
    </row>
    <row r="66" spans="1:9" x14ac:dyDescent="0.25">
      <c r="A66" s="104">
        <v>34</v>
      </c>
      <c r="B66" s="104" t="e">
        <f>#REF!</f>
        <v>#REF!</v>
      </c>
      <c r="C66" s="104" t="e">
        <f>#REF!</f>
        <v>#REF!</v>
      </c>
      <c r="D66" s="104" t="e">
        <f>#REF!</f>
        <v>#REF!</v>
      </c>
      <c r="E66" s="104" t="e">
        <f>#REF!</f>
        <v>#REF!</v>
      </c>
      <c r="F66" s="125" t="e">
        <f>#REF!</f>
        <v>#REF!</v>
      </c>
      <c r="G66" s="125" t="e">
        <f>#REF!</f>
        <v>#REF!</v>
      </c>
      <c r="H66" s="104" t="e">
        <f>#REF!</f>
        <v>#REF!</v>
      </c>
      <c r="I66" s="104" t="e">
        <f>#REF!</f>
        <v>#REF!</v>
      </c>
    </row>
    <row r="67" spans="1:9" x14ac:dyDescent="0.25">
      <c r="A67" s="104">
        <v>35</v>
      </c>
      <c r="B67" s="104" t="e">
        <f>#REF!</f>
        <v>#REF!</v>
      </c>
      <c r="C67" s="104" t="e">
        <f>#REF!</f>
        <v>#REF!</v>
      </c>
      <c r="D67" s="104" t="e">
        <f>#REF!</f>
        <v>#REF!</v>
      </c>
      <c r="E67" s="104" t="e">
        <f>#REF!</f>
        <v>#REF!</v>
      </c>
      <c r="F67" s="125" t="e">
        <f>#REF!</f>
        <v>#REF!</v>
      </c>
      <c r="G67" s="125" t="e">
        <f>#REF!</f>
        <v>#REF!</v>
      </c>
      <c r="H67" s="104" t="e">
        <f>#REF!</f>
        <v>#REF!</v>
      </c>
      <c r="I67" s="104" t="e">
        <f>#REF!</f>
        <v>#REF!</v>
      </c>
    </row>
    <row r="68" spans="1:9" x14ac:dyDescent="0.25">
      <c r="A68" s="104">
        <v>36</v>
      </c>
      <c r="B68" s="104" t="e">
        <f>#REF!</f>
        <v>#REF!</v>
      </c>
      <c r="C68" s="104" t="e">
        <f>#REF!</f>
        <v>#REF!</v>
      </c>
      <c r="D68" s="104" t="e">
        <f>#REF!</f>
        <v>#REF!</v>
      </c>
      <c r="E68" s="104" t="e">
        <f>#REF!</f>
        <v>#REF!</v>
      </c>
      <c r="F68" s="125" t="e">
        <f>#REF!</f>
        <v>#REF!</v>
      </c>
      <c r="G68" s="125" t="e">
        <f>#REF!</f>
        <v>#REF!</v>
      </c>
      <c r="H68" s="104" t="e">
        <f>#REF!</f>
        <v>#REF!</v>
      </c>
      <c r="I68" s="104" t="e">
        <f>#REF!</f>
        <v>#REF!</v>
      </c>
    </row>
    <row r="69" spans="1:9" x14ac:dyDescent="0.25">
      <c r="A69" s="104">
        <v>37</v>
      </c>
      <c r="B69" s="104" t="e">
        <f>#REF!</f>
        <v>#REF!</v>
      </c>
      <c r="C69" s="104" t="e">
        <f>#REF!</f>
        <v>#REF!</v>
      </c>
      <c r="D69" s="104" t="e">
        <f>#REF!</f>
        <v>#REF!</v>
      </c>
      <c r="E69" s="104" t="e">
        <f>#REF!</f>
        <v>#REF!</v>
      </c>
      <c r="F69" s="125" t="e">
        <f>#REF!</f>
        <v>#REF!</v>
      </c>
      <c r="G69" s="125" t="e">
        <f>#REF!</f>
        <v>#REF!</v>
      </c>
      <c r="H69" s="104" t="e">
        <f>#REF!</f>
        <v>#REF!</v>
      </c>
      <c r="I69" s="104" t="e">
        <f>#REF!</f>
        <v>#REF!</v>
      </c>
    </row>
    <row r="70" spans="1:9" x14ac:dyDescent="0.25">
      <c r="A70" s="104">
        <v>38</v>
      </c>
      <c r="B70" s="104" t="e">
        <f>#REF!</f>
        <v>#REF!</v>
      </c>
      <c r="C70" s="104" t="e">
        <f>#REF!</f>
        <v>#REF!</v>
      </c>
      <c r="D70" s="104" t="e">
        <f>#REF!</f>
        <v>#REF!</v>
      </c>
      <c r="E70" s="104" t="e">
        <f>#REF!</f>
        <v>#REF!</v>
      </c>
      <c r="F70" s="125" t="e">
        <f>#REF!</f>
        <v>#REF!</v>
      </c>
      <c r="G70" s="125" t="e">
        <f>#REF!</f>
        <v>#REF!</v>
      </c>
      <c r="H70" s="104" t="e">
        <f>#REF!</f>
        <v>#REF!</v>
      </c>
      <c r="I70" s="104" t="e">
        <f>#REF!</f>
        <v>#REF!</v>
      </c>
    </row>
    <row r="71" spans="1:9" x14ac:dyDescent="0.25">
      <c r="A71" s="104">
        <v>39</v>
      </c>
      <c r="B71" s="104" t="e">
        <f>#REF!</f>
        <v>#REF!</v>
      </c>
      <c r="C71" s="104" t="e">
        <f>#REF!</f>
        <v>#REF!</v>
      </c>
      <c r="D71" s="104" t="e">
        <f>#REF!</f>
        <v>#REF!</v>
      </c>
      <c r="E71" s="104" t="e">
        <f>#REF!</f>
        <v>#REF!</v>
      </c>
      <c r="F71" s="125" t="e">
        <f>#REF!</f>
        <v>#REF!</v>
      </c>
      <c r="G71" s="125" t="e">
        <f>#REF!</f>
        <v>#REF!</v>
      </c>
      <c r="H71" s="104" t="e">
        <f>#REF!</f>
        <v>#REF!</v>
      </c>
      <c r="I71" s="104" t="e">
        <f>#REF!</f>
        <v>#REF!</v>
      </c>
    </row>
    <row r="72" spans="1:9" x14ac:dyDescent="0.25">
      <c r="A72" s="104">
        <v>40</v>
      </c>
      <c r="B72" s="104" t="e">
        <f>#REF!</f>
        <v>#REF!</v>
      </c>
      <c r="C72" s="104" t="e">
        <f>#REF!</f>
        <v>#REF!</v>
      </c>
      <c r="D72" s="104" t="e">
        <f>#REF!</f>
        <v>#REF!</v>
      </c>
      <c r="E72" s="104" t="e">
        <f>#REF!</f>
        <v>#REF!</v>
      </c>
      <c r="F72" s="125" t="e">
        <f>#REF!</f>
        <v>#REF!</v>
      </c>
      <c r="G72" s="125" t="e">
        <f>#REF!</f>
        <v>#REF!</v>
      </c>
      <c r="H72" s="104" t="e">
        <f>#REF!</f>
        <v>#REF!</v>
      </c>
      <c r="I72" s="104" t="e">
        <f>#REF!</f>
        <v>#REF!</v>
      </c>
    </row>
    <row r="73" spans="1:9" x14ac:dyDescent="0.25">
      <c r="A73" s="104">
        <v>41</v>
      </c>
      <c r="B73" s="104" t="e">
        <f>#REF!</f>
        <v>#REF!</v>
      </c>
      <c r="C73" s="104" t="e">
        <f>#REF!</f>
        <v>#REF!</v>
      </c>
      <c r="D73" s="104" t="e">
        <f>#REF!</f>
        <v>#REF!</v>
      </c>
      <c r="E73" s="104" t="e">
        <f>#REF!</f>
        <v>#REF!</v>
      </c>
      <c r="F73" s="125" t="e">
        <f>#REF!</f>
        <v>#REF!</v>
      </c>
      <c r="G73" s="125" t="e">
        <f>#REF!</f>
        <v>#REF!</v>
      </c>
      <c r="H73" s="104" t="e">
        <f>#REF!</f>
        <v>#REF!</v>
      </c>
      <c r="I73" s="104" t="e">
        <f>#REF!</f>
        <v>#REF!</v>
      </c>
    </row>
    <row r="74" spans="1:9" x14ac:dyDescent="0.25">
      <c r="A74" s="104">
        <v>42</v>
      </c>
      <c r="B74" s="104" t="e">
        <f>#REF!</f>
        <v>#REF!</v>
      </c>
      <c r="C74" s="104" t="e">
        <f>#REF!</f>
        <v>#REF!</v>
      </c>
      <c r="D74" s="104" t="e">
        <f>#REF!</f>
        <v>#REF!</v>
      </c>
      <c r="E74" s="104" t="e">
        <f>#REF!</f>
        <v>#REF!</v>
      </c>
      <c r="F74" s="125" t="e">
        <f>#REF!</f>
        <v>#REF!</v>
      </c>
      <c r="G74" s="125" t="e">
        <f>#REF!</f>
        <v>#REF!</v>
      </c>
      <c r="H74" s="104" t="e">
        <f>#REF!</f>
        <v>#REF!</v>
      </c>
      <c r="I74" s="104" t="e">
        <f>#REF!</f>
        <v>#REF!</v>
      </c>
    </row>
    <row r="75" spans="1:9" x14ac:dyDescent="0.25">
      <c r="A75" s="104">
        <v>43</v>
      </c>
      <c r="B75" s="104" t="e">
        <f>#REF!</f>
        <v>#REF!</v>
      </c>
      <c r="C75" s="104" t="e">
        <f>#REF!</f>
        <v>#REF!</v>
      </c>
      <c r="D75" s="104" t="e">
        <f>#REF!</f>
        <v>#REF!</v>
      </c>
      <c r="E75" s="104" t="e">
        <f>#REF!</f>
        <v>#REF!</v>
      </c>
      <c r="F75" s="125" t="e">
        <f>#REF!</f>
        <v>#REF!</v>
      </c>
      <c r="G75" s="125" t="e">
        <f>#REF!</f>
        <v>#REF!</v>
      </c>
      <c r="H75" s="104" t="e">
        <f>#REF!</f>
        <v>#REF!</v>
      </c>
      <c r="I75" s="104" t="e">
        <f>#REF!</f>
        <v>#REF!</v>
      </c>
    </row>
    <row r="76" spans="1:9" x14ac:dyDescent="0.25">
      <c r="A76" s="104">
        <v>44</v>
      </c>
      <c r="B76" s="104" t="e">
        <f>#REF!</f>
        <v>#REF!</v>
      </c>
      <c r="C76" s="104" t="e">
        <f>#REF!</f>
        <v>#REF!</v>
      </c>
      <c r="D76" s="104" t="e">
        <f>#REF!</f>
        <v>#REF!</v>
      </c>
      <c r="E76" s="104" t="e">
        <f>#REF!</f>
        <v>#REF!</v>
      </c>
      <c r="F76" s="125" t="e">
        <f>#REF!</f>
        <v>#REF!</v>
      </c>
      <c r="G76" s="125" t="e">
        <f>#REF!</f>
        <v>#REF!</v>
      </c>
      <c r="H76" s="104" t="s">
        <v>326</v>
      </c>
      <c r="I76" s="104" t="e">
        <f>#REF!</f>
        <v>#REF!</v>
      </c>
    </row>
    <row r="77" spans="1:9" x14ac:dyDescent="0.25">
      <c r="A77" s="104">
        <v>45</v>
      </c>
      <c r="B77" s="104" t="e">
        <f>#REF!</f>
        <v>#REF!</v>
      </c>
      <c r="C77" s="104" t="e">
        <f>#REF!</f>
        <v>#REF!</v>
      </c>
      <c r="D77" s="104" t="e">
        <f>#REF!</f>
        <v>#REF!</v>
      </c>
      <c r="E77" s="104" t="e">
        <f>#REF!</f>
        <v>#REF!</v>
      </c>
      <c r="F77" s="125" t="e">
        <f>#REF!</f>
        <v>#REF!</v>
      </c>
      <c r="G77" s="125" t="e">
        <f>#REF!</f>
        <v>#REF!</v>
      </c>
      <c r="H77" s="104" t="e">
        <f>#REF!</f>
        <v>#REF!</v>
      </c>
      <c r="I77" s="104" t="e">
        <f>#REF!</f>
        <v>#REF!</v>
      </c>
    </row>
    <row r="78" spans="1:9" x14ac:dyDescent="0.25">
      <c r="A78" s="104">
        <v>46</v>
      </c>
      <c r="B78" s="104" t="e">
        <f>#REF!</f>
        <v>#REF!</v>
      </c>
      <c r="C78" s="104" t="e">
        <f>#REF!</f>
        <v>#REF!</v>
      </c>
      <c r="D78" s="104" t="e">
        <f>#REF!</f>
        <v>#REF!</v>
      </c>
      <c r="E78" s="104" t="e">
        <f>#REF!</f>
        <v>#REF!</v>
      </c>
      <c r="F78" s="125" t="e">
        <f>#REF!</f>
        <v>#REF!</v>
      </c>
      <c r="G78" s="125" t="e">
        <f>#REF!</f>
        <v>#REF!</v>
      </c>
      <c r="H78" s="104" t="e">
        <f>#REF!</f>
        <v>#REF!</v>
      </c>
      <c r="I78" s="104" t="e">
        <f>#REF!</f>
        <v>#REF!</v>
      </c>
    </row>
    <row r="79" spans="1:9" x14ac:dyDescent="0.25">
      <c r="A79" s="104">
        <v>47</v>
      </c>
      <c r="B79" s="104" t="e">
        <f>#REF!</f>
        <v>#REF!</v>
      </c>
      <c r="C79" s="104" t="e">
        <f>#REF!</f>
        <v>#REF!</v>
      </c>
      <c r="D79" s="104" t="e">
        <f>#REF!</f>
        <v>#REF!</v>
      </c>
      <c r="E79" s="104" t="e">
        <f>#REF!</f>
        <v>#REF!</v>
      </c>
      <c r="F79" s="125" t="e">
        <f>#REF!</f>
        <v>#REF!</v>
      </c>
      <c r="G79" s="125" t="e">
        <f>#REF!</f>
        <v>#REF!</v>
      </c>
      <c r="H79" s="104" t="e">
        <f>#REF!</f>
        <v>#REF!</v>
      </c>
      <c r="I79" s="104" t="e">
        <f>#REF!</f>
        <v>#REF!</v>
      </c>
    </row>
    <row r="80" spans="1:9" x14ac:dyDescent="0.25">
      <c r="A80" s="104">
        <v>48</v>
      </c>
      <c r="B80" s="104" t="e">
        <f>#REF!</f>
        <v>#REF!</v>
      </c>
      <c r="C80" s="104" t="e">
        <f>#REF!</f>
        <v>#REF!</v>
      </c>
      <c r="D80" s="104" t="e">
        <f>#REF!</f>
        <v>#REF!</v>
      </c>
      <c r="E80" s="104" t="e">
        <f>#REF!</f>
        <v>#REF!</v>
      </c>
      <c r="F80" s="125" t="e">
        <f>#REF!</f>
        <v>#REF!</v>
      </c>
      <c r="G80" s="125" t="e">
        <f>#REF!</f>
        <v>#REF!</v>
      </c>
      <c r="H80" s="104" t="e">
        <f>#REF!</f>
        <v>#REF!</v>
      </c>
      <c r="I80" s="104" t="e">
        <f>#REF!</f>
        <v>#REF!</v>
      </c>
    </row>
    <row r="81" spans="1:9" x14ac:dyDescent="0.25">
      <c r="A81" s="104">
        <v>49</v>
      </c>
      <c r="B81" s="104" t="e">
        <f>#REF!</f>
        <v>#REF!</v>
      </c>
      <c r="C81" s="104" t="e">
        <f>#REF!</f>
        <v>#REF!</v>
      </c>
      <c r="D81" s="104" t="e">
        <f>#REF!</f>
        <v>#REF!</v>
      </c>
      <c r="E81" s="104" t="e">
        <f>#REF!</f>
        <v>#REF!</v>
      </c>
      <c r="F81" s="125" t="e">
        <f>#REF!</f>
        <v>#REF!</v>
      </c>
      <c r="G81" s="125" t="e">
        <f>#REF!</f>
        <v>#REF!</v>
      </c>
      <c r="H81" s="104" t="e">
        <f>#REF!</f>
        <v>#REF!</v>
      </c>
      <c r="I81" s="104" t="e">
        <f>#REF!</f>
        <v>#REF!</v>
      </c>
    </row>
    <row r="82" spans="1:9" x14ac:dyDescent="0.25">
      <c r="A82" s="104">
        <v>50</v>
      </c>
      <c r="B82" s="104" t="e">
        <f>#REF!</f>
        <v>#REF!</v>
      </c>
      <c r="C82" s="104" t="e">
        <f>#REF!</f>
        <v>#REF!</v>
      </c>
      <c r="D82" s="104" t="e">
        <f>#REF!</f>
        <v>#REF!</v>
      </c>
      <c r="E82" s="104" t="e">
        <f>#REF!</f>
        <v>#REF!</v>
      </c>
      <c r="F82" s="125" t="e">
        <f>#REF!</f>
        <v>#REF!</v>
      </c>
      <c r="G82" s="125" t="e">
        <f>#REF!</f>
        <v>#REF!</v>
      </c>
      <c r="H82" s="104" t="e">
        <f>#REF!</f>
        <v>#REF!</v>
      </c>
      <c r="I82" s="104" t="e">
        <f>#REF!</f>
        <v>#REF!</v>
      </c>
    </row>
    <row r="83" spans="1:9" x14ac:dyDescent="0.25">
      <c r="A83" s="104">
        <v>51</v>
      </c>
      <c r="B83" s="104" t="e">
        <f>#REF!</f>
        <v>#REF!</v>
      </c>
      <c r="C83" s="104" t="e">
        <f>#REF!</f>
        <v>#REF!</v>
      </c>
      <c r="D83" s="104" t="e">
        <f>#REF!</f>
        <v>#REF!</v>
      </c>
      <c r="E83" s="104" t="e">
        <f>#REF!</f>
        <v>#REF!</v>
      </c>
      <c r="F83" s="125" t="e">
        <f>#REF!</f>
        <v>#REF!</v>
      </c>
      <c r="G83" s="125" t="e">
        <f>#REF!</f>
        <v>#REF!</v>
      </c>
      <c r="H83" s="104" t="e">
        <f>#REF!</f>
        <v>#REF!</v>
      </c>
      <c r="I83" s="104" t="e">
        <f>#REF!</f>
        <v>#REF!</v>
      </c>
    </row>
    <row r="84" spans="1:9" x14ac:dyDescent="0.25">
      <c r="A84" s="104">
        <v>52</v>
      </c>
      <c r="B84" s="104" t="e">
        <f>#REF!</f>
        <v>#REF!</v>
      </c>
      <c r="C84" s="104" t="e">
        <f>#REF!</f>
        <v>#REF!</v>
      </c>
      <c r="D84" s="104" t="e">
        <f>#REF!</f>
        <v>#REF!</v>
      </c>
      <c r="E84" s="104" t="e">
        <f>#REF!</f>
        <v>#REF!</v>
      </c>
      <c r="F84" s="125" t="e">
        <f>#REF!</f>
        <v>#REF!</v>
      </c>
      <c r="G84" s="125" t="e">
        <f>#REF!</f>
        <v>#REF!</v>
      </c>
      <c r="H84" s="104" t="e">
        <f>#REF!</f>
        <v>#REF!</v>
      </c>
      <c r="I84" s="104" t="e">
        <f>#REF!</f>
        <v>#REF!</v>
      </c>
    </row>
    <row r="85" spans="1:9" x14ac:dyDescent="0.25">
      <c r="A85" s="104">
        <v>53</v>
      </c>
      <c r="B85" s="104" t="e">
        <f>#REF!</f>
        <v>#REF!</v>
      </c>
      <c r="C85" s="104" t="e">
        <f>#REF!</f>
        <v>#REF!</v>
      </c>
      <c r="D85" s="104" t="e">
        <f>#REF!</f>
        <v>#REF!</v>
      </c>
      <c r="E85" s="104" t="e">
        <f>#REF!</f>
        <v>#REF!</v>
      </c>
      <c r="F85" s="125" t="e">
        <f>#REF!</f>
        <v>#REF!</v>
      </c>
      <c r="G85" s="125" t="e">
        <f>#REF!</f>
        <v>#REF!</v>
      </c>
      <c r="H85" s="104" t="e">
        <f>#REF!</f>
        <v>#REF!</v>
      </c>
      <c r="I85" s="104" t="e">
        <f>#REF!</f>
        <v>#REF!</v>
      </c>
    </row>
    <row r="86" spans="1:9" x14ac:dyDescent="0.25">
      <c r="A86" s="104">
        <v>54</v>
      </c>
      <c r="B86" s="104" t="e">
        <f>#REF!</f>
        <v>#REF!</v>
      </c>
      <c r="C86" s="104" t="e">
        <f>#REF!</f>
        <v>#REF!</v>
      </c>
      <c r="D86" s="104" t="e">
        <f>#REF!</f>
        <v>#REF!</v>
      </c>
      <c r="E86" s="104" t="e">
        <f>#REF!</f>
        <v>#REF!</v>
      </c>
      <c r="F86" s="125" t="e">
        <f>#REF!</f>
        <v>#REF!</v>
      </c>
      <c r="G86" s="125" t="e">
        <f>#REF!</f>
        <v>#REF!</v>
      </c>
      <c r="H86" s="104" t="e">
        <f>#REF!</f>
        <v>#REF!</v>
      </c>
      <c r="I86" s="104" t="e">
        <f>#REF!</f>
        <v>#REF!</v>
      </c>
    </row>
    <row r="87" spans="1:9" x14ac:dyDescent="0.25">
      <c r="A87" s="104">
        <v>55</v>
      </c>
      <c r="B87" s="104" t="e">
        <f>#REF!</f>
        <v>#REF!</v>
      </c>
      <c r="C87" s="104" t="e">
        <f>#REF!</f>
        <v>#REF!</v>
      </c>
      <c r="D87" s="104" t="e">
        <f>#REF!</f>
        <v>#REF!</v>
      </c>
      <c r="E87" s="104" t="e">
        <f>#REF!</f>
        <v>#REF!</v>
      </c>
      <c r="F87" s="125" t="e">
        <f>#REF!</f>
        <v>#REF!</v>
      </c>
      <c r="G87" s="125" t="e">
        <f>#REF!</f>
        <v>#REF!</v>
      </c>
      <c r="H87" s="104" t="e">
        <f>#REF!</f>
        <v>#REF!</v>
      </c>
      <c r="I87" s="104" t="e">
        <f>#REF!</f>
        <v>#REF!</v>
      </c>
    </row>
    <row r="88" spans="1:9" x14ac:dyDescent="0.25">
      <c r="A88" s="104">
        <v>56</v>
      </c>
      <c r="B88" s="104" t="e">
        <f>#REF!</f>
        <v>#REF!</v>
      </c>
      <c r="C88" s="104" t="e">
        <f>#REF!</f>
        <v>#REF!</v>
      </c>
      <c r="D88" s="104" t="e">
        <f>#REF!</f>
        <v>#REF!</v>
      </c>
      <c r="E88" s="104" t="e">
        <f>#REF!</f>
        <v>#REF!</v>
      </c>
      <c r="F88" s="125" t="e">
        <f>#REF!</f>
        <v>#REF!</v>
      </c>
      <c r="G88" s="125" t="e">
        <f>#REF!</f>
        <v>#REF!</v>
      </c>
      <c r="H88" s="104" t="e">
        <f>#REF!</f>
        <v>#REF!</v>
      </c>
      <c r="I88" s="104" t="e">
        <f>#REF!</f>
        <v>#REF!</v>
      </c>
    </row>
    <row r="89" spans="1:9" x14ac:dyDescent="0.25">
      <c r="A89" s="104">
        <v>57</v>
      </c>
      <c r="B89" s="104" t="e">
        <f>#REF!</f>
        <v>#REF!</v>
      </c>
      <c r="C89" s="104" t="e">
        <f>#REF!</f>
        <v>#REF!</v>
      </c>
      <c r="D89" s="104" t="e">
        <f>#REF!</f>
        <v>#REF!</v>
      </c>
      <c r="E89" s="104" t="e">
        <f>#REF!</f>
        <v>#REF!</v>
      </c>
      <c r="F89" s="125" t="e">
        <f>#REF!</f>
        <v>#REF!</v>
      </c>
      <c r="G89" s="125" t="e">
        <f>#REF!</f>
        <v>#REF!</v>
      </c>
      <c r="H89" s="104" t="e">
        <f>#REF!</f>
        <v>#REF!</v>
      </c>
      <c r="I89" s="104" t="e">
        <f>#REF!</f>
        <v>#REF!</v>
      </c>
    </row>
    <row r="90" spans="1:9" x14ac:dyDescent="0.25">
      <c r="A90" s="104">
        <v>58</v>
      </c>
      <c r="B90" s="104" t="e">
        <f>#REF!</f>
        <v>#REF!</v>
      </c>
      <c r="C90" s="104" t="e">
        <f>#REF!</f>
        <v>#REF!</v>
      </c>
      <c r="D90" s="104" t="e">
        <f>#REF!</f>
        <v>#REF!</v>
      </c>
      <c r="E90" s="104" t="e">
        <f>#REF!</f>
        <v>#REF!</v>
      </c>
      <c r="F90" s="125" t="e">
        <f>#REF!</f>
        <v>#REF!</v>
      </c>
      <c r="G90" s="125" t="e">
        <f>#REF!</f>
        <v>#REF!</v>
      </c>
      <c r="H90" s="104" t="e">
        <f>#REF!</f>
        <v>#REF!</v>
      </c>
      <c r="I90" s="104" t="e">
        <f>#REF!</f>
        <v>#REF!</v>
      </c>
    </row>
    <row r="91" spans="1:9" x14ac:dyDescent="0.25">
      <c r="A91" s="104">
        <v>59</v>
      </c>
      <c r="B91" s="104" t="e">
        <f>#REF!</f>
        <v>#REF!</v>
      </c>
      <c r="C91" s="104" t="e">
        <f>#REF!</f>
        <v>#REF!</v>
      </c>
      <c r="D91" s="104" t="e">
        <f>#REF!</f>
        <v>#REF!</v>
      </c>
      <c r="E91" s="104" t="e">
        <f>#REF!</f>
        <v>#REF!</v>
      </c>
      <c r="F91" s="125" t="e">
        <f>#REF!</f>
        <v>#REF!</v>
      </c>
      <c r="G91" s="125" t="e">
        <f>#REF!</f>
        <v>#REF!</v>
      </c>
      <c r="H91" s="104" t="e">
        <f>#REF!</f>
        <v>#REF!</v>
      </c>
      <c r="I91" s="104" t="e">
        <f>#REF!</f>
        <v>#REF!</v>
      </c>
    </row>
    <row r="92" spans="1:9" x14ac:dyDescent="0.25">
      <c r="A92" s="104">
        <v>60</v>
      </c>
      <c r="B92" s="104" t="e">
        <f>#REF!</f>
        <v>#REF!</v>
      </c>
      <c r="C92" s="104" t="e">
        <f>#REF!</f>
        <v>#REF!</v>
      </c>
      <c r="D92" s="104" t="e">
        <f>#REF!</f>
        <v>#REF!</v>
      </c>
      <c r="E92" s="104" t="e">
        <f>#REF!</f>
        <v>#REF!</v>
      </c>
      <c r="F92" s="125" t="e">
        <f>#REF!</f>
        <v>#REF!</v>
      </c>
      <c r="G92" s="125" t="e">
        <f>#REF!</f>
        <v>#REF!</v>
      </c>
      <c r="H92" s="104" t="e">
        <f>#REF!</f>
        <v>#REF!</v>
      </c>
      <c r="I92" s="104" t="e">
        <f>#REF!</f>
        <v>#REF!</v>
      </c>
    </row>
    <row r="93" spans="1:9" x14ac:dyDescent="0.25">
      <c r="A93" s="104">
        <v>61</v>
      </c>
      <c r="B93" s="104" t="e">
        <f>#REF!</f>
        <v>#REF!</v>
      </c>
      <c r="C93" s="104" t="e">
        <f>#REF!</f>
        <v>#REF!</v>
      </c>
      <c r="D93" s="104" t="e">
        <f>#REF!</f>
        <v>#REF!</v>
      </c>
      <c r="E93" s="104" t="e">
        <f>#REF!</f>
        <v>#REF!</v>
      </c>
      <c r="F93" s="125" t="e">
        <f>#REF!</f>
        <v>#REF!</v>
      </c>
      <c r="G93" s="125" t="e">
        <f>#REF!</f>
        <v>#REF!</v>
      </c>
      <c r="H93" s="104" t="e">
        <f>#REF!</f>
        <v>#REF!</v>
      </c>
      <c r="I93" s="104" t="e">
        <f>#REF!</f>
        <v>#REF!</v>
      </c>
    </row>
    <row r="94" spans="1:9" x14ac:dyDescent="0.25">
      <c r="A94" s="104">
        <v>62</v>
      </c>
      <c r="B94" s="104" t="e">
        <f>#REF!</f>
        <v>#REF!</v>
      </c>
      <c r="C94" s="104" t="e">
        <f>#REF!</f>
        <v>#REF!</v>
      </c>
      <c r="D94" s="104" t="e">
        <f>#REF!</f>
        <v>#REF!</v>
      </c>
      <c r="E94" s="104" t="e">
        <f>#REF!</f>
        <v>#REF!</v>
      </c>
      <c r="F94" s="125" t="e">
        <f>#REF!</f>
        <v>#REF!</v>
      </c>
      <c r="G94" s="125" t="e">
        <f>#REF!</f>
        <v>#REF!</v>
      </c>
      <c r="H94" s="104" t="e">
        <f>#REF!</f>
        <v>#REF!</v>
      </c>
      <c r="I94" s="104" t="e">
        <f>#REF!</f>
        <v>#REF!</v>
      </c>
    </row>
    <row r="95" spans="1:9" x14ac:dyDescent="0.25">
      <c r="A95" s="104">
        <v>63</v>
      </c>
      <c r="B95" s="104" t="e">
        <f>#REF!</f>
        <v>#REF!</v>
      </c>
      <c r="C95" s="104" t="e">
        <f>#REF!</f>
        <v>#REF!</v>
      </c>
      <c r="D95" s="104" t="e">
        <f>#REF!</f>
        <v>#REF!</v>
      </c>
      <c r="E95" s="104" t="e">
        <f>#REF!</f>
        <v>#REF!</v>
      </c>
      <c r="F95" s="125" t="e">
        <f>#REF!</f>
        <v>#REF!</v>
      </c>
      <c r="G95" s="125" t="e">
        <f>#REF!</f>
        <v>#REF!</v>
      </c>
      <c r="H95" s="104" t="e">
        <f>#REF!</f>
        <v>#REF!</v>
      </c>
      <c r="I95" s="104" t="e">
        <f>#REF!</f>
        <v>#REF!</v>
      </c>
    </row>
    <row r="96" spans="1:9" x14ac:dyDescent="0.25">
      <c r="A96" s="104">
        <v>64</v>
      </c>
      <c r="B96" s="104" t="e">
        <f>#REF!</f>
        <v>#REF!</v>
      </c>
      <c r="C96" s="104" t="e">
        <f>#REF!</f>
        <v>#REF!</v>
      </c>
      <c r="D96" s="104" t="e">
        <f>#REF!</f>
        <v>#REF!</v>
      </c>
      <c r="E96" s="104" t="e">
        <f>#REF!</f>
        <v>#REF!</v>
      </c>
      <c r="F96" s="125" t="e">
        <f>#REF!</f>
        <v>#REF!</v>
      </c>
      <c r="G96" s="125" t="e">
        <f>#REF!</f>
        <v>#REF!</v>
      </c>
      <c r="H96" s="104" t="e">
        <f>#REF!</f>
        <v>#REF!</v>
      </c>
      <c r="I96" s="104" t="e">
        <f>#REF!</f>
        <v>#REF!</v>
      </c>
    </row>
    <row r="97" spans="1:9" x14ac:dyDescent="0.25">
      <c r="A97" s="104">
        <v>65</v>
      </c>
      <c r="B97" s="104" t="e">
        <f>#REF!</f>
        <v>#REF!</v>
      </c>
      <c r="C97" s="104" t="e">
        <f>#REF!</f>
        <v>#REF!</v>
      </c>
      <c r="D97" s="104" t="e">
        <f>#REF!</f>
        <v>#REF!</v>
      </c>
      <c r="E97" s="104" t="e">
        <f>#REF!</f>
        <v>#REF!</v>
      </c>
      <c r="F97" s="125" t="e">
        <f>#REF!</f>
        <v>#REF!</v>
      </c>
      <c r="G97" s="125" t="e">
        <f>#REF!</f>
        <v>#REF!</v>
      </c>
      <c r="H97" s="104" t="e">
        <f>#REF!</f>
        <v>#REF!</v>
      </c>
      <c r="I97" s="104" t="e">
        <f>#REF!</f>
        <v>#REF!</v>
      </c>
    </row>
    <row r="98" spans="1:9" x14ac:dyDescent="0.25">
      <c r="A98" s="104">
        <v>66</v>
      </c>
      <c r="B98" s="104" t="e">
        <f>#REF!</f>
        <v>#REF!</v>
      </c>
      <c r="C98" s="104" t="e">
        <f>#REF!</f>
        <v>#REF!</v>
      </c>
      <c r="D98" s="104" t="e">
        <f>#REF!</f>
        <v>#REF!</v>
      </c>
      <c r="E98" s="104" t="e">
        <f>#REF!</f>
        <v>#REF!</v>
      </c>
      <c r="F98" s="125" t="e">
        <f>#REF!</f>
        <v>#REF!</v>
      </c>
      <c r="G98" s="125" t="e">
        <f>#REF!</f>
        <v>#REF!</v>
      </c>
      <c r="H98" s="104" t="e">
        <f>#REF!</f>
        <v>#REF!</v>
      </c>
      <c r="I98" s="104" t="e">
        <f>#REF!</f>
        <v>#REF!</v>
      </c>
    </row>
    <row r="99" spans="1:9" x14ac:dyDescent="0.25">
      <c r="A99" s="104">
        <v>67</v>
      </c>
      <c r="B99" s="104" t="e">
        <f>#REF!</f>
        <v>#REF!</v>
      </c>
      <c r="C99" s="104" t="e">
        <f>#REF!</f>
        <v>#REF!</v>
      </c>
      <c r="D99" s="104" t="e">
        <f>#REF!</f>
        <v>#REF!</v>
      </c>
      <c r="E99" s="104" t="e">
        <f>#REF!</f>
        <v>#REF!</v>
      </c>
      <c r="F99" s="125" t="e">
        <f>#REF!</f>
        <v>#REF!</v>
      </c>
      <c r="G99" s="125" t="e">
        <f>#REF!</f>
        <v>#REF!</v>
      </c>
      <c r="H99" s="104" t="e">
        <f>#REF!</f>
        <v>#REF!</v>
      </c>
      <c r="I99" s="104" t="e">
        <f>#REF!</f>
        <v>#REF!</v>
      </c>
    </row>
    <row r="100" spans="1:9" x14ac:dyDescent="0.25">
      <c r="A100" s="104">
        <v>68</v>
      </c>
      <c r="B100" s="104" t="e">
        <f>#REF!</f>
        <v>#REF!</v>
      </c>
      <c r="C100" s="104" t="e">
        <f>#REF!</f>
        <v>#REF!</v>
      </c>
      <c r="D100" s="104" t="e">
        <f>#REF!</f>
        <v>#REF!</v>
      </c>
      <c r="E100" s="104" t="e">
        <f>#REF!</f>
        <v>#REF!</v>
      </c>
      <c r="F100" s="125" t="e">
        <f>#REF!</f>
        <v>#REF!</v>
      </c>
      <c r="G100" s="125" t="e">
        <f>#REF!</f>
        <v>#REF!</v>
      </c>
      <c r="H100" s="104" t="e">
        <f>#REF!</f>
        <v>#REF!</v>
      </c>
      <c r="I100" s="104" t="e">
        <f>#REF!</f>
        <v>#REF!</v>
      </c>
    </row>
    <row r="101" spans="1:9" x14ac:dyDescent="0.25">
      <c r="A101" s="104">
        <v>69</v>
      </c>
      <c r="B101" s="104" t="e">
        <f>#REF!</f>
        <v>#REF!</v>
      </c>
      <c r="C101" s="104" t="e">
        <f>#REF!</f>
        <v>#REF!</v>
      </c>
      <c r="D101" s="104" t="e">
        <f>#REF!</f>
        <v>#REF!</v>
      </c>
      <c r="E101" s="104" t="e">
        <f>#REF!</f>
        <v>#REF!</v>
      </c>
      <c r="F101" s="125" t="e">
        <f>#REF!</f>
        <v>#REF!</v>
      </c>
      <c r="G101" s="125" t="e">
        <f>#REF!</f>
        <v>#REF!</v>
      </c>
      <c r="H101" s="104" t="e">
        <f>#REF!</f>
        <v>#REF!</v>
      </c>
      <c r="I101" s="104" t="e">
        <f>#REF!</f>
        <v>#REF!</v>
      </c>
    </row>
    <row r="102" spans="1:9" x14ac:dyDescent="0.25">
      <c r="A102" s="104">
        <v>70</v>
      </c>
      <c r="B102" s="104" t="e">
        <f>#REF!</f>
        <v>#REF!</v>
      </c>
      <c r="C102" s="104" t="e">
        <f>#REF!</f>
        <v>#REF!</v>
      </c>
      <c r="D102" s="104" t="e">
        <f>#REF!</f>
        <v>#REF!</v>
      </c>
      <c r="E102" s="104" t="e">
        <f>#REF!</f>
        <v>#REF!</v>
      </c>
      <c r="F102" s="125" t="e">
        <f>#REF!</f>
        <v>#REF!</v>
      </c>
      <c r="G102" s="125" t="e">
        <f>#REF!</f>
        <v>#REF!</v>
      </c>
      <c r="H102" s="104" t="e">
        <f>#REF!</f>
        <v>#REF!</v>
      </c>
      <c r="I102" s="104" t="e">
        <f>#REF!</f>
        <v>#REF!</v>
      </c>
    </row>
    <row r="103" spans="1:9" x14ac:dyDescent="0.25">
      <c r="A103" s="104">
        <v>71</v>
      </c>
      <c r="B103" s="104" t="e">
        <f>#REF!</f>
        <v>#REF!</v>
      </c>
      <c r="C103" s="104" t="e">
        <f>#REF!</f>
        <v>#REF!</v>
      </c>
      <c r="D103" s="104" t="e">
        <f>#REF!</f>
        <v>#REF!</v>
      </c>
      <c r="E103" s="104" t="e">
        <f>#REF!</f>
        <v>#REF!</v>
      </c>
      <c r="F103" s="125" t="e">
        <f>#REF!</f>
        <v>#REF!</v>
      </c>
      <c r="G103" s="125" t="e">
        <f>#REF!</f>
        <v>#REF!</v>
      </c>
      <c r="H103" s="104" t="e">
        <f>#REF!</f>
        <v>#REF!</v>
      </c>
      <c r="I103" s="104" t="e">
        <f>#REF!</f>
        <v>#REF!</v>
      </c>
    </row>
    <row r="104" spans="1:9" x14ac:dyDescent="0.25">
      <c r="A104" s="104">
        <v>72</v>
      </c>
      <c r="B104" s="104" t="e">
        <f>#REF!</f>
        <v>#REF!</v>
      </c>
      <c r="C104" s="104" t="e">
        <f>#REF!</f>
        <v>#REF!</v>
      </c>
      <c r="D104" s="104" t="e">
        <f>#REF!</f>
        <v>#REF!</v>
      </c>
      <c r="E104" s="104" t="e">
        <f>#REF!</f>
        <v>#REF!</v>
      </c>
      <c r="F104" s="125" t="e">
        <f>#REF!</f>
        <v>#REF!</v>
      </c>
      <c r="G104" s="125" t="e">
        <f>#REF!</f>
        <v>#REF!</v>
      </c>
      <c r="H104" s="104" t="e">
        <f>#REF!</f>
        <v>#REF!</v>
      </c>
      <c r="I104" s="104" t="e">
        <f>#REF!</f>
        <v>#REF!</v>
      </c>
    </row>
    <row r="106" spans="1:9" x14ac:dyDescent="0.25">
      <c r="A106" s="104" t="e">
        <f>#REF!</f>
        <v>#REF!</v>
      </c>
      <c r="B106" s="104" t="e">
        <f>#REF!</f>
        <v>#REF!</v>
      </c>
      <c r="C106" s="104" t="e">
        <f>#REF!</f>
        <v>#REF!</v>
      </c>
      <c r="D106" s="104" t="e">
        <f>#REF!</f>
        <v>#REF!</v>
      </c>
      <c r="E106" s="104" t="e">
        <f>#REF!</f>
        <v>#REF!</v>
      </c>
      <c r="F106" s="104" t="e">
        <f>#REF!</f>
        <v>#REF!</v>
      </c>
      <c r="G106" s="104" t="s">
        <v>325</v>
      </c>
      <c r="H106" s="104" t="s">
        <v>313</v>
      </c>
      <c r="I106" s="104" t="s">
        <v>324</v>
      </c>
    </row>
    <row r="107" spans="1:9" x14ac:dyDescent="0.25">
      <c r="A107" s="104">
        <v>1</v>
      </c>
      <c r="B107" s="104" t="e">
        <f>#REF!</f>
        <v>#REF!</v>
      </c>
      <c r="C107" s="104" t="e">
        <f>#REF!</f>
        <v>#REF!</v>
      </c>
      <c r="D107" s="104" t="e">
        <f>#REF!</f>
        <v>#REF!</v>
      </c>
      <c r="E107" s="104" t="e">
        <f>#REF!</f>
        <v>#REF!</v>
      </c>
      <c r="F107" s="125" t="e">
        <f>#REF!</f>
        <v>#REF!</v>
      </c>
      <c r="G107" s="125" t="e">
        <f>#REF!</f>
        <v>#REF!</v>
      </c>
      <c r="H107" s="104" t="e">
        <f>#REF!</f>
        <v>#REF!</v>
      </c>
      <c r="I107" s="104" t="e">
        <f>#REF!</f>
        <v>#REF!</v>
      </c>
    </row>
    <row r="108" spans="1:9" x14ac:dyDescent="0.25">
      <c r="A108" s="104">
        <v>2</v>
      </c>
      <c r="B108" s="104" t="e">
        <f>#REF!</f>
        <v>#REF!</v>
      </c>
      <c r="C108" s="104" t="e">
        <f>#REF!</f>
        <v>#REF!</v>
      </c>
      <c r="D108" s="104" t="e">
        <f>#REF!</f>
        <v>#REF!</v>
      </c>
      <c r="E108" s="104" t="e">
        <f>#REF!</f>
        <v>#REF!</v>
      </c>
      <c r="F108" s="125" t="s">
        <v>326</v>
      </c>
      <c r="G108" s="125" t="e">
        <f>#REF!</f>
        <v>#REF!</v>
      </c>
      <c r="H108" s="104" t="e">
        <f>#REF!</f>
        <v>#REF!</v>
      </c>
      <c r="I108" s="104" t="e">
        <f>#REF!</f>
        <v>#REF!</v>
      </c>
    </row>
    <row r="109" spans="1:9" x14ac:dyDescent="0.25">
      <c r="A109" s="104">
        <v>3</v>
      </c>
      <c r="B109" s="104" t="e">
        <f>#REF!</f>
        <v>#REF!</v>
      </c>
      <c r="C109" s="104" t="e">
        <f>#REF!</f>
        <v>#REF!</v>
      </c>
      <c r="D109" s="104" t="e">
        <f>#REF!</f>
        <v>#REF!</v>
      </c>
      <c r="E109" s="104" t="e">
        <f>#REF!</f>
        <v>#REF!</v>
      </c>
      <c r="F109" s="125" t="s">
        <v>326</v>
      </c>
      <c r="G109" s="125" t="e">
        <f>#REF!</f>
        <v>#REF!</v>
      </c>
      <c r="H109" s="104" t="e">
        <f>#REF!</f>
        <v>#REF!</v>
      </c>
      <c r="I109" s="104" t="e">
        <f>#REF!</f>
        <v>#REF!</v>
      </c>
    </row>
    <row r="110" spans="1:9" x14ac:dyDescent="0.25">
      <c r="A110" s="104">
        <v>4</v>
      </c>
      <c r="B110" s="104" t="e">
        <f>#REF!</f>
        <v>#REF!</v>
      </c>
      <c r="C110" s="104" t="e">
        <f>#REF!</f>
        <v>#REF!</v>
      </c>
      <c r="D110" s="104" t="e">
        <f>#REF!</f>
        <v>#REF!</v>
      </c>
      <c r="E110" s="104" t="e">
        <f>#REF!</f>
        <v>#REF!</v>
      </c>
      <c r="F110" s="125" t="e">
        <f>#REF!</f>
        <v>#REF!</v>
      </c>
      <c r="G110" s="125" t="e">
        <f>#REF!</f>
        <v>#REF!</v>
      </c>
      <c r="H110" s="104" t="e">
        <f>#REF!</f>
        <v>#REF!</v>
      </c>
      <c r="I110" s="104" t="e">
        <f>#REF!</f>
        <v>#REF!</v>
      </c>
    </row>
    <row r="111" spans="1:9" x14ac:dyDescent="0.25">
      <c r="A111" s="104">
        <v>5</v>
      </c>
      <c r="B111" s="104" t="e">
        <f>#REF!</f>
        <v>#REF!</v>
      </c>
      <c r="C111" s="104" t="e">
        <f>#REF!</f>
        <v>#REF!</v>
      </c>
      <c r="D111" s="104" t="e">
        <f>#REF!</f>
        <v>#REF!</v>
      </c>
      <c r="E111" s="104" t="e">
        <f>#REF!</f>
        <v>#REF!</v>
      </c>
      <c r="F111" s="125" t="e">
        <f>#REF!</f>
        <v>#REF!</v>
      </c>
      <c r="G111" s="125" t="e">
        <f>#REF!</f>
        <v>#REF!</v>
      </c>
      <c r="H111" s="104" t="e">
        <f>#REF!</f>
        <v>#REF!</v>
      </c>
      <c r="I111" s="104" t="e">
        <f>#REF!</f>
        <v>#REF!</v>
      </c>
    </row>
    <row r="112" spans="1:9" x14ac:dyDescent="0.25">
      <c r="A112" s="104">
        <v>6</v>
      </c>
      <c r="B112" s="104" t="e">
        <f>#REF!</f>
        <v>#REF!</v>
      </c>
      <c r="C112" s="104" t="e">
        <f>#REF!</f>
        <v>#REF!</v>
      </c>
      <c r="D112" s="104" t="e">
        <f>#REF!</f>
        <v>#REF!</v>
      </c>
      <c r="E112" s="104" t="e">
        <f>#REF!</f>
        <v>#REF!</v>
      </c>
      <c r="F112" s="125" t="e">
        <f>#REF!</f>
        <v>#REF!</v>
      </c>
      <c r="G112" s="125" t="e">
        <f>#REF!</f>
        <v>#REF!</v>
      </c>
      <c r="H112" s="104" t="s">
        <v>326</v>
      </c>
      <c r="I112" s="104" t="e">
        <f>#REF!</f>
        <v>#REF!</v>
      </c>
    </row>
    <row r="113" spans="1:9" x14ac:dyDescent="0.25">
      <c r="A113" s="104">
        <v>7</v>
      </c>
      <c r="B113" s="104" t="e">
        <f>#REF!</f>
        <v>#REF!</v>
      </c>
      <c r="C113" s="104" t="e">
        <f>#REF!</f>
        <v>#REF!</v>
      </c>
      <c r="D113" s="104" t="e">
        <f>#REF!</f>
        <v>#REF!</v>
      </c>
      <c r="E113" s="104" t="e">
        <f>#REF!</f>
        <v>#REF!</v>
      </c>
      <c r="F113" s="125" t="e">
        <f>#REF!</f>
        <v>#REF!</v>
      </c>
      <c r="G113" s="125" t="e">
        <f>#REF!</f>
        <v>#REF!</v>
      </c>
      <c r="H113" s="104" t="e">
        <f>#REF!</f>
        <v>#REF!</v>
      </c>
      <c r="I113" s="104" t="e">
        <f>#REF!</f>
        <v>#REF!</v>
      </c>
    </row>
    <row r="114" spans="1:9" x14ac:dyDescent="0.25">
      <c r="A114" s="104">
        <v>8</v>
      </c>
      <c r="B114" s="104" t="e">
        <f>#REF!</f>
        <v>#REF!</v>
      </c>
      <c r="C114" s="104" t="e">
        <f>#REF!</f>
        <v>#REF!</v>
      </c>
      <c r="D114" s="104" t="e">
        <f>#REF!</f>
        <v>#REF!</v>
      </c>
      <c r="E114" s="104" t="e">
        <f>#REF!</f>
        <v>#REF!</v>
      </c>
      <c r="F114" s="125" t="e">
        <f>#REF!</f>
        <v>#REF!</v>
      </c>
      <c r="G114" s="125" t="e">
        <f>#REF!</f>
        <v>#REF!</v>
      </c>
      <c r="H114" s="104" t="e">
        <f>#REF!</f>
        <v>#REF!</v>
      </c>
      <c r="I114" s="104" t="e">
        <f>#REF!</f>
        <v>#REF!</v>
      </c>
    </row>
    <row r="115" spans="1:9" x14ac:dyDescent="0.25">
      <c r="A115" s="104">
        <v>9</v>
      </c>
      <c r="B115" s="104" t="e">
        <f>#REF!</f>
        <v>#REF!</v>
      </c>
      <c r="C115" s="104" t="e">
        <f>#REF!</f>
        <v>#REF!</v>
      </c>
      <c r="D115" s="104" t="e">
        <f>#REF!</f>
        <v>#REF!</v>
      </c>
      <c r="E115" s="104" t="e">
        <f>#REF!</f>
        <v>#REF!</v>
      </c>
      <c r="F115" s="125" t="e">
        <f>#REF!</f>
        <v>#REF!</v>
      </c>
      <c r="G115" s="125" t="e">
        <f>#REF!</f>
        <v>#REF!</v>
      </c>
      <c r="H115" s="104" t="e">
        <f>#REF!</f>
        <v>#REF!</v>
      </c>
      <c r="I115" s="104" t="e">
        <f>#REF!</f>
        <v>#REF!</v>
      </c>
    </row>
    <row r="116" spans="1:9" x14ac:dyDescent="0.25">
      <c r="A116" s="104">
        <v>10</v>
      </c>
      <c r="B116" s="104" t="e">
        <f>#REF!</f>
        <v>#REF!</v>
      </c>
      <c r="C116" s="104" t="e">
        <f>#REF!</f>
        <v>#REF!</v>
      </c>
      <c r="D116" s="104" t="e">
        <f>#REF!</f>
        <v>#REF!</v>
      </c>
      <c r="E116" s="104" t="e">
        <f>#REF!</f>
        <v>#REF!</v>
      </c>
      <c r="F116" s="125" t="e">
        <f>#REF!</f>
        <v>#REF!</v>
      </c>
      <c r="G116" s="125" t="e">
        <f>#REF!</f>
        <v>#REF!</v>
      </c>
      <c r="H116" s="104" t="e">
        <f>#REF!</f>
        <v>#REF!</v>
      </c>
      <c r="I116" s="104" t="e">
        <f>#REF!</f>
        <v>#REF!</v>
      </c>
    </row>
    <row r="117" spans="1:9" x14ac:dyDescent="0.25">
      <c r="A117" s="104">
        <v>11</v>
      </c>
      <c r="B117" s="104" t="e">
        <f>#REF!</f>
        <v>#REF!</v>
      </c>
      <c r="C117" s="104" t="e">
        <f>#REF!</f>
        <v>#REF!</v>
      </c>
      <c r="D117" s="104" t="e">
        <f>#REF!</f>
        <v>#REF!</v>
      </c>
      <c r="E117" s="104" t="e">
        <f>#REF!</f>
        <v>#REF!</v>
      </c>
      <c r="F117" s="125" t="e">
        <f>#REF!</f>
        <v>#REF!</v>
      </c>
      <c r="G117" s="125" t="e">
        <f>#REF!</f>
        <v>#REF!</v>
      </c>
      <c r="H117" s="104" t="e">
        <f>#REF!</f>
        <v>#REF!</v>
      </c>
      <c r="I117" s="104" t="e">
        <f>#REF!</f>
        <v>#REF!</v>
      </c>
    </row>
    <row r="118" spans="1:9" x14ac:dyDescent="0.25">
      <c r="A118" s="104">
        <v>12</v>
      </c>
      <c r="B118" s="104" t="e">
        <f>#REF!</f>
        <v>#REF!</v>
      </c>
      <c r="C118" s="104" t="e">
        <f>#REF!</f>
        <v>#REF!</v>
      </c>
      <c r="D118" s="104" t="e">
        <f>#REF!</f>
        <v>#REF!</v>
      </c>
      <c r="E118" s="104" t="e">
        <f>#REF!</f>
        <v>#REF!</v>
      </c>
      <c r="F118" s="125" t="e">
        <f>#REF!</f>
        <v>#REF!</v>
      </c>
      <c r="G118" s="125" t="e">
        <f>#REF!</f>
        <v>#REF!</v>
      </c>
      <c r="H118" s="104" t="e">
        <f>#REF!</f>
        <v>#REF!</v>
      </c>
      <c r="I118" s="104" t="e">
        <f>#REF!</f>
        <v>#REF!</v>
      </c>
    </row>
    <row r="119" spans="1:9" x14ac:dyDescent="0.25">
      <c r="A119" s="104">
        <v>13</v>
      </c>
      <c r="B119" s="104" t="e">
        <f>#REF!</f>
        <v>#REF!</v>
      </c>
      <c r="C119" s="104" t="e">
        <f>#REF!</f>
        <v>#REF!</v>
      </c>
      <c r="D119" s="104" t="e">
        <f>#REF!</f>
        <v>#REF!</v>
      </c>
      <c r="E119" s="104" t="e">
        <f>#REF!</f>
        <v>#REF!</v>
      </c>
      <c r="F119" s="125" t="e">
        <f>#REF!</f>
        <v>#REF!</v>
      </c>
      <c r="G119" s="125" t="e">
        <f>#REF!</f>
        <v>#REF!</v>
      </c>
      <c r="H119" s="104" t="e">
        <f>#REF!</f>
        <v>#REF!</v>
      </c>
      <c r="I119" s="104" t="e">
        <f>#REF!</f>
        <v>#REF!</v>
      </c>
    </row>
    <row r="120" spans="1:9" x14ac:dyDescent="0.25">
      <c r="A120" s="104">
        <v>14</v>
      </c>
      <c r="B120" s="104" t="e">
        <f>#REF!</f>
        <v>#REF!</v>
      </c>
      <c r="C120" s="104" t="e">
        <f>#REF!</f>
        <v>#REF!</v>
      </c>
      <c r="D120" s="104" t="e">
        <f>#REF!</f>
        <v>#REF!</v>
      </c>
      <c r="E120" s="104" t="e">
        <f>#REF!</f>
        <v>#REF!</v>
      </c>
      <c r="F120" s="125" t="e">
        <f>#REF!</f>
        <v>#REF!</v>
      </c>
      <c r="G120" s="125" t="e">
        <f>#REF!</f>
        <v>#REF!</v>
      </c>
      <c r="H120" s="104" t="e">
        <f>#REF!</f>
        <v>#REF!</v>
      </c>
      <c r="I120" s="104" t="e">
        <f>#REF!</f>
        <v>#REF!</v>
      </c>
    </row>
    <row r="121" spans="1:9" x14ac:dyDescent="0.25">
      <c r="A121" s="104">
        <v>15</v>
      </c>
      <c r="B121" s="104" t="e">
        <f>#REF!</f>
        <v>#REF!</v>
      </c>
      <c r="C121" s="104" t="e">
        <f>#REF!</f>
        <v>#REF!</v>
      </c>
      <c r="D121" s="104" t="e">
        <f>#REF!</f>
        <v>#REF!</v>
      </c>
      <c r="E121" s="104" t="e">
        <f>#REF!</f>
        <v>#REF!</v>
      </c>
      <c r="F121" s="125" t="e">
        <f>#REF!</f>
        <v>#REF!</v>
      </c>
      <c r="G121" s="125" t="e">
        <f>#REF!</f>
        <v>#REF!</v>
      </c>
      <c r="H121" s="104" t="e">
        <f>#REF!</f>
        <v>#REF!</v>
      </c>
      <c r="I121" s="104" t="e">
        <f>#REF!</f>
        <v>#REF!</v>
      </c>
    </row>
    <row r="122" spans="1:9" x14ac:dyDescent="0.25">
      <c r="A122" s="104">
        <v>16</v>
      </c>
      <c r="B122" s="104" t="e">
        <f>#REF!</f>
        <v>#REF!</v>
      </c>
      <c r="C122" s="104" t="e">
        <f>#REF!</f>
        <v>#REF!</v>
      </c>
      <c r="D122" s="104" t="e">
        <f>#REF!</f>
        <v>#REF!</v>
      </c>
      <c r="E122" s="104" t="e">
        <f>#REF!</f>
        <v>#REF!</v>
      </c>
      <c r="F122" s="125" t="e">
        <f>#REF!</f>
        <v>#REF!</v>
      </c>
      <c r="G122" s="125" t="e">
        <f>#REF!</f>
        <v>#REF!</v>
      </c>
      <c r="H122" s="104" t="e">
        <f>#REF!</f>
        <v>#REF!</v>
      </c>
      <c r="I122" s="104" t="e">
        <f>#REF!</f>
        <v>#REF!</v>
      </c>
    </row>
    <row r="123" spans="1:9" x14ac:dyDescent="0.25">
      <c r="A123" s="104">
        <v>17</v>
      </c>
      <c r="B123" s="104" t="e">
        <f>#REF!</f>
        <v>#REF!</v>
      </c>
      <c r="C123" s="104" t="e">
        <f>#REF!</f>
        <v>#REF!</v>
      </c>
      <c r="D123" s="104" t="e">
        <f>#REF!</f>
        <v>#REF!</v>
      </c>
      <c r="E123" s="104" t="e">
        <f>#REF!</f>
        <v>#REF!</v>
      </c>
      <c r="F123" s="125" t="e">
        <f>#REF!</f>
        <v>#REF!</v>
      </c>
      <c r="G123" s="125" t="e">
        <f>#REF!</f>
        <v>#REF!</v>
      </c>
      <c r="H123" s="104" t="e">
        <f>#REF!</f>
        <v>#REF!</v>
      </c>
      <c r="I123" s="104" t="e">
        <f>#REF!</f>
        <v>#REF!</v>
      </c>
    </row>
    <row r="124" spans="1:9" x14ac:dyDescent="0.25">
      <c r="A124" s="104">
        <v>18</v>
      </c>
      <c r="B124" s="104" t="e">
        <f>#REF!</f>
        <v>#REF!</v>
      </c>
      <c r="C124" s="104" t="e">
        <f>#REF!</f>
        <v>#REF!</v>
      </c>
      <c r="D124" s="104" t="e">
        <f>#REF!</f>
        <v>#REF!</v>
      </c>
      <c r="E124" s="104" t="e">
        <f>#REF!</f>
        <v>#REF!</v>
      </c>
      <c r="F124" s="125" t="s">
        <v>326</v>
      </c>
      <c r="G124" s="125" t="s">
        <v>326</v>
      </c>
      <c r="H124" s="104" t="s">
        <v>326</v>
      </c>
      <c r="I124" s="104" t="e">
        <f>#REF!</f>
        <v>#REF!</v>
      </c>
    </row>
    <row r="125" spans="1:9" x14ac:dyDescent="0.25">
      <c r="A125" s="104">
        <v>19</v>
      </c>
      <c r="B125" s="104" t="e">
        <f>#REF!</f>
        <v>#REF!</v>
      </c>
      <c r="C125" s="104" t="e">
        <f>#REF!</f>
        <v>#REF!</v>
      </c>
      <c r="D125" s="104" t="e">
        <f>#REF!</f>
        <v>#REF!</v>
      </c>
      <c r="E125" s="104" t="e">
        <f>#REF!</f>
        <v>#REF!</v>
      </c>
      <c r="F125" s="125" t="s">
        <v>326</v>
      </c>
      <c r="G125" s="125" t="s">
        <v>326</v>
      </c>
      <c r="H125" s="104" t="s">
        <v>326</v>
      </c>
      <c r="I125" s="104" t="e">
        <f>#REF!</f>
        <v>#REF!</v>
      </c>
    </row>
    <row r="126" spans="1:9" x14ac:dyDescent="0.25">
      <c r="A126" s="104">
        <v>20</v>
      </c>
      <c r="B126" s="104" t="e">
        <f>#REF!</f>
        <v>#REF!</v>
      </c>
      <c r="C126" s="104" t="e">
        <f>#REF!</f>
        <v>#REF!</v>
      </c>
      <c r="D126" s="104" t="e">
        <f>#REF!</f>
        <v>#REF!</v>
      </c>
      <c r="E126" s="104" t="e">
        <f>#REF!</f>
        <v>#REF!</v>
      </c>
      <c r="F126" s="125" t="s">
        <v>326</v>
      </c>
      <c r="G126" s="125" t="s">
        <v>326</v>
      </c>
      <c r="H126" s="104" t="s">
        <v>326</v>
      </c>
      <c r="I126" s="104" t="e">
        <f>#REF!</f>
        <v>#REF!</v>
      </c>
    </row>
    <row r="128" spans="1:9" x14ac:dyDescent="0.25">
      <c r="A128" s="104" t="e">
        <f>#REF!</f>
        <v>#REF!</v>
      </c>
      <c r="B128" s="104" t="e">
        <f>#REF!</f>
        <v>#REF!</v>
      </c>
      <c r="C128" s="104" t="e">
        <f>#REF!</f>
        <v>#REF!</v>
      </c>
      <c r="D128" s="104" t="e">
        <f>#REF!</f>
        <v>#REF!</v>
      </c>
      <c r="E128" s="104" t="e">
        <f>#REF!</f>
        <v>#REF!</v>
      </c>
      <c r="F128" s="104" t="e">
        <f>#REF!</f>
        <v>#REF!</v>
      </c>
      <c r="G128" s="104" t="s">
        <v>325</v>
      </c>
      <c r="H128" s="104" t="s">
        <v>313</v>
      </c>
      <c r="I128" s="104" t="s">
        <v>324</v>
      </c>
    </row>
    <row r="129" spans="1:9" x14ac:dyDescent="0.25">
      <c r="A129" s="104">
        <v>1</v>
      </c>
      <c r="B129" s="104" t="e">
        <f>#REF!</f>
        <v>#REF!</v>
      </c>
      <c r="C129" s="104" t="e">
        <f>#REF!</f>
        <v>#REF!</v>
      </c>
      <c r="D129" s="104" t="e">
        <f>#REF!</f>
        <v>#REF!</v>
      </c>
      <c r="E129" s="104" t="e">
        <f>#REF!</f>
        <v>#REF!</v>
      </c>
      <c r="F129" s="125" t="s">
        <v>326</v>
      </c>
      <c r="G129" s="125" t="s">
        <v>326</v>
      </c>
      <c r="H129" s="104" t="e">
        <f>#REF!</f>
        <v>#REF!</v>
      </c>
      <c r="I129" s="104" t="e">
        <f>#REF!</f>
        <v>#REF!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Tracker</vt:lpstr>
      <vt:lpstr>Task Timeline</vt:lpstr>
      <vt:lpstr>Main Dashboard</vt:lpstr>
      <vt:lpstr>Main Dashboard (2)</vt:lpstr>
      <vt:lpstr>Pivot.</vt:lpstr>
      <vt:lpstr>Data</vt:lpstr>
      <vt:lpstr>Highlights</vt:lpstr>
      <vt:lpstr>Notifications</vt:lpstr>
      <vt:lpstr>Overdue Actions</vt:lpstr>
      <vt:lpstr>Dashboard</vt:lpstr>
      <vt:lpstr>Re-Branding</vt:lpstr>
      <vt:lpstr>Cost Efficiency</vt:lpstr>
      <vt:lpstr>Sustainability</vt:lpstr>
      <vt:lpstr>People Development</vt:lpstr>
      <vt:lpstr>Digitalization</vt:lpstr>
      <vt:lpstr>'Cost Efficiency'!Print_Area</vt:lpstr>
      <vt:lpstr>Dashboard!Print_Area</vt:lpstr>
      <vt:lpstr>Digitalization!Print_Area</vt:lpstr>
      <vt:lpstr>'People Development'!Print_Area</vt:lpstr>
      <vt:lpstr>'Re-Branding'!Print_Area</vt:lpstr>
      <vt:lpstr>Sustainability!Print_Area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2023-02-01T09:23:01Z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76ec7a-5c1c-40d8-b713-034aac8a6cec_Enabled">
    <vt:lpwstr>True</vt:lpwstr>
  </property>
  <property fmtid="{D5CDD505-2E9C-101B-9397-08002B2CF9AE}" pid="3" name="MSIP_Label_b176ec7a-5c1c-40d8-b713-034aac8a6cec_SiteId">
    <vt:lpwstr>5a1e0c10-68b1-4667-974b-f394ba989c51</vt:lpwstr>
  </property>
  <property fmtid="{D5CDD505-2E9C-101B-9397-08002B2CF9AE}" pid="4" name="MSIP_Label_b176ec7a-5c1c-40d8-b713-034aac8a6cec_Owner">
    <vt:lpwstr>alatigmf@aramco.com</vt:lpwstr>
  </property>
  <property fmtid="{D5CDD505-2E9C-101B-9397-08002B2CF9AE}" pid="5" name="MSIP_Label_b176ec7a-5c1c-40d8-b713-034aac8a6cec_SetDate">
    <vt:lpwstr>2021-04-15T08:22:03.9668737Z</vt:lpwstr>
  </property>
  <property fmtid="{D5CDD505-2E9C-101B-9397-08002B2CF9AE}" pid="6" name="MSIP_Label_b176ec7a-5c1c-40d8-b713-034aac8a6cec_Name">
    <vt:lpwstr>Company General Use</vt:lpwstr>
  </property>
  <property fmtid="{D5CDD505-2E9C-101B-9397-08002B2CF9AE}" pid="7" name="MSIP_Label_b176ec7a-5c1c-40d8-b713-034aac8a6cec_Application">
    <vt:lpwstr>Microsoft Azure Information Protection</vt:lpwstr>
  </property>
  <property fmtid="{D5CDD505-2E9C-101B-9397-08002B2CF9AE}" pid="8" name="MSIP_Label_b176ec7a-5c1c-40d8-b713-034aac8a6cec_ActionId">
    <vt:lpwstr>6626d41f-24f0-4f54-a662-b8c564ca0159</vt:lpwstr>
  </property>
  <property fmtid="{D5CDD505-2E9C-101B-9397-08002B2CF9AE}" pid="9" name="MSIP_Label_b176ec7a-5c1c-40d8-b713-034aac8a6cec_Extended_MSFT_Method">
    <vt:lpwstr>Automatic</vt:lpwstr>
  </property>
  <property fmtid="{D5CDD505-2E9C-101B-9397-08002B2CF9AE}" pid="10" name="Sensitivity">
    <vt:lpwstr>Company General Use</vt:lpwstr>
  </property>
</Properties>
</file>