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xl/pivotTables/pivotTable2.xml" ContentType="application/vnd.openxmlformats-officedocument.spreadsheetml.pivotTable+xml"/>
  <Override PartName="/xl/comments2.xml" ContentType="application/vnd.openxmlformats-officedocument.spreadsheetml.comments+xml"/>
  <Override PartName="/xl/pivotTables/pivotTable3.xml" ContentType="application/vnd.openxmlformats-officedocument.spreadsheetml.pivotTable+xml"/>
  <Override PartName="/xl/comments3.xml" ContentType="application/vnd.openxmlformats-officedocument.spreadsheetml.comments+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4.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omments5.xml" ContentType="application/vnd.openxmlformats-officedocument.spreadsheetml.comments+xml"/>
  <Override PartName="/xl/pivotTables/pivotTable5.xml" ContentType="application/vnd.openxmlformats-officedocument.spreadsheetml.pivotTable+xml"/>
  <Override PartName="/xl/drawings/drawing2.xml" ContentType="application/vnd.openxmlformats-officedocument.drawing+xml"/>
  <Override PartName="/xl/comments6.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comments7.xml" ContentType="application/vnd.openxmlformats-officedocument.spreadsheetml.comments+xml"/>
  <Override PartName="/xl/tables/table3.xml" ContentType="application/vnd.openxmlformats-officedocument.spreadsheetml.table+xml"/>
  <Override PartName="/xl/queryTables/queryTable1.xml" ContentType="application/vnd.openxmlformats-officedocument.spreadsheetml.queryTable+xml"/>
  <Override PartName="/xl/comments8.xml" ContentType="application/vnd.openxmlformats-officedocument.spreadsheetml.comments+xml"/>
  <Override PartName="/xl/tables/table4.xml" ContentType="application/vnd.openxmlformats-officedocument.spreadsheetml.table+xml"/>
  <Override PartName="/xl/comments9.xml" ContentType="application/vnd.openxmlformats-officedocument.spreadsheetml.comments+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queryTables/queryTable2.xml" ContentType="application/vnd.openxmlformats-officedocument.spreadsheetml.queryTable+xml"/>
  <Override PartName="/xl/comments10.xml" ContentType="application/vnd.openxmlformats-officedocument.spreadsheetml.comments+xml"/>
  <Override PartName="/xl/pivotTables/pivotTable9.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comments1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12.xml" ContentType="application/vnd.openxmlformats-officedocument.spreadsheetml.comments+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Excel-CaseStudy\"/>
    </mc:Choice>
  </mc:AlternateContent>
  <xr:revisionPtr revIDLastSave="0" documentId="13_ncr:1_{0128B1AB-72A6-4F35-8813-ABCD535F8D83}" xr6:coauthVersionLast="47" xr6:coauthVersionMax="47" xr10:uidLastSave="{00000000-0000-0000-0000-000000000000}"/>
  <bookViews>
    <workbookView xWindow="-110" yWindow="-110" windowWidth="19420" windowHeight="10300" firstSheet="11" activeTab="14" xr2:uid="{5BBF3846-4C6D-4871-B649-C959D40EA238}"/>
  </bookViews>
  <sheets>
    <sheet name="External Data" sheetId="2" r:id="rId1"/>
    <sheet name="Brands per Supplier" sheetId="3" r:id="rId2"/>
    <sheet name="HealthMax Growth" sheetId="4" r:id="rId3"/>
    <sheet name="MAT Value Total Category" sheetId="6" r:id="rId4"/>
    <sheet name="Market Share" sheetId="7" r:id="rId5"/>
    <sheet name="Internal Sales Data" sheetId="8" r:id="rId6"/>
    <sheet name="Profitability Matrix" sheetId="9" r:id="rId7"/>
    <sheet name="New Category Opportunity" sheetId="10" r:id="rId8"/>
    <sheet name="Organic Shampoo Launch" sheetId="12" r:id="rId9"/>
    <sheet name="50ml Shampoo 2024" sheetId="13" r:id="rId10"/>
    <sheet name="Promotion Graph" sheetId="14" r:id="rId11"/>
    <sheet name="Promotion Analysis" sheetId="15" r:id="rId12"/>
    <sheet name="Sales until 2022" sheetId="16" r:id="rId13"/>
    <sheet name="Forecast 2024" sheetId="19" r:id="rId14"/>
    <sheet name="Waterfall" sheetId="20"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ExternalData_1" localSheetId="8" hidden="1">'Organic Shampoo Launch'!$A$1:$I$3</definedName>
    <definedName name="ExternalData_1" localSheetId="11" hidden="1">'Promotion Analysis'!$A$1:$J$4</definedName>
    <definedName name="Slicer_Region">#N/A</definedName>
  </definedNames>
  <calcPr calcId="191029"/>
  <pivotCaches>
    <pivotCache cacheId="0" r:id="rId16"/>
    <pivotCache cacheId="2"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C2" i="20"/>
  <c r="B2" i="20"/>
  <c r="A2" i="20"/>
  <c r="F8" i="19"/>
  <c r="F7" i="19"/>
  <c r="G6" i="19"/>
  <c r="F6" i="19"/>
  <c r="J3" i="15" l="1"/>
  <c r="J4" i="15"/>
  <c r="J2" i="15"/>
  <c r="H3" i="15"/>
  <c r="H4" i="15"/>
  <c r="H2" i="15"/>
  <c r="G3" i="15"/>
  <c r="G4" i="15"/>
  <c r="G2" i="15"/>
  <c r="C8" i="19"/>
  <c r="C7" i="19"/>
  <c r="F3" i="15" l="1"/>
  <c r="F4" i="15"/>
  <c r="F2" i="15"/>
  <c r="H12" i="13"/>
  <c r="E12" i="13"/>
  <c r="M12" i="13"/>
  <c r="I12" i="13"/>
  <c r="J12" i="13"/>
  <c r="M3" i="13"/>
  <c r="M4" i="13"/>
  <c r="M5" i="13"/>
  <c r="M6" i="13"/>
  <c r="M7" i="13"/>
  <c r="M8" i="13"/>
  <c r="M9" i="13"/>
  <c r="M10" i="13"/>
  <c r="M11" i="13"/>
  <c r="M2" i="13"/>
  <c r="J11" i="13"/>
  <c r="L11" i="13" s="1"/>
  <c r="I11" i="13"/>
  <c r="J10" i="13"/>
  <c r="L10" i="13" s="1"/>
  <c r="I10" i="13"/>
  <c r="J9" i="13"/>
  <c r="K9" i="13" s="1"/>
  <c r="I9" i="13"/>
  <c r="J8" i="13"/>
  <c r="K8" i="13" s="1"/>
  <c r="I8" i="13"/>
  <c r="J7" i="13"/>
  <c r="L7" i="13" s="1"/>
  <c r="I7" i="13"/>
  <c r="J6" i="13"/>
  <c r="L6" i="13" s="1"/>
  <c r="I6" i="13"/>
  <c r="J5" i="13"/>
  <c r="L5" i="13" s="1"/>
  <c r="I5" i="13"/>
  <c r="J4" i="13"/>
  <c r="L4" i="13" s="1"/>
  <c r="I4" i="13"/>
  <c r="J3" i="13"/>
  <c r="L3" i="13" s="1"/>
  <c r="I3" i="13"/>
  <c r="J2" i="13"/>
  <c r="L2" i="13" s="1"/>
  <c r="I2" i="13"/>
  <c r="I3" i="12"/>
  <c r="I2" i="12"/>
  <c r="H3" i="12"/>
  <c r="H2" i="12"/>
  <c r="G3" i="12"/>
  <c r="G2" i="12"/>
  <c r="E3" i="12"/>
  <c r="E2" i="12"/>
  <c r="C3" i="12"/>
  <c r="C2" i="12"/>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D7" i="19"/>
  <c r="E7" i="19"/>
  <c r="E8" i="19"/>
  <c r="D8" i="19"/>
  <c r="K12" i="13" l="1"/>
  <c r="L12" i="13"/>
  <c r="L8" i="13"/>
  <c r="K6" i="13"/>
  <c r="K4" i="13"/>
  <c r="K7" i="13"/>
  <c r="K5" i="13"/>
  <c r="K11" i="13"/>
  <c r="L9" i="13"/>
  <c r="K3" i="13"/>
  <c r="K2" i="13"/>
  <c r="K10" i="13"/>
  <c r="K11" i="8"/>
  <c r="L9" i="8"/>
  <c r="K8" i="8"/>
  <c r="K7" i="8"/>
  <c r="L6" i="8"/>
  <c r="K3" i="8"/>
  <c r="L5" i="8"/>
  <c r="L2" i="8"/>
  <c r="L10" i="8"/>
  <c r="K12" i="8"/>
  <c r="L12" i="8" s="1"/>
  <c r="I1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C11" authorId="0" shapeId="0" xr:uid="{94AB2C36-B314-4F07-A95B-0367EE966ECF}">
      <text>
        <r>
          <rPr>
            <b/>
            <sz val="9"/>
            <color indexed="81"/>
            <rFont val="Tahoma"/>
            <charset val="1"/>
          </rPr>
          <t>Shanmukhi B:</t>
        </r>
        <r>
          <rPr>
            <sz val="9"/>
            <color indexed="81"/>
            <rFont val="Tahoma"/>
            <charset val="1"/>
          </rPr>
          <t xml:space="preserve">
Out of the 25 brands on the Market, HealthMax owns Shinez and Starbust.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H6" authorId="0" shapeId="0" xr:uid="{BC0D2C8D-DA59-44DD-A0B7-4A5ADA3C1088}">
      <text>
        <r>
          <rPr>
            <b/>
            <sz val="9"/>
            <color indexed="81"/>
            <rFont val="Tahoma"/>
            <charset val="1"/>
          </rPr>
          <t>Shanmukhi B:</t>
        </r>
        <r>
          <rPr>
            <sz val="9"/>
            <color indexed="81"/>
            <rFont val="Tahoma"/>
            <charset val="1"/>
          </rPr>
          <t xml:space="preserve">
In 2020 HealthMax grew by 4%! Shinez contributed to this success with its 7.7% YoY growth.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C5" authorId="0" shapeId="0" xr:uid="{E228A577-445F-4481-84CA-B50CEA5FB873}">
      <text>
        <r>
          <rPr>
            <b/>
            <sz val="9"/>
            <color indexed="81"/>
            <rFont val="Tahoma"/>
            <charset val="1"/>
          </rPr>
          <t>Shanmukhi B:</t>
        </r>
        <r>
          <rPr>
            <sz val="9"/>
            <color indexed="81"/>
            <rFont val="Tahoma"/>
            <charset val="1"/>
          </rPr>
          <t xml:space="preserve">
In the most recent 12 months, the shampoo's generated a bit over 98 million dollars of turnover.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T17" authorId="0" shapeId="0" xr:uid="{19050CE6-16FC-4BD8-9107-CBD553386E61}">
      <text>
        <r>
          <rPr>
            <b/>
            <sz val="9"/>
            <color indexed="81"/>
            <rFont val="Tahoma"/>
            <charset val="1"/>
          </rPr>
          <t>Shanmukhi B:</t>
        </r>
        <r>
          <rPr>
            <sz val="9"/>
            <color indexed="81"/>
            <rFont val="Tahoma"/>
            <charset val="1"/>
          </rPr>
          <t xml:space="preserve">
In 2023, Healthmax is performing better in the South than in the rest of the country with 22% of market share contributed by Starbust and 25% of market share contributed by Shinez</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L15" authorId="0" shapeId="0" xr:uid="{25B65226-F26F-41D5-883D-F79018BA34CA}">
      <text>
        <r>
          <rPr>
            <b/>
            <sz val="9"/>
            <color indexed="81"/>
            <rFont val="Tahoma"/>
            <charset val="1"/>
          </rPr>
          <t>Shanmukhi B:</t>
        </r>
        <r>
          <rPr>
            <sz val="9"/>
            <color indexed="81"/>
            <rFont val="Tahoma"/>
            <charset val="1"/>
          </rPr>
          <t xml:space="preserve">
68% of the average net selling price is gross profit!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W18" authorId="0" shapeId="0" xr:uid="{AFFC41F8-AB12-46E2-AF51-73E6A9F235A2}">
      <text>
        <r>
          <rPr>
            <b/>
            <sz val="9"/>
            <color indexed="81"/>
            <rFont val="Tahoma"/>
            <charset val="1"/>
          </rPr>
          <t>Shanmukhi B:</t>
        </r>
        <r>
          <rPr>
            <sz val="9"/>
            <color indexed="81"/>
            <rFont val="Tahoma"/>
            <charset val="1"/>
          </rPr>
          <t xml:space="preserve">
Starbust Ultra Soft 100ML is the most important product in the assortment.
Shinez Repair 200ML is scoring relatively low in terms of net sales but is the most profitable product in the assortment.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D18" authorId="0" shapeId="0" xr:uid="{C120B8B8-EFC5-49B8-AFF5-387BABA0D2B4}">
      <text>
        <r>
          <rPr>
            <b/>
            <sz val="9"/>
            <color indexed="81"/>
            <rFont val="Tahoma"/>
            <charset val="1"/>
          </rPr>
          <t>Shanmukhi B:</t>
        </r>
        <r>
          <rPr>
            <sz val="9"/>
            <color indexed="81"/>
            <rFont val="Tahoma"/>
            <charset val="1"/>
          </rPr>
          <t xml:space="preserve">
 The organic shampoo's are clearly booming and there is a big potential for HealthMax, as market leader, to recruit a whole new customer base in this segment!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H5" authorId="0" shapeId="0" xr:uid="{FFF51961-1917-4342-9AF3-D396AB486A65}">
      <text>
        <r>
          <rPr>
            <b/>
            <sz val="9"/>
            <color indexed="81"/>
            <rFont val="Tahoma"/>
            <family val="2"/>
          </rPr>
          <t>Shanmukhi B:</t>
        </r>
        <r>
          <rPr>
            <sz val="9"/>
            <color indexed="81"/>
            <rFont val="Tahoma"/>
            <family val="2"/>
          </rPr>
          <t xml:space="preserve">
Herbashine will generate less net sales than HerbEssentials, but more gross profit!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E12" authorId="0" shapeId="0" xr:uid="{DF1B7108-17E4-4040-AE45-61A92809DB1B}">
      <text>
        <r>
          <rPr>
            <b/>
            <sz val="9"/>
            <color indexed="81"/>
            <rFont val="Tahoma"/>
            <charset val="1"/>
          </rPr>
          <t>Shanmukhi B:</t>
        </r>
        <r>
          <rPr>
            <sz val="9"/>
            <color indexed="81"/>
            <rFont val="Tahoma"/>
            <charset val="1"/>
          </rPr>
          <t xml:space="preserve">
50% mark-up of the Price per ml of the 100ml pack.</t>
        </r>
      </text>
    </comment>
    <comment ref="H12" authorId="0" shapeId="0" xr:uid="{F50B065D-4774-4845-B0C3-A02380E7A622}">
      <text>
        <r>
          <rPr>
            <b/>
            <sz val="9"/>
            <color indexed="81"/>
            <rFont val="Tahoma"/>
            <charset val="1"/>
          </rPr>
          <t>Shanmukhi B:</t>
        </r>
        <r>
          <rPr>
            <sz val="9"/>
            <color indexed="81"/>
            <rFont val="Tahoma"/>
            <charset val="1"/>
          </rPr>
          <t xml:space="preserve">
10% of the volume of the 100ml pack in 2022.</t>
        </r>
      </text>
    </comment>
    <comment ref="L14" authorId="0" shapeId="0" xr:uid="{D891AC1A-A794-4E45-A4AC-923C504504C6}">
      <text>
        <r>
          <rPr>
            <b/>
            <sz val="9"/>
            <color indexed="81"/>
            <rFont val="Tahoma"/>
            <charset val="1"/>
          </rPr>
          <t>Shanmukhi B:</t>
        </r>
        <r>
          <rPr>
            <sz val="9"/>
            <color indexed="81"/>
            <rFont val="Tahoma"/>
            <charset val="1"/>
          </rPr>
          <t xml:space="preserve">
The 50ml format will target a new consumer segment and will generate 265,960 dollars of net sales!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J3" authorId="0" shapeId="0" xr:uid="{2BCEE913-8360-42C6-AA65-20925EAE2450}">
      <text>
        <r>
          <rPr>
            <b/>
            <sz val="9"/>
            <color indexed="81"/>
            <rFont val="Tahoma"/>
            <family val="2"/>
          </rPr>
          <t xml:space="preserve">Shanmukhi B:
</t>
        </r>
        <r>
          <rPr>
            <sz val="9"/>
            <color indexed="81"/>
            <rFont val="Tahoma"/>
            <family val="2"/>
          </rPr>
          <t xml:space="preserve">
The ROI for this promotion is 12% and is higher than Promotion #3. The ROI of Promotion #1 is negative and should not be repeated.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F8" authorId="0" shapeId="0" xr:uid="{AE66EC95-817F-4680-BBC2-187964BA7E1B}">
      <text>
        <r>
          <rPr>
            <b/>
            <sz val="9"/>
            <color indexed="81"/>
            <rFont val="Tahoma"/>
            <charset val="1"/>
          </rPr>
          <t>Shanmukhi B:</t>
        </r>
        <r>
          <rPr>
            <sz val="9"/>
            <color indexed="81"/>
            <rFont val="Tahoma"/>
            <charset val="1"/>
          </rPr>
          <t xml:space="preserve">
It seems like HealtMax' net sales will keep on increasing, based on the latest market trends!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Shanmukhi B</author>
  </authors>
  <commentList>
    <comment ref="K5" authorId="0" shapeId="0" xr:uid="{57938F1E-6EB4-449A-9F9E-4C32B6268491}">
      <text>
        <r>
          <rPr>
            <b/>
            <sz val="9"/>
            <color indexed="81"/>
            <rFont val="Tahoma"/>
            <family val="2"/>
          </rPr>
          <t>Shanmukhi B:</t>
        </r>
        <r>
          <rPr>
            <sz val="9"/>
            <color indexed="81"/>
            <rFont val="Tahoma"/>
            <family val="2"/>
          </rPr>
          <t xml:space="preserve">
As you can see, NRM initiatives generate more net sales than the natural growth. Its good to find some great NRM opportunities to generate more net sales and by following the recommendations on "Mix Management" and "Promotion Management" we can further improve the gross margin!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CD902C-562B-437E-B57C-1E20D58BC1F9}"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2" xr16:uid="{C16DF0B3-F0D1-474E-A412-13168417E81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<sst xmlns="http://schemas.openxmlformats.org/spreadsheetml/2006/main" count="22433" uniqueCount="127">
  <si>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</si>
  <si>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</si>
  <si>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</si>
  <si>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</si>
  <si>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</si>
  <si>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</si>
  <si>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</si>
  <si>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</si>
  <si>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</si>
  <si>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</si>
  <si>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</si>
  <si>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</si>
  <si>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</si>
  <si>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</si>
  <si>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</si>
  <si>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</si>
  <si>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</si>
  <si>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</si>
  <si>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</si>
  <si>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</si>
  <si>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</si>
  <si>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</si>
  <si>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</si>
  <si>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</si>
  <si>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</si>
  <si>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</si>
  <si>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</si>
  <si>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</si>
  <si>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</si>
  <si>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</si>
  <si>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</si>
  <si>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</si>
  <si>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</si>
  <si>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</si>
  <si>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</si>
  <si>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</si>
  <si>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</si>
  <si>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</si>
  <si>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</si>
  <si>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</si>
  <si>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</si>
  <si>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</si>
  <si>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</si>
  <si>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</si>
  <si>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</si>
  <si>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</si>
  <si>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</si>
  <si>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</si>
  <si>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</si>
  <si>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</si>
  <si>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</si>
  <si>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</si>
  <si>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</si>
  <si>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</si>
  <si>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</si>
  <si>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</si>
  <si>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</si>
  <si>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</si>
  <si>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</si>
  <si>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</si>
  <si>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</si>
  <si>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</si>
  <si>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</si>
  <si>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</si>
  <si>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</si>
  <si>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</si>
  <si>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</si>
  <si>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</si>
  <si>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</si>
  <si>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</si>
  <si>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</si>
  <si>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</si>
  <si>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</si>
  <si>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</si>
  <si>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</si>
  <si>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</si>
  <si>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</si>
  <si>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</si>
  <si>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</si>
  <si>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</si>
  <si>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</si>
  <si>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</si>
  <si>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</si>
  <si>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</si>
  <si>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</si>
  <si>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</si>
  <si>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</si>
  <si>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</si>
  <si>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</si>
  <si>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</si>
  <si>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</si>
  <si>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</si>
  <si>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</si>
  <si>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</si>
  <si>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</si>
  <si>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</si>
  <si>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</si>
  <si>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</si>
  <si>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</si>
  <si>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Net Sales 2022</t>
  </si>
  <si>
    <t>Estimated Unit Market Share</t>
  </si>
  <si>
    <t>Estimated units sold 2024</t>
  </si>
  <si>
    <t>Net Sales</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</si>
  <si>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</si>
  <si>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</si>
  <si>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</si>
  <si>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</si>
  <si>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</si>
  <si>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</si>
  <si>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</si>
  <si>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</si>
  <si>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</si>
  <si>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</si>
  <si>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</si>
  <si>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</si>
  <si>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</si>
  <si>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</si>
  <si>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Forecast(HealthMax)</t>
  </si>
  <si>
    <t>Lower Confidence Bound(HealthMax)</t>
  </si>
  <si>
    <t>Upper Confidence Bound(HealthMax)</t>
  </si>
  <si>
    <t>Market Values</t>
  </si>
  <si>
    <t>Ratio</t>
  </si>
  <si>
    <t>Estimated Net Sales 2024</t>
  </si>
  <si>
    <t>50ml Shampoo</t>
  </si>
  <si>
    <t>Organic Shampoo</t>
  </si>
  <si>
    <t>Natural Growth</t>
  </si>
  <si>
    <t>Estimated Net Sales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</si>
</sst>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_ &quot;€&quot;\ * #,##0.00_ ;_ &quot;€&quot;\ * \-#,##0.00_ ;_ &quot;€&quot;\ * &quot;-&quot;??_ ;_ @_ "/>
    <numFmt numFmtId="165" formatCode="_-[$$-409]* #,##0_ ;_-[$$-409]* \-#,##0\ ;_-[$$-409]* &quot;-&quot;??_ ;_-@_ "/>
    <numFmt numFmtId="166" formatCode="_ * #,##0_ ;_ * \-#,##0_ ;_ * &quot;-&quot;??_ ;_ @_ "/>
    <numFmt numFmtId="167" formatCode="_ &quot;€&quot;\ * #,##0_ ;_ &quot;€&quot;\ * \-#,##0_ ;_ &quot;€&quot;\ * &quot;-&quot;??_ ;_ @_ "/>
    <numFmt numFmtId="168" formatCode="_-[$$-409]* #,##0.00_ ;_-[$$-409]* \-#,##0.00\ ;_-[$$-409]* &quot;-&quot;??_ ;_-@_ "/>
    <numFmt numFmtId="169" formatCode="0.0%"/>
    <numFmt numFmtId="170" formatCode="[$$-409]#,##0.00"/>
    <numFmt numFmtId="171" formatCode="_-[$$-409]* #,##0.000_ ;_-[$$-409]* \-#,##0.000\ ;_-[$$-409]* &quot;-&quot;??_ ;_-@_ "/>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9" fontId="0" fillId="0" borderId="0" xfId="0" applyNumberFormat="1"/>
    <xf numFmtId="164" fontId="0" fillId="0" borderId="0" xfId="1" applyFont="1"/>
    <xf numFmtId="166" fontId="0" fillId="0" borderId="0" xfId="2" applyNumberFormat="1" applyFont="1"/>
    <xf numFmtId="166" fontId="0" fillId="0" borderId="0" xfId="0" applyNumberFormat="1"/>
    <xf numFmtId="167" fontId="0" fillId="0" borderId="0" xfId="0" applyNumberFormat="1"/>
    <xf numFmtId="168" fontId="0" fillId="0" borderId="0" xfId="1" applyNumberFormat="1" applyFont="1"/>
    <xf numFmtId="168" fontId="0" fillId="0" borderId="0" xfId="0" applyNumberFormat="1"/>
    <xf numFmtId="9" fontId="0" fillId="0" borderId="0" xfId="3" applyFont="1"/>
    <xf numFmtId="169" fontId="1" fillId="0" borderId="0" xfId="0" applyNumberFormat="1" applyFont="1"/>
    <xf numFmtId="0" fontId="2" fillId="2" borderId="1" xfId="0" applyFont="1" applyFill="1" applyBorder="1"/>
    <xf numFmtId="9" fontId="2" fillId="2" borderId="1" xfId="0" applyNumberFormat="1" applyFont="1" applyFill="1" applyBorder="1"/>
    <xf numFmtId="170" fontId="0" fillId="0" borderId="0" xfId="0" applyNumberFormat="1"/>
    <xf numFmtId="1" fontId="0" fillId="0" borderId="0" xfId="0" applyNumberFormat="1"/>
    <xf numFmtId="171" fontId="0" fillId="0" borderId="0" xfId="0" applyNumberFormat="1"/>
  </cellXfs>
  <cellStyles count="4">
    <cellStyle name="Comma" xfId="2" builtinId="3"/>
    <cellStyle name="Currency" xfId="1" builtinId="4"/>
    <cellStyle name="Normal" xfId="0" builtinId="0"/>
    <cellStyle name="Percent" xfId="3" builtinId="5"/>
  </cellStyles>
  <dxfs count="72">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0" formatCode="General"/>
    </dxf>
    <dxf>
      <numFmt numFmtId="170" formatCode="[$$-409]#,##0.00"/>
    </dxf>
    <dxf>
      <numFmt numFmtId="170" formatCode="[$$-409]#,##0.00"/>
    </dxf>
    <dxf>
      <numFmt numFmtId="0" formatCode="General"/>
    </dxf>
    <dxf>
      <numFmt numFmtId="0" formatCode="General"/>
    </dxf>
    <dxf>
      <numFmt numFmtId="168" formatCode="_-[$$-409]* #,##0.00_ ;_-[$$-409]* \-#,##0.00\ ;_-[$$-409]* &quot;-&quot;??_ ;_-@_ "/>
    </dxf>
    <dxf>
      <font>
        <b val="0"/>
        <i val="0"/>
        <strike val="0"/>
        <condense val="0"/>
        <extend val="0"/>
        <outline val="0"/>
        <shadow val="0"/>
        <u val="none"/>
        <vertAlign val="baseline"/>
        <sz val="11"/>
        <color theme="1"/>
        <name val="Calibri"/>
        <family val="2"/>
        <scheme val="minor"/>
      </font>
      <numFmt numFmtId="169" formatCode="0.0%"/>
    </dxf>
    <dxf>
      <numFmt numFmtId="165" formatCode="_-[$$-409]* #,##0_ ;_-[$$-409]* \-#,##0\ ;_-[$$-409]* &quot;-&quot;??_ ;_-@_ "/>
    </dxf>
    <dxf>
      <font>
        <b val="0"/>
        <i val="0"/>
        <strike val="0"/>
        <condense val="0"/>
        <extend val="0"/>
        <outline val="0"/>
        <shadow val="0"/>
        <u val="none"/>
        <vertAlign val="baseline"/>
        <sz val="11"/>
        <color theme="1"/>
        <name val="Calibri"/>
        <family val="2"/>
        <scheme val="minor"/>
      </font>
      <numFmt numFmtId="165" formatCode="_-[$$-409]* #,##0_ ;_-[$$-409]* \-#,##0\ ;_-[$$-409]* &quot;-&quot;??_ ;_-@_ "/>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165" formatCode="_-[$$-409]* #,##0_ ;_-[$$-409]* \-#,##0\ ;_-[$$-409]* &quot;-&quot;??_ ;_-@_ "/>
    </dxf>
    <dxf>
      <font>
        <b val="0"/>
        <i val="0"/>
        <strike val="0"/>
        <condense val="0"/>
        <extend val="0"/>
        <outline val="0"/>
        <shadow val="0"/>
        <u val="none"/>
        <vertAlign val="baseline"/>
        <sz val="11"/>
        <color theme="1"/>
        <name val="Calibri"/>
        <family val="2"/>
        <scheme val="minor"/>
      </font>
      <numFmt numFmtId="165" formatCode="_-[$$-409]* #,##0_ ;_-[$$-409]* \-#,##0\ ;_-[$$-409]* &quot;-&quot;??_ ;_-@_ "/>
    </dxf>
    <dxf>
      <font>
        <b val="0"/>
        <i val="0"/>
        <strike val="0"/>
        <condense val="0"/>
        <extend val="0"/>
        <outline val="0"/>
        <shadow val="0"/>
        <u val="none"/>
        <vertAlign val="baseline"/>
        <sz val="11"/>
        <color theme="1"/>
        <name val="Calibri"/>
        <family val="2"/>
        <scheme val="minor"/>
      </font>
      <numFmt numFmtId="166" formatCode="_ * #,##0_ ;_ * \-#,##0_ ;_ * &quot;-&quot;??_ ;_ @_ "/>
    </dxf>
    <dxf>
      <font>
        <b val="0"/>
        <i val="0"/>
        <strike val="0"/>
        <condense val="0"/>
        <extend val="0"/>
        <outline val="0"/>
        <shadow val="0"/>
        <u val="none"/>
        <vertAlign val="baseline"/>
        <sz val="11"/>
        <color theme="1"/>
        <name val="Calibri"/>
        <family val="2"/>
        <scheme val="minor"/>
      </font>
      <numFmt numFmtId="166"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numFmt numFmtId="0" formatCode="General"/>
    </dxf>
    <dxf>
      <numFmt numFmtId="0" formatCode="General"/>
    </dxf>
    <dxf>
      <numFmt numFmtId="0" formatCode="General"/>
    </dxf>
    <dxf>
      <numFmt numFmtId="13" formatCode="0%"/>
    </dxf>
    <dxf>
      <numFmt numFmtId="0" formatCode="General"/>
    </dxf>
    <dxf>
      <numFmt numFmtId="0" formatCode="General"/>
    </dxf>
    <dxf>
      <numFmt numFmtId="170" formatCode="[$$-409]#,##0.00"/>
    </dxf>
    <dxf>
      <numFmt numFmtId="0" formatCode="General"/>
    </dxf>
    <dxf>
      <numFmt numFmtId="170" formatCode="[$$-409]#,##0.00"/>
    </dxf>
    <dxf>
      <numFmt numFmtId="0" formatCode="General"/>
    </dxf>
    <dxf>
      <numFmt numFmtId="13" formatCode="0%"/>
    </dxf>
    <dxf>
      <numFmt numFmtId="0" formatCode="General"/>
    </dxf>
    <dxf>
      <numFmt numFmtId="13" formatCode="0%"/>
    </dxf>
    <dxf>
      <numFmt numFmtId="14" formatCode="0.00%"/>
    </dxf>
    <dxf>
      <numFmt numFmtId="166" formatCode="_ * #,##0_ ;_ * \-#,##0_ ;_ * &quot;-&quot;??_ ;_ @_ "/>
    </dxf>
    <dxf>
      <numFmt numFmtId="13" formatCode="0%"/>
    </dxf>
    <dxf>
      <numFmt numFmtId="13" formatCode="0%"/>
    </dxf>
    <dxf>
      <font>
        <b val="0"/>
        <i val="0"/>
        <strike val="0"/>
        <condense val="0"/>
        <extend val="0"/>
        <outline val="0"/>
        <shadow val="0"/>
        <u val="none"/>
        <vertAlign val="baseline"/>
        <sz val="11"/>
        <color theme="1"/>
        <name val="Calibri"/>
        <family val="2"/>
        <scheme val="minor"/>
      </font>
      <numFmt numFmtId="169" formatCode="0.0%"/>
    </dxf>
    <dxf>
      <numFmt numFmtId="165" formatCode="_-[$$-409]* #,##0_ ;_-[$$-409]* \-#,##0\ ;_-[$$-409]* &quot;-&quot;??_ ;_-@_ "/>
    </dxf>
    <dxf>
      <font>
        <b val="0"/>
        <i val="0"/>
        <strike val="0"/>
        <condense val="0"/>
        <extend val="0"/>
        <outline val="0"/>
        <shadow val="0"/>
        <u val="none"/>
        <vertAlign val="baseline"/>
        <sz val="11"/>
        <color theme="1"/>
        <name val="Calibri"/>
        <family val="2"/>
        <scheme val="minor"/>
      </font>
      <numFmt numFmtId="165" formatCode="_-[$$-409]* #,##0_ ;_-[$$-409]* \-#,##0\ ;_-[$$-409]* &quot;-&quot;??_ ;_-@_ "/>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165" formatCode="_-[$$-409]* #,##0_ ;_-[$$-409]* \-#,##0\ ;_-[$$-409]* &quot;-&quot;??_ ;_-@_ "/>
    </dxf>
    <dxf>
      <font>
        <b val="0"/>
        <i val="0"/>
        <strike val="0"/>
        <condense val="0"/>
        <extend val="0"/>
        <outline val="0"/>
        <shadow val="0"/>
        <u val="none"/>
        <vertAlign val="baseline"/>
        <sz val="11"/>
        <color theme="1"/>
        <name val="Calibri"/>
        <family val="2"/>
        <scheme val="minor"/>
      </font>
      <numFmt numFmtId="165" formatCode="_-[$$-409]* #,##0_ ;_-[$$-409]* \-#,##0\ ;_-[$$-409]* &quot;-&quot;??_ ;_-@_ "/>
    </dxf>
    <dxf>
      <font>
        <b val="0"/>
        <i val="0"/>
        <strike val="0"/>
        <condense val="0"/>
        <extend val="0"/>
        <outline val="0"/>
        <shadow val="0"/>
        <u val="none"/>
        <vertAlign val="baseline"/>
        <sz val="11"/>
        <color theme="1"/>
        <name val="Calibri"/>
        <family val="2"/>
        <scheme val="minor"/>
      </font>
      <numFmt numFmtId="166" formatCode="_ * #,##0_ ;_ * \-#,##0_ ;_ * &quot;-&quot;??_ ;_ @_ "/>
    </dxf>
    <dxf>
      <font>
        <b val="0"/>
        <i val="0"/>
        <strike val="0"/>
        <condense val="0"/>
        <extend val="0"/>
        <outline val="0"/>
        <shadow val="0"/>
        <u val="none"/>
        <vertAlign val="baseline"/>
        <sz val="11"/>
        <color theme="1"/>
        <name val="Calibri"/>
        <family val="2"/>
        <scheme val="minor"/>
      </font>
      <numFmt numFmtId="166"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numFmt numFmtId="0" formatCode="General"/>
    </dxf>
    <dxf>
      <numFmt numFmtId="0" formatCode="General"/>
    </dxf>
    <dxf>
      <numFmt numFmtId="0" formatCode="General"/>
    </dxf>
    <dxf>
      <numFmt numFmtId="13" formatCode="0%"/>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Workbook.xlsx]Market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Workbook.xlsx]Promotion Graph!PivotTable3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a:t>
            </a:r>
            <a:r>
              <a:rPr lang="en-US" baseline="0"/>
              <a:t> Sales 2022</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Graph'!$B$3:$B$4</c:f>
              <c:strCache>
                <c:ptCount val="1"/>
                <c:pt idx="0">
                  <c:v>Shinez</c:v>
                </c:pt>
              </c:strCache>
            </c:strRef>
          </c:tx>
          <c:spPr>
            <a:ln w="28575" cap="rnd">
              <a:solidFill>
                <a:schemeClr val="accent1"/>
              </a:solidFill>
              <a:round/>
            </a:ln>
            <a:effectLst/>
          </c:spPr>
          <c:marker>
            <c:symbol val="none"/>
          </c:marker>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69E0-4569-A9ED-815F123F97BE}"/>
            </c:ext>
          </c:extLst>
        </c:ser>
        <c:dLbls>
          <c:showLegendKey val="0"/>
          <c:showVal val="0"/>
          <c:showCatName val="0"/>
          <c:showSerName val="0"/>
          <c:showPercent val="0"/>
          <c:showBubbleSize val="0"/>
        </c:dLbls>
        <c:smooth val="0"/>
        <c:axId val="309585391"/>
        <c:axId val="309587311"/>
      </c:lineChart>
      <c:catAx>
        <c:axId val="30958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587311"/>
        <c:crosses val="autoZero"/>
        <c:auto val="1"/>
        <c:lblAlgn val="ctr"/>
        <c:lblOffset val="100"/>
        <c:noMultiLvlLbl val="0"/>
      </c:catAx>
      <c:valAx>
        <c:axId val="30958731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58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8092-4DFA-8A98-F9B672B119F2}"/>
            </c:ext>
          </c:extLst>
        </c:ser>
        <c:ser>
          <c:idx val="1"/>
          <c:order val="1"/>
          <c:tx>
            <c:strRef>
              <c:f>'Forecast 2024'!$C$1</c:f>
              <c:strCache>
                <c:ptCount val="1"/>
                <c:pt idx="0">
                  <c:v>Forecast(HealthMax)</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8092-4DFA-8A98-F9B672B119F2}"/>
            </c:ext>
          </c:extLst>
        </c:ser>
        <c:ser>
          <c:idx val="2"/>
          <c:order val="2"/>
          <c:tx>
            <c:strRef>
              <c:f>'Forecast 2024'!$D$1</c:f>
              <c:strCache>
                <c:ptCount val="1"/>
                <c:pt idx="0">
                  <c:v>Lower Confidence Bound(HealthMax)</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8092-4DFA-8A98-F9B672B119F2}"/>
            </c:ext>
          </c:extLst>
        </c:ser>
        <c:ser>
          <c:idx val="3"/>
          <c:order val="3"/>
          <c:tx>
            <c:strRef>
              <c:f>'Forecast 2024'!$E$1</c:f>
              <c:strCache>
                <c:ptCount val="1"/>
                <c:pt idx="0">
                  <c:v>Upper Confidence Bound(HealthMax)</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8092-4DFA-8A98-F9B672B119F2}"/>
            </c:ext>
          </c:extLst>
        </c:ser>
        <c:dLbls>
          <c:showLegendKey val="0"/>
          <c:showVal val="0"/>
          <c:showCatName val="0"/>
          <c:showSerName val="0"/>
          <c:showPercent val="0"/>
          <c:showBubbleSize val="0"/>
        </c:dLbls>
        <c:smooth val="0"/>
        <c:axId val="43435792"/>
        <c:axId val="43446352"/>
      </c:lineChart>
      <c:catAx>
        <c:axId val="4343579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46352"/>
        <c:crosses val="autoZero"/>
        <c:auto val="1"/>
        <c:lblAlgn val="ctr"/>
        <c:lblOffset val="100"/>
        <c:noMultiLvlLbl val="0"/>
      </c:catAx>
      <c:valAx>
        <c:axId val="43446352"/>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35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50224404-E81A-4D2E-A19C-E8C94DCF8DBA}">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2</xdr:row>
      <xdr:rowOff>69850</xdr:rowOff>
    </xdr:from>
    <xdr:to>
      <xdr:col>11</xdr:col>
      <xdr:colOff>495299</xdr:colOff>
      <xdr:row>18</xdr:row>
      <xdr:rowOff>133350</xdr:rowOff>
    </xdr:to>
    <xdr:graphicFrame macro="">
      <xdr:nvGraphicFramePr>
        <xdr:cNvPr id="2" name="Chart 1">
          <a:extLst>
            <a:ext uri="{FF2B5EF4-FFF2-40B4-BE49-F238E27FC236}">
              <a16:creationId xmlns:a16="http://schemas.microsoft.com/office/drawing/2014/main" id="{F4ABAC18-F8C3-385B-6258-D30B4C0CC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158756</xdr:colOff>
      <xdr:row>10</xdr:row>
      <xdr:rowOff>152400</xdr:rowOff>
    </xdr:from>
    <xdr:to>
      <xdr:col>7</xdr:col>
      <xdr:colOff>247656</xdr:colOff>
      <xdr:row>34</xdr:row>
      <xdr:rowOff>133350</xdr:rowOff>
    </xdr:to>
    <xdr:graphicFrame macro="">
      <xdr:nvGraphicFramePr>
        <xdr:cNvPr id="2" name="Chart 1">
          <a:extLst>
            <a:ext uri="{FF2B5EF4-FFF2-40B4-BE49-F238E27FC236}">
              <a16:creationId xmlns:a16="http://schemas.microsoft.com/office/drawing/2014/main" id="{B29E6198-5300-6492-ADCB-3C55BDA442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619124</xdr:colOff>
      <xdr:row>4</xdr:row>
      <xdr:rowOff>38100</xdr:rowOff>
    </xdr:from>
    <xdr:to>
      <xdr:col>9</xdr:col>
      <xdr:colOff>114299</xdr:colOff>
      <xdr:row>21</xdr:row>
      <xdr:rowOff>146050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E2EDDB2-5222-F91F-72C1-D948BE0D0B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08324" y="774700"/>
              <a:ext cx="5483225" cy="3238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8">
      <sharedItems containsSemiMixedTypes="0" containsString="0" containsNumber="1" minValue="5" maxValue="10"/>
    </cacheField>
    <cacheField name="Net Price" numFmtId="168">
      <sharedItems containsSemiMixedTypes="0" containsString="0" containsNumber="1" minValue="2.8" maxValue="6"/>
    </cacheField>
    <cacheField name="COGS" numFmtId="168">
      <sharedItems containsSemiMixedTypes="0" containsString="0" containsNumber="1" minValue="0.9" maxValue="1.7"/>
    </cacheField>
    <cacheField name="Volume 2022" numFmtId="166">
      <sharedItems containsSemiMixedTypes="0" containsString="0" containsNumber="1" containsInteger="1" minValue="231270" maxValue="1156348"/>
    </cacheField>
    <cacheField name="Net Sales 2020" numFmtId="165">
      <sharedItems containsSemiMixedTypes="0" containsString="0" containsNumber="1" minValue="855699" maxValue="3813362"/>
    </cacheField>
    <cacheField name="Gross Profit per unit" numFmtId="168">
      <sharedItems containsSemiMixedTypes="0" containsString="0" containsNumber="1" minValue="1.7999999999999998" maxValue="4.3"/>
    </cacheField>
    <cacheField name="Gross Profit per product" numFmtId="165">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5">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5" showAll="0"/>
    <pivotField showAll="0"/>
    <pivotField numFmtId="165" showAll="0"/>
    <pivotField showAll="0"/>
    <pivotField numFmtId="165"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F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showAll="0"/>
    <pivotField dataField="1" numFmtId="165" showAll="0"/>
  </pivotFields>
  <rowItems count="1">
    <i/>
  </rowItems>
  <colItems count="1">
    <i/>
  </colItems>
  <pageFields count="2">
    <pageField fld="5" item="5" hier="-1"/>
    <pageField fld="6" item="2" hier="-1"/>
  </pageFields>
  <dataFields count="1">
    <dataField name="Sum of Values MAT" fld="12" baseField="0" baseItem="0" numFmtId="165"/>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6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8" showAll="0"/>
    <pivotField numFmtId="168" showAll="0"/>
    <pivotField numFmtId="168" showAll="0"/>
    <pivotField numFmtId="166" showAll="0"/>
    <pivotField numFmtId="165" showAll="0"/>
    <pivotField numFmtId="168" showAll="0"/>
    <pivotField numFmtId="165"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5" showAll="0"/>
    <pivotField showAll="0"/>
    <pivotField numFmtId="165" showAll="0"/>
    <pivotField showAll="0"/>
    <pivotField numFmtId="165"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0">
      <pivotArea outline="0" fieldPosition="0">
        <references count="1">
          <reference field="4294967294" count="1">
            <x v="0"/>
          </reference>
        </references>
      </pivotArea>
    </format>
    <format dxfId="39">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dataField="1" showAll="0"/>
    <pivotField numFmtId="165"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6"/>
  </dataFields>
  <formats count="2">
    <format dxfId="42">
      <pivotArea outline="0" collapsedLevelsAreSubtotals="1" fieldPosition="0">
        <references count="1">
          <reference field="5" count="1" selected="0">
            <x v="4"/>
          </reference>
        </references>
      </pivotArea>
    </format>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ED2B7A-ED04-451D-8623-0D1A1BB4553F}" name="PivotTable3"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6" firstHeaderRow="1" firstDataRow="2" firstDataCol="1" rowPageCount="1" colPageCount="1"/>
  <pivotFields count="13">
    <pivotField showAll="0"/>
    <pivotField showAll="0"/>
    <pivotField showAll="0"/>
    <pivotField axis="axisCol"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5" showAll="0"/>
    <pivotField showAll="0"/>
    <pivotField numFmtId="165" showAll="0"/>
  </pivotFields>
  <rowFields count="1">
    <field x="6"/>
  </rowFields>
  <rowItems count="12">
    <i>
      <x/>
    </i>
    <i>
      <x v="1"/>
    </i>
    <i>
      <x v="2"/>
    </i>
    <i>
      <x v="3"/>
    </i>
    <i>
      <x v="4"/>
    </i>
    <i>
      <x v="5"/>
    </i>
    <i>
      <x v="6"/>
    </i>
    <i>
      <x v="7"/>
    </i>
    <i>
      <x v="8"/>
    </i>
    <i>
      <x v="9"/>
    </i>
    <i>
      <x v="10"/>
    </i>
    <i>
      <x v="11"/>
    </i>
  </rowItems>
  <colFields count="1">
    <field x="3"/>
  </colFields>
  <colItems count="1">
    <i>
      <x v="18"/>
    </i>
  </colItems>
  <pageFields count="1">
    <pageField fld="5" item="4" hier="-1"/>
  </pageFields>
  <dataFields count="1">
    <dataField name="Sum of Values Month" fld="8" baseField="0" baseItem="0" numFmtId="165"/>
  </dataFields>
  <chartFormats count="1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2">
          <reference field="4294967294" count="1" selected="0">
            <x v="0"/>
          </reference>
          <reference field="6" count="1" selected="0">
            <x v="11"/>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927A81-2C40-418C-84B7-10AD2715DEE3}" name="PivotTable1"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F5" firstHeaderRow="1" firstDataRow="2" firstDataCol="1"/>
  <pivotFields count="13">
    <pivotField showAll="0"/>
    <pivotField showAll="0"/>
    <pivotField axis="axisRow"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2"/>
  </rowFields>
  <rowItems count="1">
    <i>
      <x v="8"/>
    </i>
  </rowItems>
  <colFields count="1">
    <field x="5"/>
  </colFields>
  <colItems count="5">
    <i>
      <x/>
    </i>
    <i>
      <x v="1"/>
    </i>
    <i>
      <x v="2"/>
    </i>
    <i>
      <x v="3"/>
    </i>
    <i>
      <x v="4"/>
    </i>
  </colItems>
  <dataFields count="1">
    <dataField name="Sum of Values Month"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6B7465-59C8-4028-A36D-685D7DA16CF7}"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F99B8CC-E5AE-47FD-84EA-AA9EF947DB6F}"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1"/>
    <tableColumn id="2" xr3:uid="{E62B3F1F-9A15-44B4-B1DD-CAF27CF3C747}" name="Subcategory" dataDxfId="70"/>
    <tableColumn id="3" xr3:uid="{FA4BBA42-4CD5-4FEC-99C8-F3DEA363596F}" name="Supplier" dataDxfId="69"/>
    <tableColumn id="4" xr3:uid="{363950AD-92F1-4B62-BAD5-6C6ED9D314C8}" name="Brand" dataDxfId="68"/>
    <tableColumn id="5" xr3:uid="{278D3098-9E4F-422C-8E1A-9941BBC3EF43}" name="Region" dataDxfId="67"/>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6"/>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5"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4">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1"/>
    <tableColumn id="2" xr3:uid="{025C4312-31D3-409B-B984-DBF4AEFE2FA6}" name="Product" dataDxfId="60"/>
    <tableColumn id="3" xr3:uid="{D40B8F72-DA12-4584-B326-495AA00C251F}" name="Pack Size (ml)"/>
    <tableColumn id="4" xr3:uid="{E106DA15-1281-4518-AE4A-C358C1924FEA}" name="ProductID" dataDxfId="59"/>
    <tableColumn id="5" xr3:uid="{AE844CDE-AAF3-4312-96B5-E0534EF567F3}" name="Retail Price" dataDxfId="58" totalsRowDxfId="57" dataCellStyle="Currency"/>
    <tableColumn id="6" xr3:uid="{732BB0A7-0D20-404F-B2AF-EC6A28C2A71A}" name="Net Price" dataDxfId="56" totalsRowDxfId="55" dataCellStyle="Currency"/>
    <tableColumn id="7" xr3:uid="{BB7F7A5B-FAB9-4038-AD33-08EE0D4766AD}" name="COGS" dataDxfId="54" totalsRowDxfId="53" dataCellStyle="Currency"/>
    <tableColumn id="8" xr3:uid="{CCF364DE-01EF-4200-AB41-ED9058D076B5}" name="Volume 2022" totalsRowFunction="sum" dataDxfId="52" totalsRowDxfId="51" dataCellStyle="Comma"/>
    <tableColumn id="10" xr3:uid="{08E3A2F7-3C74-49D9-91B9-79AD4050A4A7}" name="Net Sales 2022" totalsRowFunction="sum" dataDxfId="50" totalsRowDxfId="49" dataCellStyle="Currency">
      <calculatedColumnFormula>internal_sales_data[[#This Row],[Volume 2022]]*internal_sales_data[[#This Row],[Net Price]]</calculatedColumnFormula>
    </tableColumn>
    <tableColumn id="9" xr3:uid="{3C283A83-C2B7-4006-B2BA-AFEDB11C31BE}" name="Gross Profit per unit" dataDxfId="48" totalsRowDxfId="47" dataCellStyle="Currency">
      <calculatedColumnFormula>internal_sales_data[[#This Row],[Net Price]]-internal_sales_data[[#This Row],[COGS]]</calculatedColumnFormula>
    </tableColumn>
    <tableColumn id="11" xr3:uid="{7C588C62-85DC-41E9-81C4-648DF71F5B17}" name="Gross Profit per product" totalsRowFunction="sum" dataDxfId="46" totalsRowDxfId="45"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4"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7132DF-91EA-448A-B76C-46BE78CC73BB}" name="new_product_launch" displayName="new_product_launch" ref="A1:I3" tableType="queryTable" totalsRowShown="0">
  <autoFilter ref="A1:I3" xr:uid="{887132DF-91EA-448A-B76C-46BE78CC73BB}"/>
  <tableColumns count="9">
    <tableColumn id="1" xr3:uid="{B9775F62-2F27-4A5C-A71E-EBD12D559DA3}" uniqueName="1" name="Product" queryTableFieldId="1" dataDxfId="38"/>
    <tableColumn id="2" xr3:uid="{6717AF93-CFCB-4ED3-B768-BD6E1CB90168}" uniqueName="2" name="Estimated Unit Market Share" queryTableFieldId="2" dataDxfId="37"/>
    <tableColumn id="3" xr3:uid="{27ED92D6-94B4-4962-991F-115B1B5F9CE5}" uniqueName="3" name="Estimated units sold 2024" queryTableFieldId="3" dataDxfId="36"/>
    <tableColumn id="4" xr3:uid="{BDE7D988-309E-422F-85FC-FA4A5ABE90B8}" uniqueName="4" name="Net Price" queryTableFieldId="4" dataDxfId="35"/>
    <tableColumn id="5" xr3:uid="{A04CF82D-613E-43B8-9F90-33B033EB02D5}" uniqueName="5" name="Net Sales" queryTableFieldId="5" dataDxfId="34"/>
    <tableColumn id="6" xr3:uid="{AF0947BE-98FA-4B9C-90F8-4C0E8AFDABF3}" uniqueName="6" name="COGS" queryTableFieldId="6" dataDxfId="33"/>
    <tableColumn id="7" xr3:uid="{681971A2-3290-4448-AA46-0C663BE6B7FF}" uniqueName="7" name="Gross Profit per unit" queryTableFieldId="7" dataDxfId="32"/>
    <tableColumn id="8" xr3:uid="{4D4EEE52-C166-4718-9F16-C460B0891793}" uniqueName="8" name="Gross Profit per product" queryTableFieldId="8" dataDxfId="31"/>
    <tableColumn id="9" xr3:uid="{9B682278-E0CE-4F3F-A482-84785E55CDE7}" uniqueName="9" name="Gross Margin" queryTableFieldId="9" dataDxfId="3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3EFBF8-4157-4F8D-9746-6F3F26FE6732}" name="internal_sales_data5" displayName="internal_sales_data5" ref="A1:M12" totalsRowShown="0">
  <autoFilter ref="A1:M12" xr:uid="{04364B77-531F-4E7F-8C97-717C91709596}"/>
  <tableColumns count="13">
    <tableColumn id="1" xr3:uid="{0242C88C-A329-4BC0-926B-D2BC46EA3C3D}" name="Brand" dataDxfId="29"/>
    <tableColumn id="2" xr3:uid="{0CE2395C-0971-414F-9FBA-88376D8036D7}" name="Product" dataDxfId="28"/>
    <tableColumn id="3" xr3:uid="{A2CBF6AE-BEB9-4487-8397-E8A95DF38441}" name="Pack Size (ml)"/>
    <tableColumn id="4" xr3:uid="{F6817885-5A58-4C1C-B3EF-19A82A3E13B8}" name="ProductID" dataDxfId="27"/>
    <tableColumn id="5" xr3:uid="{AB24BCD4-1FCA-41A5-B8D1-E462AEE07155}" name="Retail Price" dataDxfId="26" totalsRowDxfId="25" dataCellStyle="Currency"/>
    <tableColumn id="6" xr3:uid="{DC94A3D7-1A10-431E-A3FB-EE402F6E413F}" name="Net Price" dataDxfId="24" totalsRowDxfId="23" dataCellStyle="Currency"/>
    <tableColumn id="7" xr3:uid="{382A78B0-E4DA-4B05-A61C-5A64CE47BC94}" name="COGS" dataDxfId="22" totalsRowDxfId="21" dataCellStyle="Currency"/>
    <tableColumn id="8" xr3:uid="{07AE0F63-5B62-4892-91BA-438E56B95B2C}" name="Volume 2022" dataDxfId="20" totalsRowDxfId="19" dataCellStyle="Comma"/>
    <tableColumn id="10" xr3:uid="{405EB921-6F25-407B-8B70-74E52492868F}" name="Net Sales 2022" dataDxfId="18" totalsRowDxfId="17" dataCellStyle="Currency">
      <calculatedColumnFormula>internal_sales_data5[[#This Row],[Volume 2022]]*internal_sales_data5[[#This Row],[Net Price]]</calculatedColumnFormula>
    </tableColumn>
    <tableColumn id="9" xr3:uid="{2503171E-FAA8-4C5E-A7EB-882FF3C3EF2E}" name="Gross Profit per unit" dataDxfId="16" totalsRowDxfId="15" dataCellStyle="Currency">
      <calculatedColumnFormula>internal_sales_data5[[#This Row],[Net Price]]-internal_sales_data5[[#This Row],[COGS]]</calculatedColumnFormula>
    </tableColumn>
    <tableColumn id="11" xr3:uid="{ED1A2FE9-C7F1-401E-A4BA-99C5F3E5EB0B}" name="Gross Profit per product" dataDxfId="14" totalsRowDxfId="13" dataCellStyle="Currency">
      <calculatedColumnFormula>internal_sales_data5[[#This Row],[Gross Profit per unit]]*internal_sales_data5[[#This Row],[Volume 2022]]</calculatedColumnFormula>
    </tableColumn>
    <tableColumn id="12" xr3:uid="{8968221C-D6A3-44F1-93A2-544C977C9C53}" name="Gross Margin" totalsRowDxfId="12" dataCellStyle="Percent">
      <calculatedColumnFormula>internal_sales_data5[[#This Row],[Gross Profit per unit]]/internal_sales_data5[[#This Row],[Net Price]]</calculatedColumnFormula>
    </tableColumn>
    <tableColumn id="13" xr3:uid="{E87D0C50-C9F7-4753-B5B9-DBE7C6F51C92}" name="Price per ml" dataDxfId="11">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450981-2B82-484D-94EB-B4EC54D935A1}" name="promotion_analysis" displayName="promotion_analysis" ref="A1:J4" tableType="queryTable" totalsRowShown="0">
  <autoFilter ref="A1:J4" xr:uid="{74450981-2B82-484D-94EB-B4EC54D935A1}"/>
  <tableColumns count="10">
    <tableColumn id="1" xr3:uid="{42C5507A-7D1C-4BE1-B407-F3442BF55F1F}" uniqueName="1" name="Promotion " queryTableFieldId="1"/>
    <tableColumn id="2" xr3:uid="{A3BE88F9-7312-4E8F-8690-D81D4A306FFF}" uniqueName="2" name="Mechanism" queryTableFieldId="2" dataDxfId="10"/>
    <tableColumn id="3" xr3:uid="{77164426-27C3-4B67-A54D-8DC8F0AA8850}" uniqueName="3" name="Brand" queryTableFieldId="3" dataDxfId="9"/>
    <tableColumn id="4" xr3:uid="{566751DC-15AD-4E74-8A49-2F340109F81C}" uniqueName="4" name="Year" queryTableFieldId="4"/>
    <tableColumn id="5" xr3:uid="{44B221C5-BC58-4A5E-8F2B-A7C41A0E93FE}" uniqueName="5" name="Month" queryTableFieldId="5"/>
    <tableColumn id="6" xr3:uid="{3E487E3F-6B72-4EF0-B4FE-5BC7FB90094A}" uniqueName="6" name="Value sales" queryTableFieldId="6" dataDxfId="8"/>
    <tableColumn id="7" xr3:uid="{314D632C-12DB-49F5-8AB9-31417AF70BA7}" uniqueName="7" name="Baseline sales " queryTableFieldId="7" dataDxfId="7"/>
    <tableColumn id="8" xr3:uid="{FE8BF38E-5CE5-4062-A2FC-D6E3ECA53C76}" uniqueName="8" name="Uplift" queryTableFieldId="8" dataDxfId="6"/>
    <tableColumn id="9" xr3:uid="{E527D0DB-0C7D-44B1-B658-3A1A6EAFB794}" uniqueName="9" name="Costs" queryTableFieldId="9"/>
    <tableColumn id="10" xr3:uid="{78B860F8-6DB4-4D16-8558-FB3F15663603}" uniqueName="10" name="ROI" queryTableFieldId="10"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8977BA2-C03F-47A8-9821-3E981F398C6A}" name="Table8" displayName="Table8" ref="A1:G8" totalsRowShown="0">
  <autoFilter ref="A1:G8" xr:uid="{88977BA2-C03F-47A8-9821-3E981F398C6A}"/>
  <tableColumns count="7">
    <tableColumn id="1" xr3:uid="{1540923A-3105-4B0E-8343-38941237F4EF}" name="Row Labels"/>
    <tableColumn id="2" xr3:uid="{FD4BC1F6-EE31-43CC-A9D7-B0EEC3C339E4}" name="Market Values" dataDxfId="5"/>
    <tableColumn id="3" xr3:uid="{FB1EA7B8-716E-426A-B336-088E8C6CC7D1}" name="Forecast(HealthMax)" dataDxfId="4"/>
    <tableColumn id="4" xr3:uid="{D876254D-6BB0-4ED1-8F35-B10A9858D8C3}" name="Lower Confidence Bound(HealthMax)" dataDxfId="3"/>
    <tableColumn id="5" xr3:uid="{EDCFAED5-5164-4BD6-96B2-501B1C74E838}" name="Upper Confidence Bound(HealthMax)" dataDxfId="2"/>
    <tableColumn id="6" xr3:uid="{1BD12460-E296-40A2-B633-09FBA9214332}" name="Net Sales" dataDxfId="1">
      <calculatedColumnFormula>internal_sales_data[[#Totals],[Net Sales 2022]]</calculatedColumnFormula>
    </tableColumn>
    <tableColumn id="7" xr3:uid="{C55FCE43-1D94-4C60-B073-F166A2759692}" name="Ratio" dataDxfId="0">
      <calculatedColumnFormula>Table8[[#This Row],[Net Sales]]/Table8[[#This Row],[Market 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ivotTable" Target="../pivotTables/pivotTable4.xml"/><Relationship Id="rId5" Type="http://schemas.openxmlformats.org/officeDocument/2006/relationships/comments" Target="../comments4.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2.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2.xml"/><Relationship Id="rId1" Type="http://schemas.openxmlformats.org/officeDocument/2006/relationships/pivotTable" Target="../pivotTables/pivotTable5.xm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3.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table" Target="../tables/table4.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5.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11.vml"/><Relationship Id="rId1" Type="http://schemas.openxmlformats.org/officeDocument/2006/relationships/drawing" Target="../drawings/drawing4.xml"/><Relationship Id="rId4"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B8" sqref="B8"/>
    </sheetView>
  </sheetViews>
  <sheetFormatPr defaultRowHeight="14.5" x14ac:dyDescent="0.35"/>
  <cols>
    <col min="1" max="1" width="17.81640625" bestFit="1" customWidth="1"/>
    <col min="2" max="2" width="14.1796875" bestFit="1" customWidth="1"/>
    <col min="3" max="3" width="21.453125" bestFit="1" customWidth="1"/>
    <col min="4" max="4" width="15.453125" bestFit="1" customWidth="1"/>
    <col min="5" max="5" width="9.453125" bestFit="1" customWidth="1"/>
    <col min="6" max="6" width="7.26953125" bestFit="1" customWidth="1"/>
    <col min="7" max="7" width="9.26953125" bestFit="1" customWidth="1"/>
    <col min="8" max="8" width="14.81640625" bestFit="1" customWidth="1"/>
    <col min="9" max="9" width="15.81640625" style="1" bestFit="1" customWidth="1"/>
    <col min="11" max="11" width="14.1796875" style="6" bestFit="1" customWidth="1"/>
    <col min="13" max="13" width="14" style="1" bestFit="1" customWidth="1"/>
  </cols>
  <sheetData>
    <row r="1" spans="1:13" x14ac:dyDescent="0.35">
      <c r="A1" t="s">
        <v>98</v>
      </c>
      <c r="B1" t="s">
        <v>0</v>
      </c>
      <c r="C1" t="s">
        <v>1</v>
      </c>
      <c r="D1" t="s">
        <v>2</v>
      </c>
      <c r="E1" t="s">
        <v>3</v>
      </c>
      <c r="F1" t="s">
        <v>4</v>
      </c>
      <c r="G1" t="s">
        <v>5</v>
      </c>
      <c r="H1" t="s">
        <v>62</v>
      </c>
      <c r="I1" s="1" t="s">
        <v>6</v>
      </c>
      <c r="J1" t="s">
        <v>66</v>
      </c>
      <c r="K1" s="6" t="s">
        <v>63</v>
      </c>
      <c r="L1" t="s">
        <v>64</v>
      </c>
      <c r="M1" s="1" t="s">
        <v>65</v>
      </c>
    </row>
    <row r="2" spans="1:13" x14ac:dyDescent="0.3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C46"/>
  <sheetViews>
    <sheetView workbookViewId="0">
      <selection activeCell="C11" sqref="C11"/>
    </sheetView>
  </sheetViews>
  <sheetFormatPr defaultRowHeight="14.5" x14ac:dyDescent="0.35"/>
  <cols>
    <col min="1" max="1" width="23.453125" bestFit="1" customWidth="1"/>
  </cols>
  <sheetData>
    <row r="3" spans="1:3" x14ac:dyDescent="0.35">
      <c r="A3" s="2" t="s">
        <v>58</v>
      </c>
    </row>
    <row r="4" spans="1:3" x14ac:dyDescent="0.35">
      <c r="A4" s="3" t="s">
        <v>9</v>
      </c>
    </row>
    <row r="5" spans="1:3" x14ac:dyDescent="0.35">
      <c r="A5" s="4" t="s">
        <v>26</v>
      </c>
    </row>
    <row r="6" spans="1:3" x14ac:dyDescent="0.35">
      <c r="A6" s="4" t="s">
        <v>27</v>
      </c>
    </row>
    <row r="7" spans="1:3" x14ac:dyDescent="0.35">
      <c r="A7" s="4" t="s">
        <v>10</v>
      </c>
    </row>
    <row r="8" spans="1:3" x14ac:dyDescent="0.35">
      <c r="A8" s="4" t="s">
        <v>48</v>
      </c>
    </row>
    <row r="9" spans="1:3" x14ac:dyDescent="0.35">
      <c r="A9" s="3" t="s">
        <v>14</v>
      </c>
    </row>
    <row r="10" spans="1:3" x14ac:dyDescent="0.35">
      <c r="A10" s="4" t="s">
        <v>15</v>
      </c>
    </row>
    <row r="11" spans="1:3" x14ac:dyDescent="0.35">
      <c r="A11" s="3" t="s">
        <v>49</v>
      </c>
    </row>
    <row r="12" spans="1:3" x14ac:dyDescent="0.35">
      <c r="A12" s="4" t="s">
        <v>50</v>
      </c>
    </row>
    <row r="13" spans="1:3" x14ac:dyDescent="0.35">
      <c r="A13" s="3" t="s">
        <v>28</v>
      </c>
    </row>
    <row r="14" spans="1:3" x14ac:dyDescent="0.35">
      <c r="A14" s="4" t="s">
        <v>29</v>
      </c>
    </row>
    <row r="15" spans="1:3" x14ac:dyDescent="0.35">
      <c r="A15" s="3" t="s">
        <v>31</v>
      </c>
    </row>
    <row r="16" spans="1:3" x14ac:dyDescent="0.35">
      <c r="A16" s="4" t="s">
        <v>32</v>
      </c>
    </row>
    <row r="17" spans="1:1" x14ac:dyDescent="0.35">
      <c r="A17" s="3" t="s">
        <v>33</v>
      </c>
    </row>
    <row r="18" spans="1:1" x14ac:dyDescent="0.35">
      <c r="A18" s="4" t="s">
        <v>41</v>
      </c>
    </row>
    <row r="19" spans="1:1" x14ac:dyDescent="0.35">
      <c r="A19" s="4" t="s">
        <v>34</v>
      </c>
    </row>
    <row r="20" spans="1:1" x14ac:dyDescent="0.35">
      <c r="A20" s="3" t="s">
        <v>42</v>
      </c>
    </row>
    <row r="21" spans="1:1" x14ac:dyDescent="0.35">
      <c r="A21" s="4" t="s">
        <v>43</v>
      </c>
    </row>
    <row r="22" spans="1:1" x14ac:dyDescent="0.35">
      <c r="A22" s="3" t="s">
        <v>16</v>
      </c>
    </row>
    <row r="23" spans="1:1" x14ac:dyDescent="0.35">
      <c r="A23" s="4" t="s">
        <v>17</v>
      </c>
    </row>
    <row r="24" spans="1:1" x14ac:dyDescent="0.35">
      <c r="A24" s="4" t="s">
        <v>51</v>
      </c>
    </row>
    <row r="25" spans="1:1" x14ac:dyDescent="0.35">
      <c r="A25" s="4" t="s">
        <v>56</v>
      </c>
    </row>
    <row r="26" spans="1:1" x14ac:dyDescent="0.35">
      <c r="A26" s="3" t="s">
        <v>21</v>
      </c>
    </row>
    <row r="27" spans="1:1" x14ac:dyDescent="0.35">
      <c r="A27" s="4" t="s">
        <v>22</v>
      </c>
    </row>
    <row r="28" spans="1:1" x14ac:dyDescent="0.35">
      <c r="A28" s="4" t="s">
        <v>57</v>
      </c>
    </row>
    <row r="29" spans="1:1" x14ac:dyDescent="0.35">
      <c r="A29" s="3" t="s">
        <v>35</v>
      </c>
    </row>
    <row r="30" spans="1:1" x14ac:dyDescent="0.35">
      <c r="A30" s="4" t="s">
        <v>36</v>
      </c>
    </row>
    <row r="31" spans="1:1" x14ac:dyDescent="0.35">
      <c r="A31" s="3" t="s">
        <v>37</v>
      </c>
    </row>
    <row r="32" spans="1:1" x14ac:dyDescent="0.35">
      <c r="A32" s="4" t="s">
        <v>38</v>
      </c>
    </row>
    <row r="33" spans="1:1" x14ac:dyDescent="0.35">
      <c r="A33" s="3" t="s">
        <v>19</v>
      </c>
    </row>
    <row r="34" spans="1:1" x14ac:dyDescent="0.35">
      <c r="A34" s="4" t="s">
        <v>20</v>
      </c>
    </row>
    <row r="35" spans="1:1" x14ac:dyDescent="0.35">
      <c r="A35" s="3" t="s">
        <v>44</v>
      </c>
    </row>
    <row r="36" spans="1:1" x14ac:dyDescent="0.35">
      <c r="A36" s="4" t="s">
        <v>45</v>
      </c>
    </row>
    <row r="37" spans="1:1" x14ac:dyDescent="0.35">
      <c r="A37" s="3" t="s">
        <v>46</v>
      </c>
    </row>
    <row r="38" spans="1:1" x14ac:dyDescent="0.35">
      <c r="A38" s="4" t="s">
        <v>47</v>
      </c>
    </row>
    <row r="39" spans="1:1" x14ac:dyDescent="0.35">
      <c r="A39" s="3" t="s">
        <v>23</v>
      </c>
    </row>
    <row r="40" spans="1:1" x14ac:dyDescent="0.35">
      <c r="A40" s="4" t="s">
        <v>24</v>
      </c>
    </row>
    <row r="41" spans="1:1" x14ac:dyDescent="0.35">
      <c r="A41" s="4" t="s">
        <v>52</v>
      </c>
    </row>
    <row r="42" spans="1:1" x14ac:dyDescent="0.35">
      <c r="A42" s="3" t="s">
        <v>53</v>
      </c>
    </row>
    <row r="43" spans="1:1" x14ac:dyDescent="0.35">
      <c r="A43" s="4" t="s">
        <v>54</v>
      </c>
    </row>
    <row r="44" spans="1:1" x14ac:dyDescent="0.35">
      <c r="A44" s="3" t="s">
        <v>39</v>
      </c>
    </row>
    <row r="45" spans="1:1" x14ac:dyDescent="0.35">
      <c r="A45" s="4" t="s">
        <v>40</v>
      </c>
    </row>
    <row r="46" spans="1:1" x14ac:dyDescent="0.35">
      <c r="A46" s="3" t="s">
        <v>59</v>
      </c>
    </row>
  </sheetData>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H7"/>
  <sheetViews>
    <sheetView workbookViewId="0">
      <selection activeCell="H6" sqref="H6"/>
    </sheetView>
  </sheetViews>
  <sheetFormatPr defaultRowHeight="14.5" x14ac:dyDescent="0.35"/>
  <cols>
    <col min="1" max="1" width="19" bestFit="1" customWidth="1"/>
    <col min="2" max="2" width="15.26953125" bestFit="1" customWidth="1"/>
    <col min="3" max="3" width="6.453125" bestFit="1" customWidth="1"/>
    <col min="4" max="5" width="5.81640625" bestFit="1" customWidth="1"/>
    <col min="6" max="6" width="6.453125" bestFit="1" customWidth="1"/>
    <col min="7" max="7" width="10.7265625" bestFit="1" customWidth="1"/>
    <col min="8" max="8" width="12.54296875" bestFit="1" customWidth="1"/>
    <col min="9" max="9" width="15.453125" bestFit="1" customWidth="1"/>
    <col min="10" max="10" width="12.81640625" bestFit="1" customWidth="1"/>
    <col min="11" max="11" width="9" bestFit="1" customWidth="1"/>
    <col min="12" max="12" width="8" bestFit="1" customWidth="1"/>
    <col min="13" max="13" width="13.26953125" bestFit="1" customWidth="1"/>
    <col min="14" max="14" width="9" bestFit="1" customWidth="1"/>
    <col min="15" max="15" width="12" bestFit="1" customWidth="1"/>
    <col min="16" max="16" width="9" bestFit="1" customWidth="1"/>
    <col min="17" max="17" width="13.7265625" bestFit="1" customWidth="1"/>
    <col min="18" max="18" width="8.7265625" bestFit="1" customWidth="1"/>
    <col min="19" max="19" width="9" bestFit="1" customWidth="1"/>
    <col min="20" max="20" width="10" bestFit="1" customWidth="1"/>
    <col min="21" max="21" width="11" bestFit="1" customWidth="1"/>
    <col min="22" max="22" width="9.81640625" bestFit="1" customWidth="1"/>
    <col min="23" max="23" width="11" bestFit="1" customWidth="1"/>
    <col min="24" max="24" width="9" bestFit="1" customWidth="1"/>
    <col min="25" max="25" width="11.81640625" bestFit="1" customWidth="1"/>
    <col min="26" max="26" width="14.81640625" bestFit="1" customWidth="1"/>
    <col min="27" max="27" width="11.26953125" bestFit="1" customWidth="1"/>
  </cols>
  <sheetData>
    <row r="1" spans="1:8" x14ac:dyDescent="0.35">
      <c r="A1" s="2" t="s">
        <v>1</v>
      </c>
      <c r="B1" t="s">
        <v>21</v>
      </c>
    </row>
    <row r="3" spans="1:8" x14ac:dyDescent="0.35">
      <c r="A3" s="2" t="s">
        <v>61</v>
      </c>
      <c r="B3" s="2" t="s">
        <v>60</v>
      </c>
    </row>
    <row r="4" spans="1:8" x14ac:dyDescent="0.35">
      <c r="A4" s="2" t="s">
        <v>58</v>
      </c>
      <c r="B4">
        <v>2018</v>
      </c>
      <c r="C4">
        <v>2019</v>
      </c>
      <c r="D4">
        <v>2020</v>
      </c>
      <c r="E4">
        <v>2021</v>
      </c>
      <c r="F4">
        <v>2022</v>
      </c>
    </row>
    <row r="5" spans="1:8" x14ac:dyDescent="0.35">
      <c r="A5" s="3" t="s">
        <v>22</v>
      </c>
      <c r="B5" s="5"/>
      <c r="C5" s="5">
        <v>-1.8851917463244935E-2</v>
      </c>
      <c r="D5" s="5">
        <v>7.659905577863356E-2</v>
      </c>
      <c r="E5" s="5">
        <v>8.9543837962540954E-3</v>
      </c>
      <c r="F5" s="5">
        <v>6.7382398799515006E-2</v>
      </c>
    </row>
    <row r="6" spans="1:8" x14ac:dyDescent="0.35">
      <c r="A6" s="3" t="s">
        <v>57</v>
      </c>
      <c r="B6" s="5"/>
      <c r="C6" s="5">
        <v>-6.0152376717658426E-2</v>
      </c>
      <c r="D6" s="5">
        <v>1.7745774906480036E-2</v>
      </c>
      <c r="E6" s="5">
        <v>1.2423428548747735E-2</v>
      </c>
      <c r="F6" s="5">
        <v>-9.1123767974869612E-5</v>
      </c>
    </row>
    <row r="7" spans="1:8" x14ac:dyDescent="0.35">
      <c r="A7" s="3" t="s">
        <v>59</v>
      </c>
      <c r="B7" s="5"/>
      <c r="C7" s="5">
        <v>-4.6397507546699364E-2</v>
      </c>
      <c r="D7" s="5">
        <v>3.7912688764357619E-2</v>
      </c>
      <c r="E7" s="5">
        <v>1.1190403666558416E-2</v>
      </c>
      <c r="F7" s="5">
        <v>2.3838392205789781E-2</v>
      </c>
    </row>
  </sheetData>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C5"/>
  <sheetViews>
    <sheetView workbookViewId="0">
      <selection activeCell="C5" sqref="C5"/>
    </sheetView>
  </sheetViews>
  <sheetFormatPr defaultRowHeight="14.5" x14ac:dyDescent="0.35"/>
  <cols>
    <col min="1" max="1" width="18.453125" bestFit="1" customWidth="1"/>
    <col min="2" max="2" width="7.26953125" bestFit="1" customWidth="1"/>
  </cols>
  <sheetData>
    <row r="1" spans="1:3" x14ac:dyDescent="0.35">
      <c r="A1" s="2" t="s">
        <v>4</v>
      </c>
      <c r="B1" s="3">
        <v>2023</v>
      </c>
    </row>
    <row r="2" spans="1:3" x14ac:dyDescent="0.35">
      <c r="A2" s="2" t="s">
        <v>5</v>
      </c>
      <c r="B2" s="3">
        <v>3</v>
      </c>
    </row>
    <row r="4" spans="1:3" x14ac:dyDescent="0.35">
      <c r="A4" t="s">
        <v>67</v>
      </c>
    </row>
    <row r="5" spans="1:3" x14ac:dyDescent="0.35">
      <c r="A5" s="1">
        <v>98452905.75</v>
      </c>
    </row>
  </sheetData>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7"/>
  <sheetViews>
    <sheetView topLeftCell="L11" workbookViewId="0">
      <selection activeCell="T17" sqref="T17"/>
    </sheetView>
  </sheetViews>
  <sheetFormatPr defaultRowHeight="14.5" x14ac:dyDescent="0.35"/>
  <cols>
    <col min="1" max="1" width="20.26953125" bestFit="1" customWidth="1"/>
    <col min="2" max="2" width="16.26953125" bestFit="1" customWidth="1"/>
    <col min="3" max="3" width="6.81640625" bestFit="1" customWidth="1"/>
    <col min="4" max="4" width="8.26953125" bestFit="1" customWidth="1"/>
    <col min="5" max="5" width="9.54296875" bestFit="1" customWidth="1"/>
    <col min="6" max="6" width="13.26953125" bestFit="1" customWidth="1"/>
    <col min="7" max="7" width="12" bestFit="1" customWidth="1"/>
    <col min="8" max="8" width="12.81640625" bestFit="1" customWidth="1"/>
    <col min="9" max="9" width="8" bestFit="1" customWidth="1"/>
    <col min="10" max="10" width="14.54296875" bestFit="1" customWidth="1"/>
    <col min="11" max="11" width="8.7265625" bestFit="1" customWidth="1"/>
    <col min="12" max="12" width="5.7265625" bestFit="1" customWidth="1"/>
    <col min="13" max="13" width="9.81640625" bestFit="1" customWidth="1"/>
    <col min="14" max="14" width="9" bestFit="1" customWidth="1"/>
    <col min="15" max="15" width="12.54296875" bestFit="1" customWidth="1"/>
    <col min="16" max="16" width="9.1796875" bestFit="1" customWidth="1"/>
    <col min="17" max="17" width="14.81640625" bestFit="1" customWidth="1"/>
    <col min="18" max="18" width="15.453125" bestFit="1" customWidth="1"/>
    <col min="19" max="19" width="13.7265625" bestFit="1" customWidth="1"/>
    <col min="20" max="20" width="8" bestFit="1" customWidth="1"/>
    <col min="21" max="21" width="6.54296875" bestFit="1" customWidth="1"/>
    <col min="22" max="22" width="12.1796875" bestFit="1" customWidth="1"/>
    <col min="23" max="23" width="11.54296875" bestFit="1" customWidth="1"/>
    <col min="24" max="24" width="6.1796875" bestFit="1" customWidth="1"/>
    <col min="25" max="25" width="10.7265625" bestFit="1" customWidth="1"/>
    <col min="26" max="26" width="11.81640625" bestFit="1" customWidth="1"/>
    <col min="27" max="27" width="11.26953125" bestFit="1" customWidth="1"/>
  </cols>
  <sheetData>
    <row r="3" spans="1:27" x14ac:dyDescent="0.35">
      <c r="A3" s="2" t="s">
        <v>61</v>
      </c>
      <c r="B3" s="2" t="s">
        <v>60</v>
      </c>
    </row>
    <row r="4" spans="1:27" x14ac:dyDescent="0.3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3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row r="17" spans="20:20" x14ac:dyDescent="0.35"/>
  </sheetData>
  <pageMargins left="0.7" right="0.7" top="0.75" bottom="0.75" header="0.3" footer="0.3"/>
  <drawing r:id="rId2"/>
  <legacy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5"/>
  <sheetViews>
    <sheetView topLeftCell="B1" workbookViewId="0">
      <selection activeCell="E19" sqref="E19"/>
    </sheetView>
  </sheetViews>
  <sheetFormatPr defaultRowHeight="14.5" x14ac:dyDescent="0.35"/>
  <cols>
    <col min="1" max="1" width="8.453125" bestFit="1" customWidth="1"/>
    <col min="2" max="2" width="10.7265625" bestFit="1" customWidth="1"/>
    <col min="3" max="3" width="15.54296875" bestFit="1" customWidth="1"/>
    <col min="4" max="4" width="24.54296875" bestFit="1" customWidth="1"/>
    <col min="5" max="5" width="14.1796875" style="8" bestFit="1" customWidth="1"/>
    <col min="6" max="6" width="12.26953125" style="8" bestFit="1" customWidth="1"/>
    <col min="7" max="7" width="9.1796875" style="8" bestFit="1" customWidth="1"/>
    <col min="8" max="8" width="15.7265625" style="9" bestFit="1" customWidth="1"/>
    <col min="9" max="9" width="15" bestFit="1" customWidth="1"/>
    <col min="10" max="10" width="20.26953125" bestFit="1" customWidth="1"/>
    <col min="11" max="11" width="23.6328125" bestFit="1" customWidth="1"/>
    <col min="12" max="12" width="14.1796875" bestFit="1" customWidth="1"/>
    <col min="13" max="13" width="22.08984375" bestFit="1" customWidth="1"/>
  </cols>
  <sheetData>
    <row r="1" spans="1:13" x14ac:dyDescent="0.35">
      <c r="A1" t="s">
        <v>2</v>
      </c>
      <c r="B1" t="s">
        <v>68</v>
      </c>
      <c r="C1" t="s">
        <v>69</v>
      </c>
      <c r="D1" t="s">
        <v>70</v>
      </c>
      <c r="E1" s="8" t="s">
        <v>71</v>
      </c>
      <c r="F1" s="8" t="s">
        <v>72</v>
      </c>
      <c r="G1" s="8" t="s">
        <v>73</v>
      </c>
      <c r="H1" s="9" t="s">
        <v>74</v>
      </c>
      <c r="I1" t="s">
        <v>99</v>
      </c>
      <c r="J1" t="s">
        <v>94</v>
      </c>
      <c r="K1" t="s">
        <v>90</v>
      </c>
      <c r="L1" t="s">
        <v>91</v>
      </c>
      <c r="M1" t="s">
        <v>92</v>
      </c>
    </row>
    <row r="2" spans="1:13" x14ac:dyDescent="0.3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3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3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3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3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3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3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3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3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3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3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35">
      <c r="I13" s="11"/>
    </row>
    <row r="15" spans="1:13" x14ac:dyDescent="0.35"/>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W27"/>
  <sheetViews>
    <sheetView topLeftCell="R12" workbookViewId="0">
      <selection activeCell="Y27" sqref="Y27"/>
    </sheetView>
  </sheetViews>
  <sheetFormatPr defaultRowHeight="14.5" x14ac:dyDescent="0.35"/>
  <cols>
    <col min="1" max="1" width="28.1796875" bestFit="1" customWidth="1"/>
    <col min="2" max="2" width="16.26953125" bestFit="1" customWidth="1"/>
    <col min="3" max="11" width="4.54296875" bestFit="1" customWidth="1"/>
    <col min="12" max="12" width="12" bestFit="1" customWidth="1"/>
  </cols>
  <sheetData>
    <row r="3" spans="1:11" x14ac:dyDescent="0.35">
      <c r="A3" s="2" t="s">
        <v>93</v>
      </c>
      <c r="B3" s="2" t="s">
        <v>60</v>
      </c>
    </row>
    <row r="4" spans="1:11" x14ac:dyDescent="0.3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35">
      <c r="A5" s="3" t="s">
        <v>85</v>
      </c>
      <c r="B5" s="7"/>
      <c r="C5" s="7"/>
      <c r="D5" s="7"/>
      <c r="E5" s="7">
        <v>0.18619281693140505</v>
      </c>
      <c r="F5" s="7"/>
      <c r="G5" s="7"/>
      <c r="H5" s="7"/>
      <c r="I5" s="7"/>
      <c r="J5" s="7"/>
      <c r="K5" s="7"/>
    </row>
    <row r="6" spans="1:11" x14ac:dyDescent="0.35">
      <c r="A6" s="3" t="s">
        <v>86</v>
      </c>
      <c r="B6" s="7"/>
      <c r="C6" s="7"/>
      <c r="D6" s="7"/>
      <c r="E6" s="7"/>
      <c r="F6" s="7"/>
      <c r="G6" s="7">
        <v>9.6896202583240873E-2</v>
      </c>
      <c r="H6" s="7"/>
      <c r="I6" s="7"/>
      <c r="J6" s="7"/>
      <c r="K6" s="7"/>
    </row>
    <row r="7" spans="1:11" x14ac:dyDescent="0.35">
      <c r="A7" s="3" t="s">
        <v>87</v>
      </c>
      <c r="B7" s="7"/>
      <c r="C7" s="7"/>
      <c r="D7" s="7"/>
      <c r="E7" s="7"/>
      <c r="F7" s="7"/>
      <c r="G7" s="7"/>
      <c r="H7" s="7"/>
      <c r="I7" s="7">
        <v>9.6896119578325834E-2</v>
      </c>
      <c r="J7" s="7"/>
      <c r="K7" s="7"/>
    </row>
    <row r="8" spans="1:11" x14ac:dyDescent="0.35">
      <c r="A8" s="3" t="s">
        <v>88</v>
      </c>
      <c r="B8" s="7"/>
      <c r="C8" s="7"/>
      <c r="D8" s="7"/>
      <c r="E8" s="7"/>
      <c r="F8" s="7"/>
      <c r="G8" s="7"/>
      <c r="H8" s="7"/>
      <c r="I8" s="7"/>
      <c r="J8" s="7"/>
      <c r="K8" s="7">
        <v>6.8397319470522966E-2</v>
      </c>
    </row>
    <row r="9" spans="1:11" x14ac:dyDescent="0.35">
      <c r="A9" s="3" t="s">
        <v>78</v>
      </c>
      <c r="B9" s="7"/>
      <c r="C9" s="7"/>
      <c r="D9" s="7"/>
      <c r="E9" s="7"/>
      <c r="F9" s="7">
        <v>9.8241009155398171E-2</v>
      </c>
      <c r="G9" s="7"/>
      <c r="H9" s="7"/>
      <c r="I9" s="7"/>
      <c r="J9" s="7"/>
      <c r="K9" s="7"/>
    </row>
    <row r="10" spans="1:11" x14ac:dyDescent="0.35">
      <c r="A10" s="3" t="s">
        <v>80</v>
      </c>
      <c r="B10" s="7">
        <v>4.7426625718030961E-2</v>
      </c>
      <c r="C10" s="7"/>
      <c r="D10" s="7"/>
      <c r="E10" s="7"/>
      <c r="F10" s="7"/>
      <c r="G10" s="7"/>
      <c r="H10" s="7"/>
      <c r="I10" s="7"/>
      <c r="J10" s="7"/>
      <c r="K10" s="7"/>
    </row>
    <row r="11" spans="1:11" x14ac:dyDescent="0.35">
      <c r="A11" s="3" t="s">
        <v>82</v>
      </c>
      <c r="B11" s="7"/>
      <c r="C11" s="7">
        <v>4.178071928534096E-2</v>
      </c>
      <c r="D11" s="7"/>
      <c r="E11" s="7"/>
      <c r="F11" s="7"/>
      <c r="G11" s="7"/>
      <c r="H11" s="7"/>
      <c r="I11" s="7"/>
      <c r="J11" s="7"/>
      <c r="K11" s="7"/>
    </row>
    <row r="12" spans="1:11" x14ac:dyDescent="0.35">
      <c r="A12" s="3" t="s">
        <v>76</v>
      </c>
      <c r="B12" s="7"/>
      <c r="C12" s="7"/>
      <c r="D12" s="7"/>
      <c r="E12" s="7"/>
      <c r="F12" s="7"/>
      <c r="G12" s="7"/>
      <c r="H12" s="7"/>
      <c r="I12" s="7"/>
      <c r="J12" s="7">
        <v>0.17502703482289086</v>
      </c>
      <c r="K12" s="7"/>
    </row>
    <row r="13" spans="1:11" x14ac:dyDescent="0.35">
      <c r="A13" s="3" t="s">
        <v>81</v>
      </c>
      <c r="B13" s="7"/>
      <c r="C13" s="7"/>
      <c r="D13" s="7">
        <v>0.11856673518754952</v>
      </c>
      <c r="E13" s="7"/>
      <c r="F13" s="7"/>
      <c r="G13" s="7"/>
      <c r="H13" s="7"/>
      <c r="I13" s="7"/>
      <c r="J13" s="7"/>
      <c r="K13" s="7"/>
    </row>
    <row r="14" spans="1:11" x14ac:dyDescent="0.35">
      <c r="A14" s="3" t="s">
        <v>83</v>
      </c>
      <c r="B14" s="7"/>
      <c r="C14" s="7"/>
      <c r="D14" s="7"/>
      <c r="E14" s="7"/>
      <c r="F14" s="7"/>
      <c r="G14" s="7"/>
      <c r="H14" s="7">
        <v>7.0575417267294702E-2</v>
      </c>
      <c r="I14" s="7"/>
      <c r="J14" s="7"/>
      <c r="K14" s="7"/>
    </row>
    <row r="17" spans="1:23" x14ac:dyDescent="0.3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23" x14ac:dyDescent="0.35">
      <c r="A18" s="3" t="s">
        <v>85</v>
      </c>
      <c r="B18" s="7"/>
      <c r="C18" s="7"/>
      <c r="D18" s="7"/>
      <c r="E18" s="7">
        <v>0.18619281693140505</v>
      </c>
      <c r="F18" s="7"/>
      <c r="G18" s="7"/>
      <c r="H18" s="7"/>
      <c r="I18" s="7"/>
      <c r="J18" s="7"/>
      <c r="K18" s="7"/>
    </row>
    <row r="19" spans="1:23" x14ac:dyDescent="0.35">
      <c r="A19" s="3" t="s">
        <v>86</v>
      </c>
      <c r="B19" s="7"/>
      <c r="C19" s="7"/>
      <c r="D19" s="7"/>
      <c r="E19" s="7"/>
      <c r="F19" s="7"/>
      <c r="G19" s="7">
        <v>9.6896202583240873E-2</v>
      </c>
      <c r="H19" s="7"/>
      <c r="I19" s="7"/>
      <c r="J19" s="7"/>
      <c r="K19" s="7"/>
    </row>
    <row r="20" spans="1:23" x14ac:dyDescent="0.35">
      <c r="A20" s="3" t="s">
        <v>87</v>
      </c>
      <c r="B20" s="7"/>
      <c r="C20" s="7"/>
      <c r="D20" s="7"/>
      <c r="E20" s="7"/>
      <c r="F20" s="7"/>
      <c r="G20" s="7"/>
      <c r="H20" s="7"/>
      <c r="I20" s="7">
        <v>9.6896119578325834E-2</v>
      </c>
      <c r="J20" s="7"/>
      <c r="K20" s="7"/>
    </row>
    <row r="21" spans="1:23" x14ac:dyDescent="0.35">
      <c r="A21" s="3" t="s">
        <v>88</v>
      </c>
      <c r="B21" s="7"/>
      <c r="C21" s="7"/>
      <c r="D21" s="7"/>
      <c r="E21" s="7"/>
      <c r="F21" s="7"/>
      <c r="G21" s="7"/>
      <c r="H21" s="7"/>
      <c r="I21" s="7"/>
      <c r="J21" s="7"/>
      <c r="K21" s="7">
        <v>6.8397319470522966E-2</v>
      </c>
    </row>
    <row r="22" spans="1:23" x14ac:dyDescent="0.35">
      <c r="A22" s="3" t="s">
        <v>78</v>
      </c>
      <c r="B22" s="7"/>
      <c r="C22" s="7"/>
      <c r="D22" s="7"/>
      <c r="E22" s="7"/>
      <c r="F22" s="7">
        <v>9.8241009155398171E-2</v>
      </c>
      <c r="G22" s="7"/>
      <c r="H22" s="7"/>
      <c r="I22" s="7"/>
      <c r="J22" s="7"/>
      <c r="K22" s="7"/>
    </row>
    <row r="23" spans="1:23" x14ac:dyDescent="0.35">
      <c r="A23" s="3" t="s">
        <v>80</v>
      </c>
      <c r="B23" s="7">
        <v>4.7426625718030961E-2</v>
      </c>
      <c r="C23" s="7"/>
      <c r="D23" s="7"/>
      <c r="E23" s="7"/>
      <c r="F23" s="7"/>
      <c r="G23" s="7"/>
      <c r="H23" s="7"/>
      <c r="I23" s="7"/>
      <c r="J23" s="7"/>
      <c r="K23" s="7"/>
    </row>
    <row r="24" spans="1:23" x14ac:dyDescent="0.35">
      <c r="A24" s="3" t="s">
        <v>82</v>
      </c>
      <c r="B24" s="7"/>
      <c r="C24" s="7">
        <v>4.178071928534096E-2</v>
      </c>
      <c r="D24" s="7"/>
      <c r="E24" s="7"/>
      <c r="F24" s="7"/>
      <c r="G24" s="7"/>
      <c r="H24" s="7"/>
      <c r="I24" s="7"/>
      <c r="J24" s="7"/>
      <c r="K24" s="7"/>
    </row>
    <row r="25" spans="1:23" x14ac:dyDescent="0.35">
      <c r="A25" s="3" t="s">
        <v>76</v>
      </c>
      <c r="B25" s="7"/>
      <c r="C25" s="7"/>
      <c r="D25" s="7"/>
      <c r="E25" s="7"/>
      <c r="F25" s="7"/>
      <c r="G25" s="7"/>
      <c r="H25" s="7"/>
      <c r="I25" s="7"/>
      <c r="J25" s="7">
        <v>0.17502703482289086</v>
      </c>
      <c r="K25" s="7"/>
    </row>
    <row r="26" spans="1:23" x14ac:dyDescent="0.35">
      <c r="A26" s="3" t="s">
        <v>81</v>
      </c>
      <c r="B26" s="7"/>
      <c r="C26" s="7"/>
      <c r="D26" s="7">
        <v>0.11856673518754952</v>
      </c>
      <c r="E26" s="7"/>
      <c r="F26" s="7"/>
      <c r="G26" s="7"/>
      <c r="H26" s="7"/>
      <c r="I26" s="7"/>
      <c r="J26" s="7"/>
      <c r="K26" s="7"/>
    </row>
    <row r="27" spans="1:23" x14ac:dyDescent="0.35">
      <c r="A27" s="3" t="s">
        <v>83</v>
      </c>
      <c r="B27" s="7"/>
      <c r="C27" s="7"/>
      <c r="D27" s="7"/>
      <c r="E27" s="7"/>
      <c r="F27" s="7"/>
      <c r="G27" s="7"/>
      <c r="H27" s="7">
        <v>7.0575417267294702E-2</v>
      </c>
      <c r="I27" s="7"/>
      <c r="J27" s="7"/>
      <c r="K27" s="7"/>
    </row>
  </sheetData>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D18"/>
  <sheetViews>
    <sheetView topLeftCell="A11" workbookViewId="0">
      <selection activeCell="B18" sqref="B18"/>
    </sheetView>
  </sheetViews>
  <sheetFormatPr defaultRowHeight="14.5" x14ac:dyDescent="0.35"/>
  <cols>
    <col min="1" max="1" width="39.7265625" bestFit="1" customWidth="1"/>
    <col min="2" max="2" width="16.26953125" bestFit="1" customWidth="1"/>
    <col min="3" max="3" width="5.54296875" bestFit="1" customWidth="1"/>
    <col min="4" max="4" width="5" bestFit="1" customWidth="1"/>
    <col min="5" max="5" width="18.453125" bestFit="1" customWidth="1"/>
    <col min="6" max="6" width="8.1796875" bestFit="1" customWidth="1"/>
    <col min="7" max="7" width="7.81640625" bestFit="1" customWidth="1"/>
    <col min="8" max="8" width="11.26953125" bestFit="1" customWidth="1"/>
  </cols>
  <sheetData>
    <row r="3" spans="1:3" x14ac:dyDescent="0.35">
      <c r="A3" s="2" t="s">
        <v>95</v>
      </c>
      <c r="B3" s="2" t="s">
        <v>60</v>
      </c>
    </row>
    <row r="4" spans="1:3" x14ac:dyDescent="0.35">
      <c r="A4" s="2" t="s">
        <v>58</v>
      </c>
      <c r="B4">
        <v>2018</v>
      </c>
      <c r="C4">
        <v>2022</v>
      </c>
    </row>
    <row r="5" spans="1:3" x14ac:dyDescent="0.35">
      <c r="A5" s="3" t="s">
        <v>8</v>
      </c>
      <c r="B5" s="5"/>
      <c r="C5" s="7">
        <v>0.11527757342129488</v>
      </c>
    </row>
    <row r="6" spans="1:3" x14ac:dyDescent="0.35">
      <c r="A6" s="3" t="s">
        <v>25</v>
      </c>
      <c r="B6" s="5"/>
      <c r="C6" s="7">
        <v>-0.35222595079829983</v>
      </c>
    </row>
    <row r="7" spans="1:3" x14ac:dyDescent="0.35">
      <c r="A7" s="3" t="s">
        <v>18</v>
      </c>
      <c r="B7" s="5"/>
      <c r="C7" s="7">
        <v>0.19140557343275691</v>
      </c>
    </row>
    <row r="8" spans="1:3" x14ac:dyDescent="0.35">
      <c r="A8" s="3" t="s">
        <v>30</v>
      </c>
      <c r="B8" s="5"/>
      <c r="C8" s="7">
        <v>2.7581984297070781</v>
      </c>
    </row>
    <row r="9" spans="1:3" x14ac:dyDescent="0.35">
      <c r="A9" s="3" t="s">
        <v>55</v>
      </c>
      <c r="B9" s="5"/>
      <c r="C9" s="7">
        <v>-0.11045145375336446</v>
      </c>
    </row>
    <row r="12" spans="1:3" x14ac:dyDescent="0.35">
      <c r="A12" s="2" t="s">
        <v>4</v>
      </c>
      <c r="B12" s="3">
        <v>2023</v>
      </c>
    </row>
    <row r="13" spans="1:3" x14ac:dyDescent="0.35">
      <c r="A13" s="2" t="s">
        <v>5</v>
      </c>
      <c r="B13" s="3">
        <v>3</v>
      </c>
    </row>
    <row r="15" spans="1:3" x14ac:dyDescent="0.35">
      <c r="A15" s="2" t="s">
        <v>58</v>
      </c>
      <c r="B15" t="s">
        <v>97</v>
      </c>
    </row>
    <row r="16" spans="1:3" x14ac:dyDescent="0.35">
      <c r="A16" s="3" t="s">
        <v>30</v>
      </c>
      <c r="B16" s="10">
        <v>850749</v>
      </c>
    </row>
    <row r="18" spans="1:4" x14ac:dyDescent="0.35">
      <c r="A18" t="s">
        <v>96</v>
      </c>
      <c r="B18" s="9">
        <f>GETPIVOTDATA("Units MAT",$A$15,"Subcategory","Organic")*(1+20%)</f>
        <v>1020898.7999999999</v>
      </c>
    </row>
  </sheetData>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D81E5-78D4-4821-918A-334C542621C8}">
  <dimension ref="A1:I5"/>
  <sheetViews>
    <sheetView topLeftCell="B1" workbookViewId="0">
      <selection activeCell="N3" sqref="N3"/>
    </sheetView>
  </sheetViews>
  <sheetFormatPr defaultRowHeight="14.5" x14ac:dyDescent="0.35"/>
  <cols>
    <col min="1" max="1" width="13.08984375" bestFit="1" customWidth="1"/>
    <col min="2" max="2" width="27.7265625" style="7" bestFit="1" customWidth="1"/>
    <col min="3" max="3" width="24.81640625" bestFit="1" customWidth="1"/>
    <col min="4" max="4" width="10.6328125" style="18" bestFit="1" customWidth="1"/>
    <col min="5" max="5" width="11.26953125" bestFit="1" customWidth="1"/>
    <col min="6" max="6" width="7.7265625" style="18" bestFit="1" customWidth="1"/>
    <col min="7" max="7" width="20.26953125" bestFit="1" customWidth="1"/>
    <col min="8" max="8" width="23.6328125" bestFit="1" customWidth="1"/>
    <col min="9" max="9" width="15.36328125" style="7" bestFit="1" customWidth="1"/>
  </cols>
  <sheetData>
    <row r="1" spans="1:9" x14ac:dyDescent="0.35">
      <c r="A1" t="s">
        <v>68</v>
      </c>
      <c r="B1" s="7" t="s">
        <v>100</v>
      </c>
      <c r="C1" t="s">
        <v>101</v>
      </c>
      <c r="D1" s="18" t="s">
        <v>72</v>
      </c>
      <c r="E1" t="s">
        <v>102</v>
      </c>
      <c r="F1" s="18" t="s">
        <v>73</v>
      </c>
      <c r="G1" t="s">
        <v>94</v>
      </c>
      <c r="H1" t="s">
        <v>90</v>
      </c>
      <c r="I1" s="7" t="s">
        <v>91</v>
      </c>
    </row>
    <row r="2" spans="1:9" x14ac:dyDescent="0.35">
      <c r="A2" t="s">
        <v>103</v>
      </c>
      <c r="B2" s="7">
        <v>0.1</v>
      </c>
      <c r="C2" s="19">
        <f>'New Category Opportunity'!$B$18*new_product_launch[[#This Row],[Estimated Unit Market Share]]</f>
        <v>102089.88</v>
      </c>
      <c r="D2" s="18">
        <v>3.5</v>
      </c>
      <c r="E2" s="18">
        <f>new_product_launch[[#This Row],[Estimated units sold 2024]]*new_product_launch[[#This Row],[Net Price]]</f>
        <v>357314.58</v>
      </c>
      <c r="F2" s="18">
        <v>1.35</v>
      </c>
      <c r="G2" s="18">
        <f>new_product_launch[[#This Row],[Net Price]]-new_product_launch[[#This Row],[COGS]]</f>
        <v>2.15</v>
      </c>
      <c r="H2" s="18">
        <f>new_product_launch[[#This Row],[Gross Profit per unit]]*new_product_launch[[#This Row],[Estimated units sold 2024]]</f>
        <v>219493.242</v>
      </c>
      <c r="I2" s="7">
        <f>new_product_launch[[#This Row],[Gross Profit per product]]/new_product_launch[[#This Row],[Net Sales]]</f>
        <v>0.61428571428571421</v>
      </c>
    </row>
    <row r="3" spans="1:9" x14ac:dyDescent="0.35">
      <c r="A3" t="s">
        <v>104</v>
      </c>
      <c r="B3" s="7">
        <v>0.12</v>
      </c>
      <c r="C3" s="19">
        <f>'New Category Opportunity'!$B$18*new_product_launch[[#This Row],[Estimated Unit Market Share]]</f>
        <v>122507.85599999999</v>
      </c>
      <c r="D3" s="18">
        <v>2.75</v>
      </c>
      <c r="E3" s="18">
        <f>new_product_launch[[#This Row],[Estimated units sold 2024]]*new_product_launch[[#This Row],[Net Price]]</f>
        <v>336896.60399999993</v>
      </c>
      <c r="F3" s="18">
        <v>0.9</v>
      </c>
      <c r="G3" s="18">
        <f>new_product_launch[[#This Row],[Net Price]]-new_product_launch[[#This Row],[COGS]]</f>
        <v>1.85</v>
      </c>
      <c r="H3" s="18">
        <f>new_product_launch[[#This Row],[Gross Profit per unit]]*new_product_launch[[#This Row],[Estimated units sold 2024]]</f>
        <v>226639.5336</v>
      </c>
      <c r="I3" s="7">
        <f>new_product_launch[[#This Row],[Gross Profit per product]]/new_product_launch[[#This Row],[Net Sales]]</f>
        <v>0.67272727272727284</v>
      </c>
    </row>
    <row r="5" spans="1:9" x14ac:dyDescent="0.35"/>
  </sheetData>
  <pageMargins left="0.7" right="0.7" top="0.75" bottom="0.75" header="0.3" footer="0.3"/>
  <legacyDrawing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EA78-16B3-4874-8DFA-84432E8DB1D9}">
  <dimension ref="A1:M14"/>
  <sheetViews>
    <sheetView topLeftCell="B1" workbookViewId="0">
      <selection activeCell="I12" sqref="I12"/>
    </sheetView>
  </sheetViews>
  <sheetFormatPr defaultRowHeight="14.5" x14ac:dyDescent="0.35"/>
  <cols>
    <col min="1" max="1" width="8.453125" bestFit="1" customWidth="1"/>
    <col min="2" max="2" width="10.7265625" bestFit="1" customWidth="1"/>
    <col min="3" max="3" width="15.54296875" bestFit="1" customWidth="1"/>
    <col min="4" max="4" width="24.54296875" bestFit="1" customWidth="1"/>
    <col min="5" max="5" width="14.1796875" style="8" bestFit="1" customWidth="1"/>
    <col min="6" max="6" width="12.26953125" style="8" bestFit="1" customWidth="1"/>
    <col min="7" max="7" width="9.1796875" style="8" bestFit="1" customWidth="1"/>
    <col min="8" max="8" width="15.7265625" style="9" bestFit="1" customWidth="1"/>
    <col min="9" max="9" width="15" bestFit="1" customWidth="1"/>
    <col min="10" max="10" width="20.26953125" bestFit="1" customWidth="1"/>
    <col min="11" max="11" width="23.6328125" bestFit="1" customWidth="1"/>
    <col min="12" max="12" width="14.1796875" bestFit="1" customWidth="1"/>
    <col min="13" max="13" width="13" bestFit="1" customWidth="1"/>
  </cols>
  <sheetData>
    <row r="1" spans="1:13" x14ac:dyDescent="0.35">
      <c r="A1" t="s">
        <v>2</v>
      </c>
      <c r="B1" t="s">
        <v>68</v>
      </c>
      <c r="C1" t="s">
        <v>69</v>
      </c>
      <c r="D1" t="s">
        <v>70</v>
      </c>
      <c r="E1" s="8" t="s">
        <v>71</v>
      </c>
      <c r="F1" s="8" t="s">
        <v>72</v>
      </c>
      <c r="G1" s="8" t="s">
        <v>73</v>
      </c>
      <c r="H1" s="9" t="s">
        <v>74</v>
      </c>
      <c r="I1" t="s">
        <v>99</v>
      </c>
      <c r="J1" t="s">
        <v>94</v>
      </c>
      <c r="K1" t="s">
        <v>90</v>
      </c>
      <c r="L1" t="s">
        <v>91</v>
      </c>
      <c r="M1" t="s">
        <v>105</v>
      </c>
    </row>
    <row r="2" spans="1:13" x14ac:dyDescent="0.3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20">
        <f>internal_sales_data5[[#This Row],[Retail Price]]/internal_sales_data5[[#This Row],[Pack Size (ml)]]</f>
        <v>0.05</v>
      </c>
    </row>
    <row r="3" spans="1:13" x14ac:dyDescent="0.3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20">
        <f>internal_sales_data5[[#This Row],[Retail Price]]/internal_sales_data5[[#This Row],[Pack Size (ml)]]</f>
        <v>0.05</v>
      </c>
    </row>
    <row r="4" spans="1:13" x14ac:dyDescent="0.3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20">
        <f>internal_sales_data5[[#This Row],[Retail Price]]/internal_sales_data5[[#This Row],[Pack Size (ml)]]</f>
        <v>0.05</v>
      </c>
    </row>
    <row r="5" spans="1:13" x14ac:dyDescent="0.3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20">
        <f>internal_sales_data5[[#This Row],[Retail Price]]/internal_sales_data5[[#This Row],[Pack Size (ml)]]</f>
        <v>4.6666666666666669E-2</v>
      </c>
    </row>
    <row r="6" spans="1:13" x14ac:dyDescent="0.3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20">
        <f>internal_sales_data5[[#This Row],[Retail Price]]/internal_sales_data5[[#This Row],[Pack Size (ml)]]</f>
        <v>4.8333333333333332E-2</v>
      </c>
    </row>
    <row r="7" spans="1:13" x14ac:dyDescent="0.3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20">
        <f>internal_sales_data5[[#This Row],[Retail Price]]/internal_sales_data5[[#This Row],[Pack Size (ml)]]</f>
        <v>4.4999999999999998E-2</v>
      </c>
    </row>
    <row r="8" spans="1:13" x14ac:dyDescent="0.3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20">
        <f>internal_sales_data5[[#This Row],[Retail Price]]/internal_sales_data5[[#This Row],[Pack Size (ml)]]</f>
        <v>0.06</v>
      </c>
    </row>
    <row r="9" spans="1:13" x14ac:dyDescent="0.3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20">
        <f>internal_sales_data5[[#This Row],[Retail Price]]/internal_sales_data5[[#This Row],[Pack Size (ml)]]</f>
        <v>5.6000000000000001E-2</v>
      </c>
    </row>
    <row r="10" spans="1:13" x14ac:dyDescent="0.3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20">
        <f>internal_sales_data5[[#This Row],[Retail Price]]/internal_sales_data5[[#This Row],[Pack Size (ml)]]</f>
        <v>5.3333333333333337E-2</v>
      </c>
    </row>
    <row r="11" spans="1:13" x14ac:dyDescent="0.3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20">
        <f>internal_sales_data5[[#This Row],[Retail Price]]/internal_sales_data5[[#This Row],[Pack Size (ml)]]</f>
        <v>0.05</v>
      </c>
    </row>
    <row r="12" spans="1:13" x14ac:dyDescent="0.35">
      <c r="A12" t="s">
        <v>57</v>
      </c>
      <c r="B12" t="s">
        <v>75</v>
      </c>
      <c r="C12">
        <v>50</v>
      </c>
      <c r="D12" t="s">
        <v>106</v>
      </c>
      <c r="E12" s="12">
        <f>M2*1.5*internal_sales_data5[[#This Row],[Pack Size (ml)]]</f>
        <v>3.7500000000000004</v>
      </c>
      <c r="F12" s="12">
        <v>2.2999999999999998</v>
      </c>
      <c r="G12" s="12">
        <v>0.75</v>
      </c>
      <c r="H12" s="9">
        <f>H2/10</f>
        <v>115634.8</v>
      </c>
      <c r="I12" s="6">
        <f>internal_sales_data5[[#This Row],[Volume 2022]]*internal_sales_data5[[#This Row],[Net Price]]</f>
        <v>265960.03999999998</v>
      </c>
      <c r="J12" s="12">
        <f>internal_sales_data5[[#This Row],[Net Price]]-internal_sales_data5[[#This Row],[COGS]]</f>
        <v>1.5499999999999998</v>
      </c>
      <c r="K12" s="6">
        <f>internal_sales_data5[[#This Row],[Gross Profit per unit]]*internal_sales_data5[[#This Row],[Volume 2022]]</f>
        <v>179233.93999999997</v>
      </c>
      <c r="L12" s="14">
        <f>internal_sales_data5[[#This Row],[Gross Profit per unit]]/internal_sales_data5[[#This Row],[Net Price]]</f>
        <v>0.67391304347826086</v>
      </c>
      <c r="M12" s="20">
        <f>internal_sales_data5[[#This Row],[Retail Price]]/internal_sales_data5[[#This Row],[Pack Size (ml)]]</f>
        <v>7.5000000000000011E-2</v>
      </c>
    </row>
    <row r="14" spans="1:13" x14ac:dyDescent="0.35"/>
  </sheetData>
  <pageMargins left="0.7" right="0.7" top="0.75" bottom="0.75" header="0.3" footer="0.3"/>
  <legacy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295F-FFD1-424A-8C3E-5909F799FA41}">
  <dimension ref="A1:B16"/>
  <sheetViews>
    <sheetView workbookViewId="0">
      <selection activeCell="C9" sqref="C9"/>
    </sheetView>
  </sheetViews>
  <sheetFormatPr defaultRowHeight="14.5" x14ac:dyDescent="0.35"/>
  <cols>
    <col min="1" max="1" width="19" bestFit="1" customWidth="1"/>
    <col min="2" max="2" width="15.26953125" bestFit="1" customWidth="1"/>
    <col min="3" max="4" width="9.81640625" bestFit="1" customWidth="1"/>
    <col min="5" max="5" width="10.81640625" bestFit="1" customWidth="1"/>
    <col min="6" max="8" width="9.81640625" bestFit="1" customWidth="1"/>
    <col min="9" max="9" width="10.81640625" bestFit="1" customWidth="1"/>
    <col min="10" max="11" width="9.81640625" bestFit="1" customWidth="1"/>
    <col min="12" max="12" width="10.81640625" bestFit="1" customWidth="1"/>
    <col min="13" max="13" width="9.81640625" bestFit="1" customWidth="1"/>
    <col min="14" max="14" width="12.26953125" bestFit="1" customWidth="1"/>
  </cols>
  <sheetData>
    <row r="1" spans="1:2" x14ac:dyDescent="0.35">
      <c r="A1" s="2" t="s">
        <v>4</v>
      </c>
      <c r="B1" s="3">
        <v>2022</v>
      </c>
    </row>
    <row r="3" spans="1:2" x14ac:dyDescent="0.35">
      <c r="A3" s="2" t="s">
        <v>61</v>
      </c>
      <c r="B3" s="2" t="s">
        <v>60</v>
      </c>
    </row>
    <row r="4" spans="1:2" x14ac:dyDescent="0.35">
      <c r="A4" s="2" t="s">
        <v>58</v>
      </c>
      <c r="B4" t="s">
        <v>22</v>
      </c>
    </row>
    <row r="5" spans="1:2" x14ac:dyDescent="0.35">
      <c r="A5" s="3">
        <v>1</v>
      </c>
      <c r="B5" s="1">
        <v>849590</v>
      </c>
    </row>
    <row r="6" spans="1:2" x14ac:dyDescent="0.35">
      <c r="A6" s="3">
        <v>2</v>
      </c>
      <c r="B6" s="1">
        <v>822290</v>
      </c>
    </row>
    <row r="7" spans="1:2" x14ac:dyDescent="0.35">
      <c r="A7" s="3">
        <v>3</v>
      </c>
      <c r="B7" s="1">
        <v>827649</v>
      </c>
    </row>
    <row r="8" spans="1:2" x14ac:dyDescent="0.35">
      <c r="A8" s="3">
        <v>4</v>
      </c>
      <c r="B8" s="1">
        <v>1445626</v>
      </c>
    </row>
    <row r="9" spans="1:2" x14ac:dyDescent="0.35">
      <c r="A9" s="3">
        <v>5</v>
      </c>
      <c r="B9" s="1">
        <v>874089</v>
      </c>
    </row>
    <row r="10" spans="1:2" x14ac:dyDescent="0.35">
      <c r="A10" s="3">
        <v>6</v>
      </c>
      <c r="B10" s="1">
        <v>876087</v>
      </c>
    </row>
    <row r="11" spans="1:2" x14ac:dyDescent="0.35">
      <c r="A11" s="3">
        <v>7</v>
      </c>
      <c r="B11" s="1">
        <v>842454</v>
      </c>
    </row>
    <row r="12" spans="1:2" x14ac:dyDescent="0.35">
      <c r="A12" s="3">
        <v>8</v>
      </c>
      <c r="B12" s="1">
        <v>1198708</v>
      </c>
    </row>
    <row r="13" spans="1:2" x14ac:dyDescent="0.35">
      <c r="A13" s="3">
        <v>9</v>
      </c>
      <c r="B13" s="1">
        <v>853650</v>
      </c>
    </row>
    <row r="14" spans="1:2" x14ac:dyDescent="0.35">
      <c r="A14" s="3">
        <v>10</v>
      </c>
      <c r="B14" s="1">
        <v>816480</v>
      </c>
    </row>
    <row r="15" spans="1:2" x14ac:dyDescent="0.35">
      <c r="A15" s="3">
        <v>11</v>
      </c>
      <c r="B15" s="1">
        <v>1413646</v>
      </c>
    </row>
    <row r="16" spans="1:2" x14ac:dyDescent="0.35">
      <c r="A16" s="3">
        <v>12</v>
      </c>
      <c r="B16" s="1">
        <v>805231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E1666-7B8D-49A7-BB0B-C11125D52935}">
  <dimension ref="A1:J4"/>
  <sheetViews>
    <sheetView workbookViewId="0">
      <selection activeCell="J2" sqref="J2"/>
    </sheetView>
  </sheetViews>
  <sheetFormatPr defaultRowHeight="14.5" x14ac:dyDescent="0.35"/>
  <cols>
    <col min="1" max="1" width="12.54296875" bestFit="1" customWidth="1"/>
    <col min="2" max="2" width="15.6328125" bestFit="1" customWidth="1"/>
    <col min="3" max="3" width="8.08984375" bestFit="1" customWidth="1"/>
    <col min="4" max="4" width="6.81640625" bestFit="1" customWidth="1"/>
    <col min="5" max="5" width="8.81640625" bestFit="1" customWidth="1"/>
    <col min="6" max="6" width="12.7265625" style="18" bestFit="1" customWidth="1"/>
    <col min="7" max="7" width="15" style="18" bestFit="1" customWidth="1"/>
    <col min="8" max="8" width="11.26953125" bestFit="1" customWidth="1"/>
    <col min="9" max="9" width="7.6328125" bestFit="1" customWidth="1"/>
    <col min="10" max="10" width="6.08984375" style="14" bestFit="1" customWidth="1"/>
  </cols>
  <sheetData>
    <row r="1" spans="1:10" x14ac:dyDescent="0.35">
      <c r="A1" t="s">
        <v>107</v>
      </c>
      <c r="B1" t="s">
        <v>108</v>
      </c>
      <c r="C1" t="s">
        <v>2</v>
      </c>
      <c r="D1" t="s">
        <v>4</v>
      </c>
      <c r="E1" t="s">
        <v>5</v>
      </c>
      <c r="F1" s="18" t="s">
        <v>109</v>
      </c>
      <c r="G1" s="18" t="s">
        <v>110</v>
      </c>
      <c r="H1" t="s">
        <v>111</v>
      </c>
      <c r="I1" t="s">
        <v>112</v>
      </c>
      <c r="J1" s="14" t="s">
        <v>113</v>
      </c>
    </row>
    <row r="2" spans="1:10" x14ac:dyDescent="0.35">
      <c r="A2">
        <v>1</v>
      </c>
      <c r="B2" t="s">
        <v>114</v>
      </c>
      <c r="C2" t="s">
        <v>22</v>
      </c>
      <c r="D2">
        <v>2022</v>
      </c>
      <c r="E2">
        <v>4</v>
      </c>
      <c r="F2" s="18">
        <f>VLOOKUP(promotion_analysis[[#This Row],[Month]],'Promotion Graph'!$A$5:$B$16,2,FALSE)</f>
        <v>1445626</v>
      </c>
      <c r="G2" s="18">
        <f>AVERAGE('Promotion Graph'!$B$5:$B$7,'Promotion Graph'!$B$9:$B$11,'Promotion Graph'!$B$13:$B$14,'Promotion Graph'!$B$16)</f>
        <v>840835.5555555555</v>
      </c>
      <c r="H2" s="18">
        <f>promotion_analysis[[#This Row],[Value sales]]-promotion_analysis[[#This Row],[Baseline sales ]]</f>
        <v>604790.4444444445</v>
      </c>
      <c r="I2">
        <v>620000</v>
      </c>
      <c r="J2" s="14">
        <f>(promotion_analysis[[#This Row],[Uplift]]-promotion_analysis[[#This Row],[Costs]])/promotion_analysis[[#This Row],[Costs]]</f>
        <v>-2.453154121863791E-2</v>
      </c>
    </row>
    <row r="3" spans="1:10" x14ac:dyDescent="0.35">
      <c r="A3">
        <v>2</v>
      </c>
      <c r="B3" t="s">
        <v>115</v>
      </c>
      <c r="C3" t="s">
        <v>22</v>
      </c>
      <c r="D3">
        <v>2022</v>
      </c>
      <c r="E3">
        <v>8</v>
      </c>
      <c r="F3" s="18">
        <f>VLOOKUP(promotion_analysis[[#This Row],[Month]],'Promotion Graph'!$A$5:$B$16,2,FALSE)</f>
        <v>1198708</v>
      </c>
      <c r="G3" s="18">
        <f>AVERAGE('Promotion Graph'!$B$5:$B$7,'Promotion Graph'!$B$9:$B$11,'Promotion Graph'!$B$13:$B$14,'Promotion Graph'!$B$16)</f>
        <v>840835.5555555555</v>
      </c>
      <c r="H3" s="18">
        <f>promotion_analysis[[#This Row],[Value sales]]-promotion_analysis[[#This Row],[Baseline sales ]]</f>
        <v>357872.4444444445</v>
      </c>
      <c r="I3">
        <v>320000</v>
      </c>
      <c r="J3" s="14">
        <f>(promotion_analysis[[#This Row],[Uplift]]-promotion_analysis[[#This Row],[Costs]])/promotion_analysis[[#This Row],[Costs]]</f>
        <v>0.11835138888888905</v>
      </c>
    </row>
    <row r="4" spans="1:10" x14ac:dyDescent="0.35">
      <c r="A4">
        <v>3</v>
      </c>
      <c r="B4" t="s">
        <v>116</v>
      </c>
      <c r="C4" t="s">
        <v>22</v>
      </c>
      <c r="D4">
        <v>2022</v>
      </c>
      <c r="E4">
        <v>11</v>
      </c>
      <c r="F4" s="18">
        <f>VLOOKUP(promotion_analysis[[#This Row],[Month]],'Promotion Graph'!$A$5:$B$16,2,FALSE)</f>
        <v>1413646</v>
      </c>
      <c r="G4" s="18">
        <f>AVERAGE('Promotion Graph'!$B$5:$B$7,'Promotion Graph'!$B$9:$B$11,'Promotion Graph'!$B$13:$B$14,'Promotion Graph'!$B$16)</f>
        <v>840835.5555555555</v>
      </c>
      <c r="H4" s="18">
        <f>promotion_analysis[[#This Row],[Value sales]]-promotion_analysis[[#This Row],[Baseline sales ]]</f>
        <v>572810.4444444445</v>
      </c>
      <c r="I4">
        <v>540000</v>
      </c>
      <c r="J4" s="14">
        <f>(promotion_analysis[[#This Row],[Uplift]]-promotion_analysis[[#This Row],[Costs]])/promotion_analysis[[#This Row],[Costs]]</f>
        <v>6.0760082304526848E-2</v>
      </c>
    </row>
  </sheetData>
  <pageMargins left="0.7" right="0.7" top="0.75" bottom="0.75" header="0.3" footer="0.3"/>
  <legacy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85B8C-59B2-4072-ADCD-5FE36C2267F3}">
  <dimension ref="A3:F5"/>
  <sheetViews>
    <sheetView workbookViewId="0">
      <selection activeCell="B5" sqref="A3:F5"/>
    </sheetView>
  </sheetViews>
  <sheetFormatPr defaultRowHeight="14.5" x14ac:dyDescent="0.35"/>
  <cols>
    <col min="1" max="1" width="19" bestFit="1" customWidth="1"/>
    <col min="2" max="2" width="15.26953125" bestFit="1" customWidth="1"/>
    <col min="3" max="6" width="12.26953125" bestFit="1" customWidth="1"/>
    <col min="7" max="7" width="10.81640625" bestFit="1" customWidth="1"/>
    <col min="8" max="8" width="13.36328125" bestFit="1" customWidth="1"/>
  </cols>
  <sheetData>
    <row r="3" spans="1:6" x14ac:dyDescent="0.35">
      <c r="A3" s="2" t="s">
        <v>61</v>
      </c>
      <c r="B3" s="2" t="s">
        <v>60</v>
      </c>
    </row>
    <row r="4" spans="1:6" x14ac:dyDescent="0.35">
      <c r="A4" s="2" t="s">
        <v>58</v>
      </c>
      <c r="B4">
        <v>2018</v>
      </c>
      <c r="C4">
        <v>2019</v>
      </c>
      <c r="D4">
        <v>2020</v>
      </c>
      <c r="E4">
        <v>2021</v>
      </c>
      <c r="F4">
        <v>2022</v>
      </c>
    </row>
    <row r="5" spans="1:6" x14ac:dyDescent="0.35">
      <c r="A5" s="3" t="s">
        <v>21</v>
      </c>
      <c r="B5" s="1">
        <v>30685269</v>
      </c>
      <c r="C5" s="1">
        <v>29261549</v>
      </c>
      <c r="D5" s="1">
        <v>30370933</v>
      </c>
      <c r="E5" s="1">
        <v>30710796</v>
      </c>
      <c r="F5" s="1">
        <v>31442892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B3137-8D6D-4E92-AF68-7B514A8889B7}">
  <dimension ref="A1:G8"/>
  <sheetViews>
    <sheetView workbookViewId="0">
      <selection activeCell="F8" sqref="F8"/>
    </sheetView>
  </sheetViews>
  <sheetFormatPr defaultRowHeight="14.5" x14ac:dyDescent="0.35"/>
  <cols>
    <col min="1" max="1" width="12.08984375" customWidth="1"/>
    <col min="2" max="2" width="15.36328125" bestFit="1" customWidth="1"/>
    <col min="3" max="3" width="20.36328125" customWidth="1"/>
    <col min="4" max="4" width="34.08984375" customWidth="1"/>
    <col min="5" max="5" width="34.1796875" customWidth="1"/>
    <col min="6" max="6" width="12.26953125" bestFit="1" customWidth="1"/>
  </cols>
  <sheetData>
    <row r="1" spans="1:7" x14ac:dyDescent="0.35">
      <c r="A1" t="s">
        <v>58</v>
      </c>
      <c r="B1" t="s">
        <v>120</v>
      </c>
      <c r="C1" t="s">
        <v>117</v>
      </c>
      <c r="D1" t="s">
        <v>118</v>
      </c>
      <c r="E1" t="s">
        <v>119</v>
      </c>
      <c r="F1" t="s">
        <v>102</v>
      </c>
      <c r="G1" t="s">
        <v>121</v>
      </c>
    </row>
    <row r="2" spans="1:7" x14ac:dyDescent="0.35">
      <c r="A2">
        <v>2018</v>
      </c>
      <c r="B2" s="1">
        <v>30685269</v>
      </c>
      <c r="F2" s="1"/>
      <c r="G2" s="1"/>
    </row>
    <row r="3" spans="1:7" x14ac:dyDescent="0.35">
      <c r="A3">
        <v>2019</v>
      </c>
      <c r="B3" s="1">
        <v>29261549</v>
      </c>
      <c r="F3" s="1"/>
      <c r="G3" s="1"/>
    </row>
    <row r="4" spans="1:7" x14ac:dyDescent="0.35">
      <c r="A4">
        <v>2020</v>
      </c>
      <c r="B4" s="1">
        <v>30370933</v>
      </c>
      <c r="F4" s="1"/>
      <c r="G4" s="1"/>
    </row>
    <row r="5" spans="1:7" x14ac:dyDescent="0.35">
      <c r="A5">
        <v>2021</v>
      </c>
      <c r="B5" s="1">
        <v>30710796</v>
      </c>
      <c r="F5" s="1"/>
      <c r="G5" s="1"/>
    </row>
    <row r="6" spans="1:7" x14ac:dyDescent="0.35">
      <c r="A6">
        <v>2022</v>
      </c>
      <c r="B6" s="1">
        <v>31442892</v>
      </c>
      <c r="C6" s="1">
        <v>31442892</v>
      </c>
      <c r="D6" s="1">
        <v>31442892</v>
      </c>
      <c r="E6" s="1">
        <v>31442892</v>
      </c>
      <c r="F6" s="1">
        <f>internal_sales_data[[#Totals],[Net Sales 2022]]</f>
        <v>20480714.900000002</v>
      </c>
      <c r="G6" s="14">
        <f>Table8[[#This Row],[Net Sales]]/Table8[[#This Row],[Market Values]]</f>
        <v>0.65136231425531732</v>
      </c>
    </row>
    <row r="7" spans="1:7" x14ac:dyDescent="0.35">
      <c r="A7">
        <v>2023</v>
      </c>
      <c r="C7" s="1">
        <f>_xlfn.FORECAST.ETS(A7,$B$2:$B$6,$A$2:$A$6,1,1)</f>
        <v>31635324.071610071</v>
      </c>
      <c r="D7" s="1">
        <f>C7-_xlfn.FORECAST.ETS.CONFINT(A7,$B$2:$B$6,$A$2:$A$6,0.95,1,1)</f>
        <v>30014004.36554271</v>
      </c>
      <c r="E7" s="1">
        <f>C7+_xlfn.FORECAST.ETS.CONFINT(A7,$B$2:$B$6,$A$2:$A$6,0.95,1,1)</f>
        <v>33256643.777677432</v>
      </c>
      <c r="F7" s="1">
        <f>Table8[[#This Row],[Forecast(HealthMax)]]*$G$6</f>
        <v>20606057.899500884</v>
      </c>
      <c r="G7" s="1"/>
    </row>
    <row r="8" spans="1:7" x14ac:dyDescent="0.35">
      <c r="A8">
        <v>2024</v>
      </c>
      <c r="C8" s="1">
        <f>_xlfn.FORECAST.ETS(A8,$B$2:$B$6,$A$2:$A$6,1,1)</f>
        <v>31946447.752088487</v>
      </c>
      <c r="D8" s="1">
        <f>C8-_xlfn.FORECAST.ETS.CONFINT(A8,$B$2:$B$6,$A$2:$A$6,0.95,1,1)</f>
        <v>30274835.684028216</v>
      </c>
      <c r="E8" s="1">
        <f>C8+_xlfn.FORECAST.ETS.CONFINT(A8,$B$2:$B$6,$A$2:$A$6,0.95,1,1)</f>
        <v>33618059.820148759</v>
      </c>
      <c r="F8" s="1">
        <f>Table8[[#This Row],[Forecast(HealthMax)]]*$G$6</f>
        <v>20808712.140036937</v>
      </c>
      <c r="G8" s="1"/>
    </row>
  </sheetData>
  <pageMargins left="0.7" right="0.7" top="0.75" bottom="0.75" header="0.3" footer="0.3"/>
  <drawing r:id="rId1"/>
  <legacyDrawing r:id="rId2"/>
  <tableParts count="1">
    <tablePart r:id="rId3"/>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DEC77-8409-4B7F-BA1A-0AF7BD33FEF5}">
  <dimension ref="A1:K5"/>
  <sheetViews>
    <sheetView tabSelected="1" workbookViewId="0">
      <selection activeCell="Q10" sqref="Q10"/>
    </sheetView>
  </sheetViews>
  <sheetFormatPr defaultRowHeight="14.5" x14ac:dyDescent="0.35"/>
  <cols>
    <col min="1" max="1" width="21.81640625" bestFit="1" customWidth="1"/>
    <col min="2" max="2" width="13.81640625" bestFit="1" customWidth="1"/>
    <col min="3" max="3" width="15.6328125" bestFit="1" customWidth="1"/>
    <col min="4" max="4" width="13.36328125" bestFit="1" customWidth="1"/>
    <col min="5" max="5" width="21.81640625" bestFit="1" customWidth="1"/>
  </cols>
  <sheetData>
    <row r="1" spans="1:11" x14ac:dyDescent="0.35">
      <c r="A1" t="s">
        <v>126</v>
      </c>
      <c r="B1" t="s">
        <v>125</v>
      </c>
      <c r="C1" t="s">
        <v>124</v>
      </c>
      <c r="D1" t="s">
        <v>123</v>
      </c>
      <c r="E1" t="s">
        <v>122</v>
      </c>
    </row>
    <row r="2" spans="1:11" x14ac:dyDescent="0.35">
      <c r="A2" s="18">
        <f>'Forecast 2024'!$F$7</f>
        <v>20606057.899500884</v>
      </c>
      <c r="B2" s="18">
        <f>'Forecast 2024'!$F$8 - 'Forecast 2024'!$F$7</f>
        <v>202654.24053605273</v>
      </c>
      <c r="C2" s="18">
        <f>'Organic Shampoo Launch'!E3</f>
        <v>336896.60399999993</v>
      </c>
      <c r="D2" s="18">
        <f>'50ml Shampoo 2024'!I12</f>
        <v>265960.03999999998</v>
      </c>
      <c r="E2" s="18">
        <f>SUM(A2:D2)</f>
        <v>21411568.784036934</v>
      </c>
    </row>
    <row r="5" spans="1:11" x14ac:dyDescent="0.35"/>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Brands per Supplier</vt:lpstr>
      <vt:lpstr>HealthMax Growth</vt:lpstr>
      <vt:lpstr>MAT Value Total Category</vt:lpstr>
      <vt:lpstr>Market Share</vt:lpstr>
      <vt:lpstr>Internal Sales Data</vt:lpstr>
      <vt:lpstr>Profitability Matrix</vt:lpstr>
      <vt:lpstr>New Category Opportunity</vt:lpstr>
      <vt:lpstr>Organic Shampoo Launch</vt:lpstr>
      <vt:lpstr>50ml Shampoo 2024</vt:lpstr>
      <vt:lpstr>Promotion Graph</vt:lpstr>
      <vt:lpstr>Promotion Analysis</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Shanmukhi Balagamsetty</dc:creator>
  <cp:lastModifiedBy>Balagamsetty, Shanmukhi</cp:lastModifiedBy>
  <dcterms:created xsi:type="dcterms:W3CDTF">2022-06-08T14:08:07Z</dcterms:created>
  <dcterms:modified xsi:type="dcterms:W3CDTF">2025-03-02T19:51:58Z</dcterms:modified>
</cp:coreProperties>
</file>