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a.sapre\Documents\MDO\EcoDesign-MDO_Research\EcoDesign-MDO_Research\Programs\"/>
    </mc:Choice>
  </mc:AlternateContent>
  <xr:revisionPtr revIDLastSave="0" documentId="13_ncr:1_{E130EB9E-7763-458F-8D18-B0EE970E3F43}" xr6:coauthVersionLast="47" xr6:coauthVersionMax="47" xr10:uidLastSave="{00000000-0000-0000-0000-000000000000}"/>
  <bookViews>
    <workbookView xWindow="28680" yWindow="-120" windowWidth="29040" windowHeight="17520" tabRatio="846" firstSheet="2" activeTab="10" xr2:uid="{00000000-000D-0000-FFFF-FFFF00000000}"/>
  </bookViews>
  <sheets>
    <sheet name="BTF + frac massique" sheetId="1" r:id="rId1"/>
    <sheet name="GHG_Emissions" sheetId="4" r:id="rId2"/>
    <sheet name="Energy_Consumption" sheetId="5" r:id="rId3"/>
    <sheet name="Manufacturing_waste" sheetId="11" r:id="rId4"/>
    <sheet name="Waste" sheetId="6" r:id="rId5"/>
    <sheet name="OWE_vs_Parameters" sheetId="8" r:id="rId6"/>
    <sheet name="Deliveries" sheetId="9" r:id="rId7"/>
    <sheet name="Total Impact 2023" sheetId="10" r:id="rId8"/>
    <sheet name="Score_1" sheetId="2" r:id="rId9"/>
    <sheet name="Score_2" sheetId="3" r:id="rId10"/>
    <sheet name="CeRAS" sheetId="12" r:id="rId11"/>
    <sheet name="Sheet1" sheetId="7" state="hidden" r:id="rId12"/>
  </sheets>
  <definedNames>
    <definedName name="_xlchart.v1.0" hidden="1">Sheet1!$A$2:$A$6</definedName>
    <definedName name="_xlchart.v1.1" hidden="1">Sheet1!$B$1</definedName>
    <definedName name="_xlchart.v1.2" hidden="1">Sheet1!$B$2:$B$6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j2rT4RC7snPTjEs0pAuFn7XcqJmQ=="/>
    </ext>
  </extLst>
</workbook>
</file>

<file path=xl/calcChain.xml><?xml version="1.0" encoding="utf-8"?>
<calcChain xmlns="http://schemas.openxmlformats.org/spreadsheetml/2006/main">
  <c r="J6" i="12" l="1"/>
  <c r="H6" i="12"/>
  <c r="H7" i="12"/>
  <c r="H8" i="12"/>
  <c r="H3" i="12"/>
  <c r="Q6" i="12"/>
  <c r="Q4" i="12"/>
  <c r="P6" i="12"/>
  <c r="O6" i="12"/>
  <c r="N6" i="12"/>
  <c r="P4" i="12"/>
  <c r="O4" i="12"/>
  <c r="N4" i="12"/>
  <c r="F24" i="10"/>
  <c r="F11" i="10"/>
  <c r="E3" i="11"/>
  <c r="E4" i="11"/>
  <c r="E5" i="11"/>
  <c r="E6" i="11"/>
  <c r="E7" i="11"/>
  <c r="E8" i="11"/>
  <c r="E9" i="11"/>
  <c r="E10" i="11"/>
  <c r="E11" i="11"/>
  <c r="E12" i="11"/>
  <c r="E2" i="11"/>
  <c r="D3" i="11"/>
  <c r="D4" i="11"/>
  <c r="D5" i="11"/>
  <c r="D6" i="11"/>
  <c r="D7" i="11"/>
  <c r="D8" i="11"/>
  <c r="D9" i="11"/>
  <c r="D10" i="11"/>
  <c r="D11" i="11"/>
  <c r="D12" i="11"/>
  <c r="D2" i="11"/>
  <c r="C3" i="11"/>
  <c r="C4" i="11"/>
  <c r="C5" i="11"/>
  <c r="C6" i="11"/>
  <c r="C7" i="11"/>
  <c r="C8" i="11"/>
  <c r="C9" i="11"/>
  <c r="C10" i="11"/>
  <c r="C11" i="11"/>
  <c r="C12" i="11"/>
  <c r="C2" i="11"/>
  <c r="B3" i="11"/>
  <c r="B4" i="11"/>
  <c r="B5" i="11"/>
  <c r="B6" i="11"/>
  <c r="B7" i="11"/>
  <c r="B8" i="11"/>
  <c r="B9" i="11"/>
  <c r="B10" i="11"/>
  <c r="B11" i="11"/>
  <c r="B12" i="11"/>
  <c r="B2" i="11"/>
  <c r="F12" i="11"/>
  <c r="L12" i="11"/>
  <c r="R12" i="11"/>
  <c r="K12" i="11"/>
  <c r="Q12" i="11"/>
  <c r="J12" i="11"/>
  <c r="P12" i="11"/>
  <c r="I12" i="11"/>
  <c r="O12" i="11"/>
  <c r="F11" i="11"/>
  <c r="L11" i="11"/>
  <c r="R11" i="11"/>
  <c r="K11" i="11"/>
  <c r="Q11" i="11"/>
  <c r="J11" i="11"/>
  <c r="P11" i="11"/>
  <c r="I11" i="11"/>
  <c r="O11" i="11"/>
  <c r="F10" i="11"/>
  <c r="L10" i="11"/>
  <c r="R10" i="11"/>
  <c r="K10" i="11"/>
  <c r="Q10" i="11"/>
  <c r="J10" i="11"/>
  <c r="P10" i="11"/>
  <c r="I10" i="11"/>
  <c r="O10" i="11"/>
  <c r="F9" i="11"/>
  <c r="L9" i="11"/>
  <c r="R9" i="11"/>
  <c r="K9" i="11"/>
  <c r="Q9" i="11"/>
  <c r="J9" i="11"/>
  <c r="P9" i="11"/>
  <c r="I9" i="11"/>
  <c r="O9" i="11"/>
  <c r="F8" i="11"/>
  <c r="L8" i="11"/>
  <c r="R8" i="11"/>
  <c r="K8" i="11"/>
  <c r="Q8" i="11"/>
  <c r="J8" i="11"/>
  <c r="P8" i="11"/>
  <c r="I8" i="11"/>
  <c r="O8" i="11"/>
  <c r="F7" i="11"/>
  <c r="L7" i="11"/>
  <c r="R7" i="11"/>
  <c r="K7" i="11"/>
  <c r="Q7" i="11"/>
  <c r="J7" i="11"/>
  <c r="P7" i="11"/>
  <c r="I7" i="11"/>
  <c r="O7" i="11"/>
  <c r="F6" i="11"/>
  <c r="L6" i="11"/>
  <c r="R6" i="11"/>
  <c r="K6" i="11"/>
  <c r="Q6" i="11"/>
  <c r="J6" i="11"/>
  <c r="P6" i="11"/>
  <c r="I6" i="11"/>
  <c r="O6" i="11"/>
  <c r="F5" i="11"/>
  <c r="L5" i="11"/>
  <c r="R5" i="11"/>
  <c r="K5" i="11"/>
  <c r="Q5" i="11"/>
  <c r="J5" i="11"/>
  <c r="P5" i="11"/>
  <c r="I5" i="11"/>
  <c r="O5" i="11"/>
  <c r="F4" i="11"/>
  <c r="L4" i="11"/>
  <c r="R4" i="11"/>
  <c r="K4" i="11"/>
  <c r="Q4" i="11"/>
  <c r="J4" i="11"/>
  <c r="P4" i="11"/>
  <c r="I4" i="11"/>
  <c r="O4" i="11"/>
  <c r="F3" i="11"/>
  <c r="L3" i="11"/>
  <c r="R3" i="11"/>
  <c r="K3" i="11"/>
  <c r="Q3" i="11"/>
  <c r="J3" i="11"/>
  <c r="P3" i="11"/>
  <c r="I3" i="11"/>
  <c r="O3" i="11"/>
  <c r="F2" i="11"/>
  <c r="L2" i="11"/>
  <c r="R2" i="11"/>
  <c r="K2" i="11"/>
  <c r="Q2" i="11"/>
  <c r="J2" i="11"/>
  <c r="P2" i="11"/>
  <c r="I2" i="11"/>
  <c r="O2" i="11"/>
  <c r="C12" i="6"/>
  <c r="C34" i="10"/>
  <c r="D12" i="6"/>
  <c r="D34" i="10"/>
  <c r="E12" i="6"/>
  <c r="E34" i="10"/>
  <c r="B12" i="6"/>
  <c r="F12" i="6"/>
  <c r="F34" i="10"/>
  <c r="C11" i="6"/>
  <c r="C33" i="10"/>
  <c r="D11" i="6"/>
  <c r="D33" i="10"/>
  <c r="E11" i="6"/>
  <c r="E33" i="10"/>
  <c r="B11" i="6"/>
  <c r="F11" i="6"/>
  <c r="F33" i="10"/>
  <c r="C10" i="6"/>
  <c r="C32" i="10"/>
  <c r="D10" i="6"/>
  <c r="D32" i="10"/>
  <c r="E10" i="6"/>
  <c r="E32" i="10"/>
  <c r="B10" i="6"/>
  <c r="F10" i="6"/>
  <c r="F32" i="10"/>
  <c r="C8" i="6"/>
  <c r="C31" i="10"/>
  <c r="D8" i="6"/>
  <c r="D31" i="10"/>
  <c r="E8" i="6"/>
  <c r="E31" i="10"/>
  <c r="B8" i="6"/>
  <c r="F8" i="6"/>
  <c r="F31" i="10"/>
  <c r="C7" i="6"/>
  <c r="C30" i="10"/>
  <c r="D7" i="6"/>
  <c r="D30" i="10"/>
  <c r="E7" i="6"/>
  <c r="E30" i="10"/>
  <c r="B7" i="6"/>
  <c r="F7" i="6"/>
  <c r="F30" i="10"/>
  <c r="C6" i="6"/>
  <c r="C29" i="10"/>
  <c r="D6" i="6"/>
  <c r="D29" i="10"/>
  <c r="E6" i="6"/>
  <c r="E29" i="10"/>
  <c r="B6" i="6"/>
  <c r="F6" i="6"/>
  <c r="F29" i="10"/>
  <c r="C4" i="6"/>
  <c r="C28" i="10"/>
  <c r="D4" i="6"/>
  <c r="D28" i="10"/>
  <c r="E4" i="6"/>
  <c r="E28" i="10"/>
  <c r="B4" i="6"/>
  <c r="F4" i="6"/>
  <c r="F28" i="10"/>
  <c r="B33" i="10"/>
  <c r="B34" i="10"/>
  <c r="B32" i="10"/>
  <c r="B31" i="10"/>
  <c r="B30" i="10"/>
  <c r="B29" i="10"/>
  <c r="B28" i="10"/>
  <c r="B3" i="6"/>
  <c r="C3" i="6"/>
  <c r="D3" i="6"/>
  <c r="E3" i="6"/>
  <c r="F3" i="6"/>
  <c r="F27" i="10"/>
  <c r="C27" i="10"/>
  <c r="D27" i="10"/>
  <c r="E27" i="10"/>
  <c r="B27" i="10"/>
  <c r="C12" i="5"/>
  <c r="C22" i="10"/>
  <c r="D12" i="5"/>
  <c r="D22" i="10"/>
  <c r="E12" i="5"/>
  <c r="E22" i="10"/>
  <c r="B12" i="5"/>
  <c r="F12" i="5"/>
  <c r="F22" i="10"/>
  <c r="C11" i="5"/>
  <c r="C21" i="10"/>
  <c r="D11" i="5"/>
  <c r="D21" i="10"/>
  <c r="E11" i="5"/>
  <c r="E21" i="10"/>
  <c r="B11" i="5"/>
  <c r="F11" i="5"/>
  <c r="F21" i="10"/>
  <c r="C10" i="5"/>
  <c r="C20" i="10"/>
  <c r="D10" i="5"/>
  <c r="D20" i="10"/>
  <c r="E10" i="5"/>
  <c r="E20" i="10"/>
  <c r="B10" i="5"/>
  <c r="F10" i="5"/>
  <c r="F20" i="10"/>
  <c r="C8" i="5"/>
  <c r="C19" i="10"/>
  <c r="D8" i="5"/>
  <c r="D19" i="10"/>
  <c r="E8" i="5"/>
  <c r="E19" i="10"/>
  <c r="B8" i="5"/>
  <c r="F8" i="5"/>
  <c r="F19" i="10"/>
  <c r="C7" i="5"/>
  <c r="C18" i="10"/>
  <c r="D7" i="5"/>
  <c r="D18" i="10"/>
  <c r="E7" i="5"/>
  <c r="E18" i="10"/>
  <c r="B7" i="5"/>
  <c r="F7" i="5"/>
  <c r="F18" i="10"/>
  <c r="C6" i="5"/>
  <c r="C17" i="10"/>
  <c r="D6" i="5"/>
  <c r="D17" i="10"/>
  <c r="E6" i="5"/>
  <c r="E17" i="10"/>
  <c r="B6" i="5"/>
  <c r="F6" i="5"/>
  <c r="F17" i="10"/>
  <c r="C4" i="5"/>
  <c r="C16" i="10"/>
  <c r="D4" i="5"/>
  <c r="D16" i="10"/>
  <c r="E4" i="5"/>
  <c r="E16" i="10"/>
  <c r="B4" i="5"/>
  <c r="F4" i="5"/>
  <c r="F16" i="10"/>
  <c r="B21" i="10"/>
  <c r="B22" i="10"/>
  <c r="B20" i="10"/>
  <c r="B19" i="10"/>
  <c r="B18" i="10"/>
  <c r="B17" i="10"/>
  <c r="B16" i="10"/>
  <c r="C3" i="5"/>
  <c r="C15" i="10"/>
  <c r="D3" i="5"/>
  <c r="D15" i="10"/>
  <c r="E3" i="5"/>
  <c r="E15" i="10"/>
  <c r="B3" i="5"/>
  <c r="F3" i="5"/>
  <c r="F15" i="10"/>
  <c r="B15" i="10"/>
  <c r="F35" i="10"/>
  <c r="E35" i="10"/>
  <c r="D35" i="10"/>
  <c r="C35" i="10"/>
  <c r="B35" i="10"/>
  <c r="F23" i="10"/>
  <c r="E23" i="10"/>
  <c r="D23" i="10"/>
  <c r="C23" i="10"/>
  <c r="B23" i="10"/>
  <c r="C3" i="4"/>
  <c r="C3" i="10"/>
  <c r="C4" i="4"/>
  <c r="C4" i="10"/>
  <c r="C6" i="4"/>
  <c r="C5" i="10"/>
  <c r="C7" i="4"/>
  <c r="C6" i="10"/>
  <c r="C8" i="4"/>
  <c r="C7" i="10"/>
  <c r="C10" i="4"/>
  <c r="C8" i="10"/>
  <c r="C11" i="4"/>
  <c r="C9" i="10"/>
  <c r="C12" i="4"/>
  <c r="C10" i="10"/>
  <c r="C11" i="10"/>
  <c r="D3" i="4"/>
  <c r="D3" i="10"/>
  <c r="D4" i="4"/>
  <c r="D4" i="10"/>
  <c r="D6" i="4"/>
  <c r="D5" i="10"/>
  <c r="D7" i="4"/>
  <c r="D6" i="10"/>
  <c r="D8" i="4"/>
  <c r="D7" i="10"/>
  <c r="D10" i="4"/>
  <c r="D8" i="10"/>
  <c r="D11" i="4"/>
  <c r="D9" i="10"/>
  <c r="D12" i="4"/>
  <c r="D10" i="10"/>
  <c r="D11" i="10"/>
  <c r="E3" i="4"/>
  <c r="E3" i="10"/>
  <c r="E4" i="4"/>
  <c r="E4" i="10"/>
  <c r="E6" i="4"/>
  <c r="E5" i="10"/>
  <c r="E7" i="4"/>
  <c r="E6" i="10"/>
  <c r="E8" i="4"/>
  <c r="E7" i="10"/>
  <c r="E10" i="4"/>
  <c r="E8" i="10"/>
  <c r="E11" i="4"/>
  <c r="E9" i="10"/>
  <c r="E12" i="4"/>
  <c r="E10" i="10"/>
  <c r="E11" i="10"/>
  <c r="B3" i="4"/>
  <c r="F3" i="4"/>
  <c r="F3" i="10"/>
  <c r="B4" i="4"/>
  <c r="F4" i="4"/>
  <c r="F4" i="10"/>
  <c r="B6" i="4"/>
  <c r="F6" i="4"/>
  <c r="F5" i="10"/>
  <c r="B7" i="4"/>
  <c r="F7" i="4"/>
  <c r="F6" i="10"/>
  <c r="B8" i="4"/>
  <c r="F8" i="4"/>
  <c r="F7" i="10"/>
  <c r="B10" i="4"/>
  <c r="F10" i="4"/>
  <c r="F8" i="10"/>
  <c r="B11" i="4"/>
  <c r="F11" i="4"/>
  <c r="F9" i="10"/>
  <c r="B12" i="4"/>
  <c r="F12" i="4"/>
  <c r="F10" i="10"/>
  <c r="B3" i="10"/>
  <c r="B4" i="10"/>
  <c r="B5" i="10"/>
  <c r="B6" i="10"/>
  <c r="B7" i="10"/>
  <c r="B8" i="10"/>
  <c r="B9" i="10"/>
  <c r="B10" i="10"/>
  <c r="B11" i="10"/>
  <c r="C10" i="9"/>
  <c r="B10" i="9"/>
  <c r="C2" i="9"/>
  <c r="B2" i="9"/>
  <c r="L3" i="6"/>
  <c r="R3" i="6"/>
  <c r="L4" i="6"/>
  <c r="R4" i="6"/>
  <c r="E5" i="6"/>
  <c r="B5" i="6"/>
  <c r="C5" i="6"/>
  <c r="D5" i="6"/>
  <c r="F5" i="6"/>
  <c r="L5" i="6"/>
  <c r="R5" i="6"/>
  <c r="L6" i="6"/>
  <c r="R6" i="6"/>
  <c r="L7" i="6"/>
  <c r="R7" i="6"/>
  <c r="L8" i="6"/>
  <c r="R8" i="6"/>
  <c r="E9" i="6"/>
  <c r="B9" i="6"/>
  <c r="C9" i="6"/>
  <c r="D9" i="6"/>
  <c r="F9" i="6"/>
  <c r="L9" i="6"/>
  <c r="R9" i="6"/>
  <c r="L10" i="6"/>
  <c r="R10" i="6"/>
  <c r="L11" i="6"/>
  <c r="R11" i="6"/>
  <c r="L12" i="6"/>
  <c r="R12" i="6"/>
  <c r="K3" i="6"/>
  <c r="Q3" i="6"/>
  <c r="K4" i="6"/>
  <c r="Q4" i="6"/>
  <c r="K5" i="6"/>
  <c r="Q5" i="6"/>
  <c r="K6" i="6"/>
  <c r="Q6" i="6"/>
  <c r="K7" i="6"/>
  <c r="Q7" i="6"/>
  <c r="K8" i="6"/>
  <c r="Q8" i="6"/>
  <c r="K9" i="6"/>
  <c r="Q9" i="6"/>
  <c r="K10" i="6"/>
  <c r="Q10" i="6"/>
  <c r="K11" i="6"/>
  <c r="Q11" i="6"/>
  <c r="K12" i="6"/>
  <c r="Q12" i="6"/>
  <c r="J3" i="6"/>
  <c r="P3" i="6"/>
  <c r="J4" i="6"/>
  <c r="P4" i="6"/>
  <c r="J5" i="6"/>
  <c r="P5" i="6"/>
  <c r="J6" i="6"/>
  <c r="P6" i="6"/>
  <c r="J7" i="6"/>
  <c r="P7" i="6"/>
  <c r="J8" i="6"/>
  <c r="P8" i="6"/>
  <c r="J9" i="6"/>
  <c r="P9" i="6"/>
  <c r="J10" i="6"/>
  <c r="P10" i="6"/>
  <c r="J11" i="6"/>
  <c r="P11" i="6"/>
  <c r="J12" i="6"/>
  <c r="P12" i="6"/>
  <c r="I3" i="6"/>
  <c r="O3" i="6"/>
  <c r="I4" i="6"/>
  <c r="O4" i="6"/>
  <c r="I5" i="6"/>
  <c r="O5" i="6"/>
  <c r="I6" i="6"/>
  <c r="O6" i="6"/>
  <c r="I7" i="6"/>
  <c r="O7" i="6"/>
  <c r="I8" i="6"/>
  <c r="O8" i="6"/>
  <c r="I9" i="6"/>
  <c r="O9" i="6"/>
  <c r="I10" i="6"/>
  <c r="O10" i="6"/>
  <c r="I11" i="6"/>
  <c r="O11" i="6"/>
  <c r="I12" i="6"/>
  <c r="O12" i="6"/>
  <c r="C2" i="6"/>
  <c r="B2" i="6"/>
  <c r="D2" i="6"/>
  <c r="E2" i="6"/>
  <c r="F2" i="6"/>
  <c r="J2" i="6"/>
  <c r="P2" i="6"/>
  <c r="K2" i="6"/>
  <c r="Q2" i="6"/>
  <c r="L2" i="6"/>
  <c r="R2" i="6"/>
  <c r="I2" i="6"/>
  <c r="O2" i="6"/>
  <c r="L3" i="5"/>
  <c r="R3" i="5"/>
  <c r="L4" i="5"/>
  <c r="R4" i="5"/>
  <c r="B5" i="5"/>
  <c r="C5" i="5"/>
  <c r="D5" i="5"/>
  <c r="E5" i="5"/>
  <c r="F5" i="5"/>
  <c r="L5" i="5"/>
  <c r="R5" i="5"/>
  <c r="L6" i="5"/>
  <c r="R6" i="5"/>
  <c r="L7" i="5"/>
  <c r="R7" i="5"/>
  <c r="L8" i="5"/>
  <c r="R8" i="5"/>
  <c r="B9" i="5"/>
  <c r="C9" i="5"/>
  <c r="D9" i="5"/>
  <c r="E9" i="5"/>
  <c r="F9" i="5"/>
  <c r="L9" i="5"/>
  <c r="R9" i="5"/>
  <c r="L10" i="5"/>
  <c r="R10" i="5"/>
  <c r="L11" i="5"/>
  <c r="R11" i="5"/>
  <c r="L12" i="5"/>
  <c r="R12" i="5"/>
  <c r="K3" i="5"/>
  <c r="Q3" i="5"/>
  <c r="K4" i="5"/>
  <c r="Q4" i="5"/>
  <c r="K5" i="5"/>
  <c r="Q5" i="5"/>
  <c r="K6" i="5"/>
  <c r="Q6" i="5"/>
  <c r="K7" i="5"/>
  <c r="Q7" i="5"/>
  <c r="K8" i="5"/>
  <c r="Q8" i="5"/>
  <c r="K9" i="5"/>
  <c r="Q9" i="5"/>
  <c r="K10" i="5"/>
  <c r="Q10" i="5"/>
  <c r="K11" i="5"/>
  <c r="Q11" i="5"/>
  <c r="K12" i="5"/>
  <c r="Q12" i="5"/>
  <c r="J3" i="5"/>
  <c r="P3" i="5"/>
  <c r="J4" i="5"/>
  <c r="P4" i="5"/>
  <c r="J5" i="5"/>
  <c r="P5" i="5"/>
  <c r="J6" i="5"/>
  <c r="P6" i="5"/>
  <c r="J7" i="5"/>
  <c r="P7" i="5"/>
  <c r="J8" i="5"/>
  <c r="P8" i="5"/>
  <c r="J9" i="5"/>
  <c r="P9" i="5"/>
  <c r="J10" i="5"/>
  <c r="P10" i="5"/>
  <c r="J11" i="5"/>
  <c r="P11" i="5"/>
  <c r="J12" i="5"/>
  <c r="P12" i="5"/>
  <c r="I3" i="5"/>
  <c r="O3" i="5"/>
  <c r="I4" i="5"/>
  <c r="O4" i="5"/>
  <c r="I5" i="5"/>
  <c r="O5" i="5"/>
  <c r="I6" i="5"/>
  <c r="O6" i="5"/>
  <c r="I7" i="5"/>
  <c r="O7" i="5"/>
  <c r="I8" i="5"/>
  <c r="O8" i="5"/>
  <c r="I9" i="5"/>
  <c r="O9" i="5"/>
  <c r="I10" i="5"/>
  <c r="O10" i="5"/>
  <c r="I11" i="5"/>
  <c r="O11" i="5"/>
  <c r="I12" i="5"/>
  <c r="O12" i="5"/>
  <c r="B2" i="5"/>
  <c r="C2" i="5"/>
  <c r="D2" i="5"/>
  <c r="E2" i="5"/>
  <c r="F2" i="5"/>
  <c r="J2" i="5"/>
  <c r="P2" i="5"/>
  <c r="K2" i="5"/>
  <c r="Q2" i="5"/>
  <c r="L2" i="5"/>
  <c r="R2" i="5"/>
  <c r="I2" i="5"/>
  <c r="O2" i="5"/>
  <c r="L7" i="4"/>
  <c r="L8" i="4"/>
  <c r="C9" i="4"/>
  <c r="D9" i="4"/>
  <c r="B9" i="4"/>
  <c r="E9" i="4"/>
  <c r="F9" i="4"/>
  <c r="L9" i="4"/>
  <c r="L10" i="4"/>
  <c r="L11" i="4"/>
  <c r="L12" i="4"/>
  <c r="L6" i="4"/>
  <c r="C2" i="4"/>
  <c r="D2" i="4"/>
  <c r="B2" i="4"/>
  <c r="E2" i="4"/>
  <c r="F2" i="4"/>
  <c r="I2" i="4"/>
  <c r="I3" i="4"/>
  <c r="I4" i="4"/>
  <c r="C5" i="4"/>
  <c r="D5" i="4"/>
  <c r="B5" i="4"/>
  <c r="E5" i="4"/>
  <c r="F5" i="4"/>
  <c r="I5" i="4"/>
  <c r="I6" i="4"/>
  <c r="J2" i="4"/>
  <c r="J3" i="4"/>
  <c r="J4" i="4"/>
  <c r="J5" i="4"/>
  <c r="J6" i="4"/>
  <c r="K2" i="4"/>
  <c r="K3" i="4"/>
  <c r="K4" i="4"/>
  <c r="K6" i="4"/>
  <c r="K7" i="4"/>
  <c r="K8" i="4"/>
  <c r="K9" i="4"/>
  <c r="K10" i="4"/>
  <c r="K11" i="4"/>
  <c r="K12" i="4"/>
  <c r="K5" i="4"/>
  <c r="J7" i="4"/>
  <c r="J8" i="4"/>
  <c r="J9" i="4"/>
  <c r="J10" i="4"/>
  <c r="J11" i="4"/>
  <c r="J12" i="4"/>
  <c r="I12" i="4"/>
  <c r="I11" i="4"/>
  <c r="I10" i="4"/>
  <c r="I9" i="4"/>
  <c r="I8" i="4"/>
  <c r="I7" i="4"/>
  <c r="H17" i="1"/>
  <c r="H16" i="1"/>
  <c r="H20" i="1"/>
  <c r="H19" i="1"/>
  <c r="L5" i="4"/>
  <c r="L4" i="4"/>
  <c r="L3" i="4"/>
  <c r="L2" i="4"/>
  <c r="E2" i="3"/>
  <c r="B2" i="3"/>
  <c r="C2" i="3"/>
  <c r="D2" i="3"/>
  <c r="K2" i="3"/>
  <c r="E3" i="3"/>
  <c r="B3" i="3"/>
  <c r="C3" i="3"/>
  <c r="D3" i="3"/>
  <c r="K3" i="3"/>
  <c r="E4" i="3"/>
  <c r="B4" i="3"/>
  <c r="C4" i="3"/>
  <c r="D4" i="3"/>
  <c r="K4" i="3"/>
  <c r="E5" i="3"/>
  <c r="B5" i="3"/>
  <c r="C5" i="3"/>
  <c r="D5" i="3"/>
  <c r="K5" i="3"/>
  <c r="E6" i="3"/>
  <c r="B6" i="3"/>
  <c r="C6" i="3"/>
  <c r="D6" i="3"/>
  <c r="K6" i="3"/>
  <c r="E7" i="1"/>
  <c r="E7" i="3"/>
  <c r="B7" i="1"/>
  <c r="B7" i="3"/>
  <c r="C7" i="3"/>
  <c r="D7" i="3"/>
  <c r="K7" i="3"/>
  <c r="K14" i="3"/>
  <c r="J2" i="3"/>
  <c r="J3" i="3"/>
  <c r="J4" i="3"/>
  <c r="J5" i="3"/>
  <c r="J6" i="3"/>
  <c r="J7" i="3"/>
  <c r="J14" i="3"/>
  <c r="I2" i="3"/>
  <c r="I3" i="3"/>
  <c r="I4" i="3"/>
  <c r="I5" i="3"/>
  <c r="I6" i="3"/>
  <c r="I7" i="3"/>
  <c r="I14" i="3"/>
  <c r="H2" i="3"/>
  <c r="H3" i="3"/>
  <c r="H4" i="3"/>
  <c r="H5" i="3"/>
  <c r="H6" i="3"/>
  <c r="H7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17" i="2"/>
  <c r="B17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G2" i="2" a="1"/>
  <c r="G2" i="2"/>
  <c r="I2" i="2"/>
  <c r="H2" i="2"/>
  <c r="J2" i="2"/>
  <c r="G3" i="2" a="1"/>
  <c r="G3" i="2"/>
  <c r="I3" i="2"/>
  <c r="H3" i="2"/>
  <c r="J3" i="2"/>
  <c r="G4" i="2" a="1"/>
  <c r="G4" i="2"/>
  <c r="I4" i="2"/>
  <c r="H4" i="2"/>
  <c r="J4" i="2"/>
  <c r="G5" i="2" a="1"/>
  <c r="G5" i="2"/>
  <c r="I5" i="2"/>
  <c r="H5" i="2"/>
  <c r="J5" i="2"/>
  <c r="G6" i="2" a="1"/>
  <c r="G6" i="2"/>
  <c r="I6" i="2"/>
  <c r="H6" i="2"/>
  <c r="J6" i="2"/>
  <c r="G7" i="2" a="1"/>
  <c r="G7" i="2"/>
  <c r="I7" i="2"/>
  <c r="H7" i="2"/>
  <c r="J7" i="2"/>
</calcChain>
</file>

<file path=xl/sharedStrings.xml><?xml version="1.0" encoding="utf-8"?>
<sst xmlns="http://schemas.openxmlformats.org/spreadsheetml/2006/main" count="452" uniqueCount="93">
  <si>
    <t>Aluminum</t>
  </si>
  <si>
    <t>Acier</t>
  </si>
  <si>
    <t>Titane</t>
  </si>
  <si>
    <t>CFRP</t>
  </si>
  <si>
    <t>Masse (t)</t>
  </si>
  <si>
    <t>Fraction massique</t>
  </si>
  <si>
    <t>Alu</t>
  </si>
  <si>
    <t>GES</t>
  </si>
  <si>
    <t>A300</t>
  </si>
  <si>
    <t>Energie</t>
  </si>
  <si>
    <t>A320</t>
  </si>
  <si>
    <t>Dechets</t>
  </si>
  <si>
    <t>A330</t>
  </si>
  <si>
    <t>BTF</t>
  </si>
  <si>
    <t>A380</t>
  </si>
  <si>
    <t>Utilisation max</t>
  </si>
  <si>
    <t>A350</t>
  </si>
  <si>
    <t>Tendance</t>
  </si>
  <si>
    <t>Median Abolute deviation</t>
  </si>
  <si>
    <t>Médiane</t>
  </si>
  <si>
    <t>MAD</t>
  </si>
  <si>
    <t>k*MAD</t>
  </si>
  <si>
    <t>MED - kMAD</t>
  </si>
  <si>
    <t>MED + kMAD</t>
  </si>
  <si>
    <t>k</t>
  </si>
  <si>
    <t>Enegeri</t>
  </si>
  <si>
    <t>Coef</t>
  </si>
  <si>
    <t>Points</t>
  </si>
  <si>
    <t>Score</t>
  </si>
  <si>
    <t>GES + Energie + Dechets</t>
  </si>
  <si>
    <t>GES + Energie + Dechets + BTF</t>
  </si>
  <si>
    <t>GES + Energie + Dechets + BTF + Utilisation max</t>
  </si>
  <si>
    <t>GES + Energie + Dechets + BTF  + Tendance</t>
  </si>
  <si>
    <t>GES + Energie + Dechets + BTF + Utilisation max +Tendance</t>
  </si>
  <si>
    <t>Coef normalisés</t>
  </si>
  <si>
    <t>Avion</t>
  </si>
  <si>
    <t>Total</t>
  </si>
  <si>
    <t>ALU</t>
  </si>
  <si>
    <t>B737</t>
  </si>
  <si>
    <t>B767</t>
  </si>
  <si>
    <t>B777</t>
  </si>
  <si>
    <t>B787</t>
  </si>
  <si>
    <t>B747</t>
  </si>
  <si>
    <t>A220</t>
  </si>
  <si>
    <t>Aircraft</t>
  </si>
  <si>
    <t>OWE (t)</t>
  </si>
  <si>
    <t>Aircraft Family</t>
  </si>
  <si>
    <t>Aluminium</t>
  </si>
  <si>
    <t>Steel</t>
  </si>
  <si>
    <t>Titanium</t>
  </si>
  <si>
    <t>GHG (t)</t>
  </si>
  <si>
    <t>Waste (t)</t>
  </si>
  <si>
    <t>TOTAL</t>
  </si>
  <si>
    <t>GHG Emissions (t CO2 eq)</t>
  </si>
  <si>
    <t>Waste Generated (t)</t>
  </si>
  <si>
    <t>Energy (GJ)</t>
  </si>
  <si>
    <t>Energy Consumption (GJ)</t>
  </si>
  <si>
    <t>Energy</t>
  </si>
  <si>
    <t>Wing</t>
  </si>
  <si>
    <t>Material</t>
  </si>
  <si>
    <t>Wingbox weight (kg)</t>
  </si>
  <si>
    <t>Fuel Burn (kg)</t>
  </si>
  <si>
    <t>Ti64</t>
  </si>
  <si>
    <t>uCRM</t>
  </si>
  <si>
    <t>Youngs Modulus</t>
  </si>
  <si>
    <t>Shear Modulus</t>
  </si>
  <si>
    <t>Yield Stress</t>
  </si>
  <si>
    <t>Allowable YS</t>
  </si>
  <si>
    <t>kg/m3</t>
  </si>
  <si>
    <t>Pa</t>
  </si>
  <si>
    <t>Al7075</t>
  </si>
  <si>
    <t>AL7075</t>
  </si>
  <si>
    <t>TI64</t>
  </si>
  <si>
    <t>STEEL</t>
  </si>
  <si>
    <t>Density</t>
  </si>
  <si>
    <t>CeRAS</t>
  </si>
  <si>
    <t>CD0</t>
  </si>
  <si>
    <t>Wf reserve</t>
  </si>
  <si>
    <t>CT</t>
  </si>
  <si>
    <t>R</t>
  </si>
  <si>
    <t>W0_without_point_masses</t>
  </si>
  <si>
    <t>Engine Mass</t>
  </si>
  <si>
    <t>Engine location</t>
  </si>
  <si>
    <t>kg</t>
  </si>
  <si>
    <t>0.53/3600</t>
  </si>
  <si>
    <t>1/s</t>
  </si>
  <si>
    <t>m</t>
  </si>
  <si>
    <t>Fuel Mass</t>
  </si>
  <si>
    <t>25, -10, 0</t>
  </si>
  <si>
    <t>Fuel Mass upper</t>
  </si>
  <si>
    <t>Cruise mach</t>
  </si>
  <si>
    <t>maneuver Mach</t>
  </si>
  <si>
    <t>5.73, -2,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</si>
</sst>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</font>
    <font>
      <b/>
      <sz val="14"/>
      <color theme="1"/>
      <name val="Arial"/>
    </font>
    <font>
      <b/>
      <sz val="12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sz val="8"/>
      <name val="Calibri"/>
    </font>
    <font>
      <b/>
      <sz val="12"/>
      <color theme="1"/>
      <name val="Calibri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8" xfId="0" applyFont="1" applyBorder="1" applyAlignment="1"/>
    <xf numFmtId="0" fontId="9" fillId="0" borderId="8" xfId="0" applyFont="1" applyBorder="1" applyAlignment="1"/>
    <xf numFmtId="0" fontId="8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" fontId="9" fillId="0" borderId="8" xfId="0" applyNumberFormat="1" applyFont="1" applyBorder="1" applyAlignment="1"/>
    <xf numFmtId="1" fontId="0" fillId="0" borderId="0" xfId="0" applyNumberFormat="1" applyFont="1" applyAlignment="1"/>
    <xf numFmtId="1" fontId="8" fillId="0" borderId="8" xfId="0" applyNumberFormat="1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/>
    <xf numFmtId="11" fontId="0" fillId="0" borderId="0" xfId="0" applyNumberFormat="1" applyFont="1" applyAlignment="1"/>
    <xf numFmtId="0" fontId="0" fillId="0" borderId="8" xfId="0" applyFont="1" applyBorder="1" applyAlignment="1"/>
    <xf numFmtId="0" fontId="10" fillId="0" borderId="8" xfId="0" applyFont="1" applyBorder="1" applyAlignment="1"/>
    <xf numFmtId="11" fontId="0" fillId="0" borderId="8" xfId="0" applyNumberFormat="1" applyFont="1" applyBorder="1" applyAlignment="1"/>
    <xf numFmtId="2" fontId="0" fillId="0" borderId="8" xfId="0" applyNumberFormat="1" applyFont="1" applyBorder="1" applyAlignment="1"/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1" fillId="0" borderId="8" xfId="1" applyBorder="1" applyAlignment="1"/>
  </cellXfs>
  <cellStyles count="2">
    <cellStyle name="Lien hypertexte" xfId="1" builtinId="8"/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GHG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OWE_vs_Parameters!$B$2:$B$12</c:f>
              <c:numCache>
                <c:formatCode>General</c:formatCode>
                <c:ptCount val="11"/>
                <c:pt idx="0">
                  <c:v>86.2</c:v>
                </c:pt>
                <c:pt idx="1">
                  <c:v>40</c:v>
                </c:pt>
                <c:pt idx="2">
                  <c:v>124</c:v>
                </c:pt>
                <c:pt idx="3">
                  <c:v>277</c:v>
                </c:pt>
                <c:pt idx="4">
                  <c:v>108</c:v>
                </c:pt>
                <c:pt idx="5">
                  <c:v>37</c:v>
                </c:pt>
                <c:pt idx="6">
                  <c:v>41.7</c:v>
                </c:pt>
                <c:pt idx="7">
                  <c:v>184.6</c:v>
                </c:pt>
                <c:pt idx="8">
                  <c:v>84.5</c:v>
                </c:pt>
                <c:pt idx="9">
                  <c:v>168.7</c:v>
                </c:pt>
                <c:pt idx="10">
                  <c:v>128.80000000000001</c:v>
                </c:pt>
              </c:numCache>
            </c:numRef>
          </c:xVal>
          <c:yVal>
            <c:numRef>
              <c:f>OWE_vs_Parameters!$C$2:$C$12</c:f>
              <c:numCache>
                <c:formatCode>0</c:formatCode>
                <c:ptCount val="11"/>
                <c:pt idx="0">
                  <c:v>5526.2389000000003</c:v>
                </c:pt>
                <c:pt idx="1">
                  <c:v>2829.6</c:v>
                </c:pt>
                <c:pt idx="2">
                  <c:v>9527.7259999999987</c:v>
                </c:pt>
                <c:pt idx="3">
                  <c:v>20638.023500000003</c:v>
                </c:pt>
                <c:pt idx="4">
                  <c:v>6732.018</c:v>
                </c:pt>
                <c:pt idx="5">
                  <c:v>1890.404</c:v>
                </c:pt>
                <c:pt idx="6">
                  <c:v>3204.7284000000004</c:v>
                </c:pt>
                <c:pt idx="7">
                  <c:v>13194.561900000001</c:v>
                </c:pt>
                <c:pt idx="8">
                  <c:v>5705.6935000000003</c:v>
                </c:pt>
                <c:pt idx="9">
                  <c:v>12213.711299999999</c:v>
                </c:pt>
                <c:pt idx="10">
                  <c:v>8298.5839999999989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18-4243-BD13-A5458881D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66672"/>
        <c:axId val="62468112"/>
      </c:scatterChart>
      <c:valAx>
        <c:axId val="624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8112"/>
        <c:crosses val="autoZero"/>
        <c:crossBetween val="midCat"/>
      </c:valAx>
      <c:valAx>
        <c:axId val="624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Energy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OWE_vs_Parameters!$B$2:$B$12</c:f>
              <c:numCache>
                <c:formatCode>General</c:formatCode>
                <c:ptCount val="11"/>
                <c:pt idx="0">
                  <c:v>86.2</c:v>
                </c:pt>
                <c:pt idx="1">
                  <c:v>40</c:v>
                </c:pt>
                <c:pt idx="2">
                  <c:v>124</c:v>
                </c:pt>
                <c:pt idx="3">
                  <c:v>277</c:v>
                </c:pt>
                <c:pt idx="4">
                  <c:v>108</c:v>
                </c:pt>
                <c:pt idx="5">
                  <c:v>37</c:v>
                </c:pt>
                <c:pt idx="6">
                  <c:v>41.7</c:v>
                </c:pt>
                <c:pt idx="7">
                  <c:v>184.6</c:v>
                </c:pt>
                <c:pt idx="8">
                  <c:v>84.5</c:v>
                </c:pt>
                <c:pt idx="9">
                  <c:v>168.7</c:v>
                </c:pt>
                <c:pt idx="10">
                  <c:v>128.80000000000001</c:v>
                </c:pt>
              </c:numCache>
            </c:numRef>
          </c:xVal>
          <c:yVal>
            <c:numRef>
              <c:f>OWE_vs_Parameters!$D$2:$D$12</c:f>
              <c:numCache>
                <c:formatCode>0</c:formatCode>
                <c:ptCount val="11"/>
                <c:pt idx="0">
                  <c:v>67527.183600000018</c:v>
                </c:pt>
                <c:pt idx="1">
                  <c:v>35497.440000000002</c:v>
                </c:pt>
                <c:pt idx="2">
                  <c:v>124519.31200000001</c:v>
                </c:pt>
                <c:pt idx="3">
                  <c:v>262473.56599999999</c:v>
                </c:pt>
                <c:pt idx="4">
                  <c:v>112533.62400000001</c:v>
                </c:pt>
                <c:pt idx="5">
                  <c:v>30118.148000000001</c:v>
                </c:pt>
                <c:pt idx="6">
                  <c:v>40057.103400000015</c:v>
                </c:pt>
                <c:pt idx="7">
                  <c:v>154850.23320000005</c:v>
                </c:pt>
                <c:pt idx="8">
                  <c:v>65915.239000000001</c:v>
                </c:pt>
                <c:pt idx="9">
                  <c:v>156139.27279999998</c:v>
                </c:pt>
                <c:pt idx="10">
                  <c:v>137705.23199999999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18-4243-BD13-A5458881D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66672"/>
        <c:axId val="62468112"/>
      </c:scatterChart>
      <c:valAx>
        <c:axId val="624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8112"/>
        <c:crosses val="autoZero"/>
        <c:crossBetween val="midCat"/>
      </c:valAx>
      <c:valAx>
        <c:axId val="624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Waste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OWE_vs_Parameters!$B$2:$B$12</c:f>
              <c:numCache>
                <c:formatCode>General</c:formatCode>
                <c:ptCount val="11"/>
                <c:pt idx="0">
                  <c:v>86.2</c:v>
                </c:pt>
                <c:pt idx="1">
                  <c:v>40</c:v>
                </c:pt>
                <c:pt idx="2">
                  <c:v>124</c:v>
                </c:pt>
                <c:pt idx="3">
                  <c:v>277</c:v>
                </c:pt>
                <c:pt idx="4">
                  <c:v>108</c:v>
                </c:pt>
                <c:pt idx="5">
                  <c:v>37</c:v>
                </c:pt>
                <c:pt idx="6">
                  <c:v>41.7</c:v>
                </c:pt>
                <c:pt idx="7">
                  <c:v>184.6</c:v>
                </c:pt>
                <c:pt idx="8">
                  <c:v>84.5</c:v>
                </c:pt>
                <c:pt idx="9">
                  <c:v>168.7</c:v>
                </c:pt>
                <c:pt idx="10">
                  <c:v>128.80000000000001</c:v>
                </c:pt>
              </c:numCache>
            </c:numRef>
          </c:xVal>
          <c:yVal>
            <c:numRef>
              <c:f>OWE_vs_Parameters!$E$2:$E$12</c:f>
              <c:numCache>
                <c:formatCode>0</c:formatCode>
                <c:ptCount val="11"/>
                <c:pt idx="0">
                  <c:v>2282.8777</c:v>
                </c:pt>
                <c:pt idx="1">
                  <c:v>1032.2</c:v>
                </c:pt>
                <c:pt idx="2">
                  <c:v>4470.0759999999991</c:v>
                </c:pt>
                <c:pt idx="3">
                  <c:v>9172.7165000000005</c:v>
                </c:pt>
                <c:pt idx="4">
                  <c:v>3333.0419999999999</c:v>
                </c:pt>
                <c:pt idx="5">
                  <c:v>721.90699999999993</c:v>
                </c:pt>
                <c:pt idx="6">
                  <c:v>1443.0493500000002</c:v>
                </c:pt>
                <c:pt idx="7">
                  <c:v>5534.5849000000007</c:v>
                </c:pt>
                <c:pt idx="8">
                  <c:v>2192.31025</c:v>
                </c:pt>
                <c:pt idx="9">
                  <c:v>5374.4445999999998</c:v>
                </c:pt>
                <c:pt idx="10">
                  <c:v>4368.2519999999986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18-4243-BD13-A5458881D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66672"/>
        <c:axId val="62468112"/>
      </c:scatterChart>
      <c:valAx>
        <c:axId val="624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8112"/>
        <c:crosses val="autoZero"/>
        <c:crossBetween val="midCat"/>
      </c:valAx>
      <c:valAx>
        <c:axId val="624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4"/>
          <c:order val="4"/>
          <c:tx>
            <c:strRef>
              <c:f>'Total Impact 2023'!$F$25:$F$26</c:f>
              <c:strCache>
                <c:ptCount val="2"/>
                <c:pt idx="0">
                  <c:v>Waste Generated (t)</c:v>
                </c:pt>
                <c:pt idx="1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09-4811-B5C3-8AFE1E8C6B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09-4811-B5C3-8AFE1E8C6B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09-4811-B5C3-8AFE1E8C6B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09-4811-B5C3-8AFE1E8C6B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09-4811-B5C3-8AFE1E8C6B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09-4811-B5C3-8AFE1E8C6B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609-4811-B5C3-8AFE1E8C6B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609-4811-B5C3-8AFE1E8C6BE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'Total Impact 2023'!$A$27:$A$35</c15:sqref>
                  </c15:fullRef>
                </c:ext>
              </c:extLst>
              <c:f>'Total Impact 2023'!$A$27:$A$34</c:f>
              <c:strCache>
                <c:ptCount val="8"/>
                <c:pt idx="0">
                  <c:v>A320</c:v>
                </c:pt>
                <c:pt idx="1">
                  <c:v>A330</c:v>
                </c:pt>
                <c:pt idx="2">
                  <c:v>A350</c:v>
                </c:pt>
                <c:pt idx="3">
                  <c:v>A220</c:v>
                </c:pt>
                <c:pt idx="4">
                  <c:v>B737</c:v>
                </c:pt>
                <c:pt idx="5">
                  <c:v>B767</c:v>
                </c:pt>
                <c:pt idx="6">
                  <c:v>B777</c:v>
                </c:pt>
                <c:pt idx="7">
                  <c:v>B787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 Impact 2023'!$F$27:$F$35</c15:sqref>
                  </c15:fullRef>
                </c:ext>
              </c:extLst>
              <c:f>'Total Impact 2023'!$F$27:$F$34</c:f>
              <c:numCache>
                <c:formatCode>0</c:formatCode>
                <c:ptCount val="8"/>
                <c:pt idx="0">
                  <c:v>681568.44</c:v>
                </c:pt>
                <c:pt idx="1">
                  <c:v>143042.43199999997</c:v>
                </c:pt>
                <c:pt idx="2">
                  <c:v>213314.68799999999</c:v>
                </c:pt>
                <c:pt idx="3">
                  <c:v>49089.675999999992</c:v>
                </c:pt>
                <c:pt idx="4">
                  <c:v>558460.09845000005</c:v>
                </c:pt>
                <c:pt idx="5">
                  <c:v>70153.928</c:v>
                </c:pt>
                <c:pt idx="6">
                  <c:v>139735.55960000001</c:v>
                </c:pt>
                <c:pt idx="7">
                  <c:v>318882.39599999989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1EB2-4E79-8156-F8DA88E32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'Total Impact 2023'!$B$25:$B$26</c15:sqref>
                        </c15:formulaRef>
                      </c:ext>
                    </c:extLst>
                    <c:strCache>
                      <c:ptCount val="2"/>
                      <c:pt idx="0">
                        <c:v>Waste Generated (t)</c:v>
                      </c:pt>
                      <c:pt idx="1">
                        <c:v>Aluminium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6609-4811-B5C3-8AFE1E8C6BE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6609-4811-B5C3-8AFE1E8C6BE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6609-4811-B5C3-8AFE1E8C6BE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6609-4811-B5C3-8AFE1E8C6BE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6609-4811-B5C3-8AFE1E8C6BE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6609-4811-B5C3-8AFE1E8C6BE4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6609-4811-B5C3-8AFE1E8C6BE4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6609-4811-B5C3-8AFE1E8C6BE4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'Total Impact 2023'!$A$27:$A$35</c15:sqref>
                        </c15:fullRef>
                        <c15:formulaRef>
                          <c15:sqref>'Total Impact 2023'!$A$27:$A$34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'Total Impact 2023'!$B$27:$B$35</c15:sqref>
                        </c15:fullRef>
                        <c15:formulaRef>
                          <c15:sqref>'Total Impact 2023'!$B$27:$B$34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370008</c:v>
                      </c:pt>
                      <c:pt idx="1">
                        <c:v>65174.399999999994</c:v>
                      </c:pt>
                      <c:pt idx="2">
                        <c:v>29548.799999999999</c:v>
                      </c:pt>
                      <c:pt idx="3">
                        <c:v>13586.399999999998</c:v>
                      </c:pt>
                      <c:pt idx="4">
                        <c:v>290482.20000000007</c:v>
                      </c:pt>
                      <c:pt idx="5">
                        <c:v>47455.199999999997</c:v>
                      </c:pt>
                      <c:pt idx="6">
                        <c:v>69082.649999999994</c:v>
                      </c:pt>
                      <c:pt idx="7">
                        <c:v>42310.8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1EB2-4E79-8156-F8DA88E32FF5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2023'!$C$25:$C$26</c15:sqref>
                        </c15:formulaRef>
                      </c:ext>
                    </c:extLst>
                    <c:strCache>
                      <c:ptCount val="2"/>
                      <c:pt idx="0">
                        <c:v>Waste Generated (t)</c:v>
                      </c:pt>
                      <c:pt idx="1">
                        <c:v>Steel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6609-4811-B5C3-8AFE1E8C6BE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6609-4811-B5C3-8AFE1E8C6BE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6609-4811-B5C3-8AFE1E8C6BE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6609-4811-B5C3-8AFE1E8C6BE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6609-4811-B5C3-8AFE1E8C6BE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6609-4811-B5C3-8AFE1E8C6BE4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6609-4811-B5C3-8AFE1E8C6BE4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6609-4811-B5C3-8AFE1E8C6BE4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2023'!$A$27:$A$35</c15:sqref>
                        </c15:fullRef>
                        <c15:formulaRef>
                          <c15:sqref>'Total Impact 2023'!$A$27:$A$34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2023'!$C$27:$C$35</c15:sqref>
                        </c15:fullRef>
                        <c15:formulaRef>
                          <c15:sqref>'Total Impact 2023'!$C$27:$C$34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78935.039999999994</c:v>
                      </c:pt>
                      <c:pt idx="1">
                        <c:v>10665.984000000002</c:v>
                      </c:pt>
                      <c:pt idx="2">
                        <c:v>18579.456000000002</c:v>
                      </c:pt>
                      <c:pt idx="3">
                        <c:v>966.14400000000001</c:v>
                      </c:pt>
                      <c:pt idx="4">
                        <c:v>49575.628800000006</c:v>
                      </c:pt>
                      <c:pt idx="5">
                        <c:v>13498.368</c:v>
                      </c:pt>
                      <c:pt idx="6">
                        <c:v>18527.308799999995</c:v>
                      </c:pt>
                      <c:pt idx="7">
                        <c:v>36105.216000000008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1EB2-4E79-8156-F8DA88E32FF5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2023'!$D$25:$D$26</c15:sqref>
                        </c15:formulaRef>
                      </c:ext>
                    </c:extLst>
                    <c:strCache>
                      <c:ptCount val="2"/>
                      <c:pt idx="0">
                        <c:v>Waste Generated (t)</c:v>
                      </c:pt>
                      <c:pt idx="1">
                        <c:v>Titanium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1-6609-4811-B5C3-8AFE1E8C6BE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6609-4811-B5C3-8AFE1E8C6BE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6609-4811-B5C3-8AFE1E8C6BE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6609-4811-B5C3-8AFE1E8C6BE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6609-4811-B5C3-8AFE1E8C6BE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6609-4811-B5C3-8AFE1E8C6BE4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6609-4811-B5C3-8AFE1E8C6BE4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6609-4811-B5C3-8AFE1E8C6BE4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2023'!$A$27:$A$35</c15:sqref>
                        </c15:fullRef>
                        <c15:formulaRef>
                          <c15:sqref>'Total Impact 2023'!$A$27:$A$34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2023'!$D$27:$D$35</c15:sqref>
                        </c15:fullRef>
                        <c15:formulaRef>
                          <c15:sqref>'Total Impact 2023'!$D$27:$D$34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231597.59999999998</c:v>
                      </c:pt>
                      <c:pt idx="1">
                        <c:v>67059.199999999997</c:v>
                      </c:pt>
                      <c:pt idx="2">
                        <c:v>163537.92000000001</c:v>
                      </c:pt>
                      <c:pt idx="3">
                        <c:v>34016.32</c:v>
                      </c:pt>
                      <c:pt idx="4">
                        <c:v>218184.408</c:v>
                      </c:pt>
                      <c:pt idx="5">
                        <c:v>9139.5199999999986</c:v>
                      </c:pt>
                      <c:pt idx="6">
                        <c:v>51888.745999999992</c:v>
                      </c:pt>
                      <c:pt idx="7">
                        <c:v>238350.83999999997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1EB2-4E79-8156-F8DA88E32FF5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2023'!$E$25:$E$26</c15:sqref>
                        </c15:formulaRef>
                      </c:ext>
                    </c:extLst>
                    <c:strCache>
                      <c:ptCount val="2"/>
                      <c:pt idx="0">
                        <c:v>Waste Generated (t)</c:v>
                      </c:pt>
                      <c:pt idx="1">
                        <c:v>CFRP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6609-4811-B5C3-8AFE1E8C6BE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6609-4811-B5C3-8AFE1E8C6BE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6609-4811-B5C3-8AFE1E8C6BE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6609-4811-B5C3-8AFE1E8C6BE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6609-4811-B5C3-8AFE1E8C6BE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6609-4811-B5C3-8AFE1E8C6BE4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6609-4811-B5C3-8AFE1E8C6BE4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6609-4811-B5C3-8AFE1E8C6BE4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2023'!$A$27:$A$35</c15:sqref>
                        </c15:fullRef>
                        <c15:formulaRef>
                          <c15:sqref>'Total Impact 2023'!$A$27:$A$34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2023'!$E$27:$E$35</c15:sqref>
                        </c15:fullRef>
                        <c15:formulaRef>
                          <c15:sqref>'Total Impact 2023'!$E$27:$E$34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1027.8</c:v>
                      </c:pt>
                      <c:pt idx="1">
                        <c:v>142.84799999999998</c:v>
                      </c:pt>
                      <c:pt idx="2">
                        <c:v>1648.5119999999999</c:v>
                      </c:pt>
                      <c:pt idx="3">
                        <c:v>520.81200000000001</c:v>
                      </c:pt>
                      <c:pt idx="4">
                        <c:v>217.86164999999997</c:v>
                      </c:pt>
                      <c:pt idx="5">
                        <c:v>60.84</c:v>
                      </c:pt>
                      <c:pt idx="6">
                        <c:v>236.85479999999995</c:v>
                      </c:pt>
                      <c:pt idx="7">
                        <c:v>2115.54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1EB2-4E79-8156-F8DA88E32FF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 (GJ)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4"/>
          <c:order val="4"/>
          <c:tx>
            <c:strRef>
              <c:f>'Total Impact 2023'!$F$13:$F$14</c:f>
              <c:strCache>
                <c:ptCount val="2"/>
                <c:pt idx="0">
                  <c:v>Energy Consumption (GJ)</c:v>
                </c:pt>
                <c:pt idx="1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55-4950-83B5-992762307B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55-4950-83B5-992762307B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55-4950-83B5-992762307B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55-4950-83B5-992762307B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655-4950-83B5-992762307B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655-4950-83B5-992762307B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655-4950-83B5-992762307B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655-4950-83B5-992762307BD5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'Total Impact 2023'!$A$15:$A$23</c15:sqref>
                  </c15:fullRef>
                </c:ext>
              </c:extLst>
              <c:f>'Total Impact 2023'!$A$15:$A$22</c:f>
              <c:strCache>
                <c:ptCount val="8"/>
                <c:pt idx="0">
                  <c:v>A320</c:v>
                </c:pt>
                <c:pt idx="1">
                  <c:v>A330</c:v>
                </c:pt>
                <c:pt idx="2">
                  <c:v>A350</c:v>
                </c:pt>
                <c:pt idx="3">
                  <c:v>A220</c:v>
                </c:pt>
                <c:pt idx="4">
                  <c:v>B737</c:v>
                </c:pt>
                <c:pt idx="5">
                  <c:v>B767</c:v>
                </c:pt>
                <c:pt idx="6">
                  <c:v>B777</c:v>
                </c:pt>
                <c:pt idx="7">
                  <c:v>B787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 Impact 2023'!$F$15:$F$23</c15:sqref>
                  </c15:fullRef>
                </c:ext>
              </c:extLst>
              <c:f>'Total Impact 2023'!$F$15:$F$22</c:f>
              <c:numCache>
                <c:formatCode>0</c:formatCode>
                <c:ptCount val="8"/>
                <c:pt idx="0">
                  <c:v>20269038.240000002</c:v>
                </c:pt>
                <c:pt idx="1">
                  <c:v>3984617.9840000002</c:v>
                </c:pt>
                <c:pt idx="2">
                  <c:v>7202151.9360000007</c:v>
                </c:pt>
                <c:pt idx="3">
                  <c:v>2048034.064</c:v>
                </c:pt>
                <c:pt idx="4">
                  <c:v>15502099.015800005</c:v>
                </c:pt>
                <c:pt idx="5">
                  <c:v>2109287.648</c:v>
                </c:pt>
                <c:pt idx="6">
                  <c:v>4059621.0927999993</c:v>
                </c:pt>
                <c:pt idx="7">
                  <c:v>10052481.935999999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AA91-465A-A681-F0B586371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'Total Impact 2023'!$B$13:$B$14</c15:sqref>
                        </c15:formulaRef>
                      </c:ext>
                    </c:extLst>
                    <c:strCache>
                      <c:ptCount val="2"/>
                      <c:pt idx="0">
                        <c:v>Energy Consumption (GJ)</c:v>
                      </c:pt>
                      <c:pt idx="1">
                        <c:v>Aluminium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1655-4950-83B5-992762307BD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1655-4950-83B5-992762307BD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1655-4950-83B5-992762307BD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1655-4950-83B5-992762307BD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1655-4950-83B5-992762307BD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1655-4950-83B5-992762307BD5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1655-4950-83B5-992762307BD5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1655-4950-83B5-992762307BD5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'Total Impact 2023'!$A$15:$A$23</c15:sqref>
                        </c15:fullRef>
                        <c15:formulaRef>
                          <c15:sqref>'Total Impact 2023'!$A$15:$A$22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'Total Impact 2023'!$B$15:$B$23</c15:sqref>
                        </c15:fullRef>
                        <c15:formulaRef>
                          <c15:sqref>'Total Impact 2023'!$B$15:$B$22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13386067.200000001</c:v>
                      </c:pt>
                      <c:pt idx="1">
                        <c:v>2357864.96</c:v>
                      </c:pt>
                      <c:pt idx="2">
                        <c:v>1069009.9199999999</c:v>
                      </c:pt>
                      <c:pt idx="3">
                        <c:v>491525.75999999989</c:v>
                      </c:pt>
                      <c:pt idx="4">
                        <c:v>10509000.480000002</c:v>
                      </c:pt>
                      <c:pt idx="5">
                        <c:v>1716823.68</c:v>
                      </c:pt>
                      <c:pt idx="6">
                        <c:v>2499256.7599999998</c:v>
                      </c:pt>
                      <c:pt idx="7">
                        <c:v>1530710.7200000002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AA91-465A-A681-F0B586371EE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2023'!$C$13:$C$14</c15:sqref>
                        </c15:formulaRef>
                      </c:ext>
                    </c:extLst>
                    <c:strCache>
                      <c:ptCount val="2"/>
                      <c:pt idx="0">
                        <c:v>Energy Consumption (GJ)</c:v>
                      </c:pt>
                      <c:pt idx="1">
                        <c:v>Steel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1655-4950-83B5-992762307BD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1655-4950-83B5-992762307BD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1655-4950-83B5-992762307BD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1655-4950-83B5-992762307BD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1655-4950-83B5-992762307BD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1655-4950-83B5-992762307BD5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1655-4950-83B5-992762307BD5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1655-4950-83B5-992762307BD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2023'!$A$15:$A$23</c15:sqref>
                        </c15:fullRef>
                        <c15:formulaRef>
                          <c15:sqref>'Total Impact 2023'!$A$15:$A$22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2023'!$C$15:$C$23</c15:sqref>
                        </c15:fullRef>
                        <c15:formulaRef>
                          <c15:sqref>'Total Impact 2023'!$C$15:$C$22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654503.03999999992</c:v>
                      </c:pt>
                      <c:pt idx="1">
                        <c:v>88438.784000000014</c:v>
                      </c:pt>
                      <c:pt idx="2">
                        <c:v>154054.65599999999</c:v>
                      </c:pt>
                      <c:pt idx="3">
                        <c:v>8010.9439999999995</c:v>
                      </c:pt>
                      <c:pt idx="4">
                        <c:v>411064.58879999997</c:v>
                      </c:pt>
                      <c:pt idx="5">
                        <c:v>111923.96800000001</c:v>
                      </c:pt>
                      <c:pt idx="6">
                        <c:v>153622.26879999999</c:v>
                      </c:pt>
                      <c:pt idx="7">
                        <c:v>299372.41600000003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AA91-465A-A681-F0B586371EEB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2023'!$D$13:$D$14</c15:sqref>
                        </c15:formulaRef>
                      </c:ext>
                    </c:extLst>
                    <c:strCache>
                      <c:ptCount val="2"/>
                      <c:pt idx="0">
                        <c:v>Energy Consumption (GJ)</c:v>
                      </c:pt>
                      <c:pt idx="1">
                        <c:v>Titanium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1-1655-4950-83B5-992762307BD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1655-4950-83B5-992762307BD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1655-4950-83B5-992762307BD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1655-4950-83B5-992762307BD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1655-4950-83B5-992762307BD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1655-4950-83B5-992762307BD5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1655-4950-83B5-992762307BD5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1655-4950-83B5-992762307BD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2023'!$A$15:$A$23</c15:sqref>
                        </c15:fullRef>
                        <c15:formulaRef>
                          <c15:sqref>'Total Impact 2023'!$A$15:$A$22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2023'!$D$15:$D$23</c15:sqref>
                        </c15:fullRef>
                        <c15:formulaRef>
                          <c15:sqref>'Total Impact 2023'!$D$15:$D$22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4467504</c:v>
                      </c:pt>
                      <c:pt idx="1">
                        <c:v>1293568</c:v>
                      </c:pt>
                      <c:pt idx="2">
                        <c:v>3154636.8000000003</c:v>
                      </c:pt>
                      <c:pt idx="3">
                        <c:v>656172.80000000005</c:v>
                      </c:pt>
                      <c:pt idx="4">
                        <c:v>4208764.32</c:v>
                      </c:pt>
                      <c:pt idx="5">
                        <c:v>176300.79999999999</c:v>
                      </c:pt>
                      <c:pt idx="6">
                        <c:v>1000930.8400000001</c:v>
                      </c:pt>
                      <c:pt idx="7">
                        <c:v>4597773.5999999996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AA91-465A-A681-F0B586371EE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2023'!$E$13:$E$14</c15:sqref>
                        </c15:formulaRef>
                      </c:ext>
                    </c:extLst>
                    <c:strCache>
                      <c:ptCount val="2"/>
                      <c:pt idx="0">
                        <c:v>Energy Consumption (GJ)</c:v>
                      </c:pt>
                      <c:pt idx="1">
                        <c:v>CFRP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1655-4950-83B5-992762307BD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1655-4950-83B5-992762307BD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1655-4950-83B5-992762307BD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1655-4950-83B5-992762307BD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1655-4950-83B5-992762307BD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1655-4950-83B5-992762307BD5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1655-4950-83B5-992762307BD5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1655-4950-83B5-992762307BD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2023'!$A$15:$A$23</c15:sqref>
                        </c15:fullRef>
                        <c15:formulaRef>
                          <c15:sqref>'Total Impact 2023'!$A$15:$A$22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2023'!$E$15:$E$23</c15:sqref>
                        </c15:fullRef>
                        <c15:formulaRef>
                          <c15:sqref>'Total Impact 2023'!$E$15:$E$22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1760964</c:v>
                      </c:pt>
                      <c:pt idx="1">
                        <c:v>244746.23999999999</c:v>
                      </c:pt>
                      <c:pt idx="2">
                        <c:v>2824450.56</c:v>
                      </c:pt>
                      <c:pt idx="3">
                        <c:v>892324.56</c:v>
                      </c:pt>
                      <c:pt idx="4">
                        <c:v>373269.62700000004</c:v>
                      </c:pt>
                      <c:pt idx="5">
                        <c:v>104239.20000000001</c:v>
                      </c:pt>
                      <c:pt idx="6">
                        <c:v>405811.22399999993</c:v>
                      </c:pt>
                      <c:pt idx="7">
                        <c:v>3624625.2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AA91-465A-A681-F0B586371EE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4"/>
          <c:order val="4"/>
          <c:tx>
            <c:strRef>
              <c:f>'Total Impact 2023'!$F$1:$F$2</c:f>
              <c:strCache>
                <c:ptCount val="2"/>
                <c:pt idx="0">
                  <c:v>GHG Emissions (t CO2 eq)</c:v>
                </c:pt>
                <c:pt idx="1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9-4BF2-BCB7-8A1B4F4681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E9-4BF2-BCB7-8A1B4F4681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E9-4BF2-BCB7-8A1B4F4681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E9-4BF2-BCB7-8A1B4F4681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2E9-4BF2-BCB7-8A1B4F4681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2E9-4BF2-BCB7-8A1B4F4681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2E9-4BF2-BCB7-8A1B4F4681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2E9-4BF2-BCB7-8A1B4F4681DA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'Total Impact 2023'!$A$3:$A$11</c15:sqref>
                  </c15:fullRef>
                </c:ext>
              </c:extLst>
              <c:f>'Total Impact 2023'!$A$3:$A$10</c:f>
              <c:strCache>
                <c:ptCount val="8"/>
                <c:pt idx="0">
                  <c:v>A320</c:v>
                </c:pt>
                <c:pt idx="1">
                  <c:v>A330</c:v>
                </c:pt>
                <c:pt idx="2">
                  <c:v>A350</c:v>
                </c:pt>
                <c:pt idx="3">
                  <c:v>A220</c:v>
                </c:pt>
                <c:pt idx="4">
                  <c:v>B737</c:v>
                </c:pt>
                <c:pt idx="5">
                  <c:v>B767</c:v>
                </c:pt>
                <c:pt idx="6">
                  <c:v>B777</c:v>
                </c:pt>
                <c:pt idx="7">
                  <c:v>B787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 Impact 2023'!$F$3:$F$11</c15:sqref>
                  </c15:fullRef>
                </c:ext>
              </c:extLst>
              <c:f>'Total Impact 2023'!$F$3:$F$10</c:f>
              <c:numCache>
                <c:formatCode>0</c:formatCode>
                <c:ptCount val="8"/>
                <c:pt idx="0">
                  <c:v>1615701.5999999999</c:v>
                </c:pt>
                <c:pt idx="1">
                  <c:v>304887.23199999996</c:v>
                </c:pt>
                <c:pt idx="2">
                  <c:v>430849.152</c:v>
                </c:pt>
                <c:pt idx="3">
                  <c:v>128547.47199999999</c:v>
                </c:pt>
                <c:pt idx="4">
                  <c:v>1240229.8908000002</c:v>
                </c:pt>
                <c:pt idx="5">
                  <c:v>182582.19200000001</c:v>
                </c:pt>
                <c:pt idx="6">
                  <c:v>317556.4938</c:v>
                </c:pt>
                <c:pt idx="7">
                  <c:v>605796.63199999987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C103-4B78-9FDD-C4D67F63B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'Total Impact 2023'!$B$1:$B$2</c15:sqref>
                        </c15:formulaRef>
                      </c:ext>
                    </c:extLst>
                    <c:strCache>
                      <c:ptCount val="2"/>
                      <c:pt idx="0">
                        <c:v>GHG Emissions (t CO2 eq)</c:v>
                      </c:pt>
                      <c:pt idx="1">
                        <c:v>Aluminium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B2E9-4BF2-BCB7-8A1B4F4681D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B2E9-4BF2-BCB7-8A1B4F4681D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B2E9-4BF2-BCB7-8A1B4F4681D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B2E9-4BF2-BCB7-8A1B4F4681D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B2E9-4BF2-BCB7-8A1B4F4681D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B2E9-4BF2-BCB7-8A1B4F4681D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B2E9-4BF2-BCB7-8A1B4F4681D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B2E9-4BF2-BCB7-8A1B4F4681DA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'Total Impact 2023'!$A$3:$A$11</c15:sqref>
                        </c15:fullRef>
                        <c15:formulaRef>
                          <c15:sqref>'Total Impact 2023'!$A$3:$A$10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'Total Impact 2023'!$B$3:$B$11</c15:sqref>
                        </c15:fullRef>
                        <c15:formulaRef>
                          <c15:sqref>'Total Impact 2023'!$B$3:$B$10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1224315.3599999999</c:v>
                      </c:pt>
                      <c:pt idx="1">
                        <c:v>215654.848</c:v>
                      </c:pt>
                      <c:pt idx="2">
                        <c:v>97773.695999999996</c:v>
                      </c:pt>
                      <c:pt idx="3">
                        <c:v>44955.887999999992</c:v>
                      </c:pt>
                      <c:pt idx="4">
                        <c:v>961173.32400000014</c:v>
                      </c:pt>
                      <c:pt idx="5">
                        <c:v>157023.984</c:v>
                      </c:pt>
                      <c:pt idx="6">
                        <c:v>228586.81299999999</c:v>
                      </c:pt>
                      <c:pt idx="7">
                        <c:v>140001.73600000003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C103-4B78-9FDD-C4D67F63B17D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2023'!$C$1:$C$2</c15:sqref>
                        </c15:formulaRef>
                      </c:ext>
                    </c:extLst>
                    <c:strCache>
                      <c:ptCount val="2"/>
                      <c:pt idx="0">
                        <c:v>GHG Emissions (t CO2 eq)</c:v>
                      </c:pt>
                      <c:pt idx="1">
                        <c:v>Steel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B2E9-4BF2-BCB7-8A1B4F4681D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B2E9-4BF2-BCB7-8A1B4F4681D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B2E9-4BF2-BCB7-8A1B4F4681D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B2E9-4BF2-BCB7-8A1B4F4681D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B2E9-4BF2-BCB7-8A1B4F4681D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B2E9-4BF2-BCB7-8A1B4F4681D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B2E9-4BF2-BCB7-8A1B4F4681D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B2E9-4BF2-BCB7-8A1B4F4681DA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2023'!$A$3:$A$11</c15:sqref>
                        </c15:fullRef>
                        <c15:formulaRef>
                          <c15:sqref>'Total Impact 2023'!$A$3:$A$10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2023'!$C$3:$C$11</c15:sqref>
                        </c15:fullRef>
                        <c15:formulaRef>
                          <c15:sqref>'Total Impact 2023'!$C$3:$C$10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62490.239999999991</c:v>
                      </c:pt>
                      <c:pt idx="1">
                        <c:v>8443.9040000000005</c:v>
                      </c:pt>
                      <c:pt idx="2">
                        <c:v>14708.736000000001</c:v>
                      </c:pt>
                      <c:pt idx="3">
                        <c:v>764.86399999999992</c:v>
                      </c:pt>
                      <c:pt idx="4">
                        <c:v>39247.372799999997</c:v>
                      </c:pt>
                      <c:pt idx="5">
                        <c:v>10686.208000000001</c:v>
                      </c:pt>
                      <c:pt idx="6">
                        <c:v>14667.452799999999</c:v>
                      </c:pt>
                      <c:pt idx="7">
                        <c:v>28583.296000000006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C103-4B78-9FDD-C4D67F63B17D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2023'!$D$1:$D$2</c15:sqref>
                        </c15:formulaRef>
                      </c:ext>
                    </c:extLst>
                    <c:strCache>
                      <c:ptCount val="2"/>
                      <c:pt idx="0">
                        <c:v>GHG Emissions (t CO2 eq)</c:v>
                      </c:pt>
                      <c:pt idx="1">
                        <c:v>Titanium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1-B2E9-4BF2-BCB7-8A1B4F4681D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B2E9-4BF2-BCB7-8A1B4F4681D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B2E9-4BF2-BCB7-8A1B4F4681D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B2E9-4BF2-BCB7-8A1B4F4681D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B2E9-4BF2-BCB7-8A1B4F4681D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B2E9-4BF2-BCB7-8A1B4F4681D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B2E9-4BF2-BCB7-8A1B4F4681D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B2E9-4BF2-BCB7-8A1B4F4681DA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2023'!$A$3:$A$11</c15:sqref>
                        </c15:fullRef>
                        <c15:formulaRef>
                          <c15:sqref>'Total Impact 2023'!$A$3:$A$10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2023'!$D$3:$D$11</c15:sqref>
                        </c15:fullRef>
                        <c15:formulaRef>
                          <c15:sqref>'Total Impact 2023'!$D$3:$D$10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232968</c:v>
                      </c:pt>
                      <c:pt idx="1">
                        <c:v>67456</c:v>
                      </c:pt>
                      <c:pt idx="2">
                        <c:v>164505.60000000001</c:v>
                      </c:pt>
                      <c:pt idx="3">
                        <c:v>34217.600000000006</c:v>
                      </c:pt>
                      <c:pt idx="4">
                        <c:v>219475.44</c:v>
                      </c:pt>
                      <c:pt idx="5">
                        <c:v>9193.5999999999985</c:v>
                      </c:pt>
                      <c:pt idx="6">
                        <c:v>52195.78</c:v>
                      </c:pt>
                      <c:pt idx="7">
                        <c:v>239761.19999999998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C103-4B78-9FDD-C4D67F63B17D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'Total Impact 2023'!$E$1:$E$2</c15:sqref>
                        </c15:formulaRef>
                      </c:ext>
                    </c:extLst>
                    <c:strCache>
                      <c:ptCount val="2"/>
                      <c:pt idx="0">
                        <c:v>GHG Emissions (t CO2 eq)</c:v>
                      </c:pt>
                      <c:pt idx="1">
                        <c:v>CFRP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B2E9-4BF2-BCB7-8A1B4F4681D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B2E9-4BF2-BCB7-8A1B4F4681D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B2E9-4BF2-BCB7-8A1B4F4681D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B2E9-4BF2-BCB7-8A1B4F4681D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B2E9-4BF2-BCB7-8A1B4F4681D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B2E9-4BF2-BCB7-8A1B4F4681D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B2E9-4BF2-BCB7-8A1B4F4681D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B2E9-4BF2-BCB7-8A1B4F4681DA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'Total Impact 2023'!$A$3:$A$11</c15:sqref>
                        </c15:fullRef>
                        <c15:formulaRef>
                          <c15:sqref>'Total Impact 2023'!$A$3:$A$10</c15:sqref>
                        </c15:formulaRef>
                      </c:ext>
                    </c:extLst>
                    <c:strCache>
                      <c:ptCount val="8"/>
                      <c:pt idx="0">
                        <c:v>A320</c:v>
                      </c:pt>
                      <c:pt idx="1">
                        <c:v>A330</c:v>
                      </c:pt>
                      <c:pt idx="2">
                        <c:v>A350</c:v>
                      </c:pt>
                      <c:pt idx="3">
                        <c:v>A220</c:v>
                      </c:pt>
                      <c:pt idx="4">
                        <c:v>B737</c:v>
                      </c:pt>
                      <c:pt idx="5">
                        <c:v>B767</c:v>
                      </c:pt>
                      <c:pt idx="6">
                        <c:v>B777</c:v>
                      </c:pt>
                      <c:pt idx="7">
                        <c:v>B787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'Total Impact 2023'!$E$3:$E$11</c15:sqref>
                        </c15:fullRef>
                        <c15:formulaRef>
                          <c15:sqref>'Total Impact 2023'!$E$3:$E$10</c15:sqref>
                        </c15:formulaRef>
                      </c:ext>
                    </c:extLst>
                    <c:numCache>
                      <c:formatCode>0</c:formatCode>
                      <c:ptCount val="8"/>
                      <c:pt idx="0">
                        <c:v>95928</c:v>
                      </c:pt>
                      <c:pt idx="1">
                        <c:v>13332.48</c:v>
                      </c:pt>
                      <c:pt idx="2">
                        <c:v>153861.12</c:v>
                      </c:pt>
                      <c:pt idx="3">
                        <c:v>48609.120000000003</c:v>
                      </c:pt>
                      <c:pt idx="4">
                        <c:v>20333.754000000001</c:v>
                      </c:pt>
                      <c:pt idx="5">
                        <c:v>5678.4000000000005</c:v>
                      </c:pt>
                      <c:pt idx="6">
                        <c:v>22106.447999999997</c:v>
                      </c:pt>
                      <c:pt idx="7">
                        <c:v>197450.40000000002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C103-4B78-9FDD-C4D67F63B17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 Stage 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Impact 2023'!$O$14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Impact 2023'!$N$15:$N$22</c:f>
              <c:strCache>
                <c:ptCount val="8"/>
                <c:pt idx="0">
                  <c:v>A320</c:v>
                </c:pt>
                <c:pt idx="1">
                  <c:v>A330</c:v>
                </c:pt>
                <c:pt idx="2">
                  <c:v>A350</c:v>
                </c:pt>
                <c:pt idx="3">
                  <c:v>A220</c:v>
                </c:pt>
                <c:pt idx="4">
                  <c:v>B737</c:v>
                </c:pt>
                <c:pt idx="5">
                  <c:v>B767</c:v>
                </c:pt>
                <c:pt idx="6">
                  <c:v>B777</c:v>
                </c:pt>
                <c:pt idx="7">
                  <c:v>B787</c:v>
                </c:pt>
              </c:strCache>
            </c:strRef>
          </c:cat>
          <c:val>
            <c:numRef>
              <c:f>'Total Impact 2023'!$O$15:$O$22</c:f>
              <c:numCache>
                <c:formatCode>General</c:formatCode>
                <c:ptCount val="8"/>
                <c:pt idx="0">
                  <c:v>20269038.240000002</c:v>
                </c:pt>
                <c:pt idx="1">
                  <c:v>3984617.9840000002</c:v>
                </c:pt>
                <c:pt idx="2">
                  <c:v>7202151.9360000007</c:v>
                </c:pt>
                <c:pt idx="3">
                  <c:v>2048034.064</c:v>
                </c:pt>
                <c:pt idx="4">
                  <c:v>15502099.015800005</c:v>
                </c:pt>
                <c:pt idx="5">
                  <c:v>2109287.648</c:v>
                </c:pt>
                <c:pt idx="6">
                  <c:v>4059621.0927999993</c:v>
                </c:pt>
                <c:pt idx="7">
                  <c:v>10052481.935999999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5-4BA2-85EB-E447F971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5174368"/>
        <c:axId val="386553008"/>
      </c:barChart>
      <c:catAx>
        <c:axId val="173517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53008"/>
        <c:crosses val="autoZero"/>
        <c:auto val="1"/>
        <c:lblAlgn val="ctr"/>
        <c:lblOffset val="100"/>
        <c:noMultiLvlLbl val="0"/>
      </c:catAx>
      <c:valAx>
        <c:axId val="38655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17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</a:t>
            </a:r>
            <a:r>
              <a:rPr lang="en-US" baseline="0"/>
              <a:t> stage GHG Emissions 2023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Impact 2023'!$F$2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'Total Impact 2023'!$A$3:$A$10</c:f>
              <c:strCache>
                <c:ptCount val="8"/>
                <c:pt idx="0">
                  <c:v>A320</c:v>
                </c:pt>
                <c:pt idx="1">
                  <c:v>A330</c:v>
                </c:pt>
                <c:pt idx="2">
                  <c:v>A350</c:v>
                </c:pt>
                <c:pt idx="3">
                  <c:v>A220</c:v>
                </c:pt>
                <c:pt idx="4">
                  <c:v>B737</c:v>
                </c:pt>
                <c:pt idx="5">
                  <c:v>B767</c:v>
                </c:pt>
                <c:pt idx="6">
                  <c:v>B777</c:v>
                </c:pt>
                <c:pt idx="7">
                  <c:v>B787</c:v>
                </c:pt>
              </c:strCache>
            </c:strRef>
          </c:cat>
          <c:val>
            <c:numRef>
              <c:f>'Total Impact 2023'!$F$3:$F$10</c:f>
              <c:numCache>
                <c:formatCode>0</c:formatCode>
                <c:ptCount val="8"/>
                <c:pt idx="0">
                  <c:v>1615701.5999999999</c:v>
                </c:pt>
                <c:pt idx="1">
                  <c:v>304887.23199999996</c:v>
                </c:pt>
                <c:pt idx="2">
                  <c:v>430849.152</c:v>
                </c:pt>
                <c:pt idx="3">
                  <c:v>128547.47199999999</c:v>
                </c:pt>
                <c:pt idx="4">
                  <c:v>1240229.8908000002</c:v>
                </c:pt>
                <c:pt idx="5">
                  <c:v>182582.19200000001</c:v>
                </c:pt>
                <c:pt idx="6">
                  <c:v>317556.4938</c:v>
                </c:pt>
                <c:pt idx="7">
                  <c:v>605796.63199999987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C-49A5-90F0-11BBC599A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4771952"/>
        <c:axId val="1744772432"/>
      </c:barChart>
      <c:catAx>
        <c:axId val="1744771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772432"/>
        <c:crosses val="autoZero"/>
        <c:auto val="1"/>
        <c:lblAlgn val="ctr"/>
        <c:lblOffset val="100"/>
        <c:noMultiLvlLbl val="0"/>
      </c:catAx>
      <c:valAx>
        <c:axId val="17447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77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10" b="0" i="0" u="none" strike="noStrike" normalizeH="1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810" b="0" i="0" u="none" strike="noStrike" kern="0" cap="none" spc="0" normalizeH="1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Calibri"/>
                <a:cs typeface="Calibri"/>
              </a:rPr>
              <a:t>GHE (</a:t>
            </a:r>
            <a:r>
              <a:rPr lang="fr-FR" sz="1810" b="1" i="0" u="none" strike="noStrike" spc="100" normalizeH="1" baseline="0">
                <a:solidFill>
                  <a:srgbClr val="FFFFFF">
                    <a:lumMod val="95000"/>
                  </a:srgbClr>
                </a:solidFill>
                <a:effectLst/>
                <a:latin typeface="Calibri"/>
                <a:ea typeface="Calibri"/>
                <a:cs typeface="Calibri"/>
              </a:rPr>
              <a:t>Tons</a:t>
            </a:r>
            <a:r>
              <a:rPr lang="fr-FR" sz="1810" b="0" i="0" u="none" strike="noStrike" spc="100" normalizeH="1" baseline="0">
                <a:solidFill>
                  <a:srgbClr val="FFFFFF">
                    <a:lumMod val="95000"/>
                  </a:srgbClr>
                </a:solidFill>
                <a:effectLst/>
                <a:latin typeface="Calibri"/>
                <a:ea typeface="Calibri"/>
                <a:cs typeface="Calibri"/>
              </a:rPr>
              <a:t> of CO2 equivalent</a:t>
            </a:r>
            <a:r>
              <a:rPr kumimoji="0" lang="en-US" sz="1810" b="0" i="0" u="none" strike="noStrike" kern="0" cap="none" spc="0" normalizeH="1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Calibri"/>
                <a:cs typeface="Calibri"/>
              </a:rPr>
              <a:t>)</a:t>
            </a:r>
          </a:p>
        </cx:rich>
      </cx:tx>
    </cx:title>
    <cx:plotArea>
      <cx:plotAreaRegion>
        <cx:series layoutId="sunburst" uniqueId="{8A993B65-ED57-DD45-9A80-7200596E9BDB}" formatIdx="0">
          <cx:tx>
            <cx:txData>
              <cx:f>_xlchart.v1.1</cx:f>
              <cx:v>Total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810" b="0" normalizeH="1" baseline="0">
                    <a:solidFill>
                      <a:srgbClr val="F2F2F2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1810" normalizeH="1" baseline="0"/>
              </a:p>
            </cx:txPr>
            <cx:visibility seriesName="0" categoryName="0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810" b="0" normalizeH="1" baseline="0">
              <a:solidFill>
                <a:srgbClr val="F2F2F2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810" normalizeH="1" baseline="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232410</xdr:colOff>
      <xdr:row>0</xdr:row>
      <xdr:rowOff>30480</xdr:rowOff>
    </xdr:from>
    <xdr:to>
      <xdr:col>12</xdr:col>
      <xdr:colOff>110490</xdr:colOff>
      <xdr:row>12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1C6C0-71BD-1947-C9B3-3C7DC0B11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224790</xdr:colOff>
      <xdr:row>12</xdr:row>
      <xdr:rowOff>83820</xdr:rowOff>
    </xdr:from>
    <xdr:to>
      <xdr:col>12</xdr:col>
      <xdr:colOff>102870</xdr:colOff>
      <xdr:row>26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BDD87-B79F-846D-75D9-BF384BAC4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156210</xdr:colOff>
      <xdr:row>0</xdr:row>
      <xdr:rowOff>30480</xdr:rowOff>
    </xdr:from>
    <xdr:to>
      <xdr:col>19</xdr:col>
      <xdr:colOff>34290</xdr:colOff>
      <xdr:row>12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1C6214-DB97-8F3F-A667-63A93250F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262890</xdr:colOff>
      <xdr:row>23</xdr:row>
      <xdr:rowOff>175260</xdr:rowOff>
    </xdr:from>
    <xdr:to>
      <xdr:col>12</xdr:col>
      <xdr:colOff>525780</xdr:colOff>
      <xdr:row>35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A6318-87F3-BC1F-E139-418F57E4B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243840</xdr:colOff>
      <xdr:row>12</xdr:row>
      <xdr:rowOff>22860</xdr:rowOff>
    </xdr:from>
    <xdr:to>
      <xdr:col>12</xdr:col>
      <xdr:colOff>495300</xdr:colOff>
      <xdr:row>22</xdr:row>
      <xdr:rowOff>198120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B5F123-6A5B-FD57-0146-AD2F8567A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240030</xdr:colOff>
      <xdr:row>0</xdr:row>
      <xdr:rowOff>0</xdr:rowOff>
    </xdr:from>
    <xdr:to>
      <xdr:col>12</xdr:col>
      <xdr:colOff>525780</xdr:colOff>
      <xdr:row>10</xdr:row>
      <xdr:rowOff>213360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E12B65-CE7F-DEB4-2C23-65DB3E263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169862</xdr:colOff>
      <xdr:row>21</xdr:row>
      <xdr:rowOff>228600</xdr:rowOff>
    </xdr:from>
    <xdr:to>
      <xdr:col>18</xdr:col>
      <xdr:colOff>153987</xdr:colOff>
      <xdr:row>33</xdr:row>
      <xdr:rowOff>190500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31E7F30-7DB9-613D-FAED-97807F743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439737</xdr:colOff>
      <xdr:row>7</xdr:row>
      <xdr:rowOff>171450</xdr:rowOff>
    </xdr:from>
    <xdr:to>
      <xdr:col>19</xdr:col>
      <xdr:colOff>417512</xdr:colOff>
      <xdr:row>19</xdr:row>
      <xdr:rowOff>133350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166CB67-BAD6-D0C6-8E41-229BE203C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14</xdr:row>
      <xdr:rowOff>19050</xdr:rowOff>
    </xdr:from>
    <xdr:to>
      <xdr:col>12</xdr:col>
      <xdr:colOff>695325</xdr:colOff>
      <xdr:row>56</xdr:row>
      <xdr:rowOff>175317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BB0DA43-211D-2A60-333E-22919B04E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2819400"/>
          <a:ext cx="7296150" cy="85573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19050</xdr:rowOff>
    </xdr:from>
    <xdr:to>
      <xdr:col>5</xdr:col>
      <xdr:colOff>457898</xdr:colOff>
      <xdr:row>46</xdr:row>
      <xdr:rowOff>153312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CC7C3B0-F25D-6C51-850D-871626DB7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19400"/>
          <a:ext cx="5001323" cy="6535062"/>
        </a:xfrm>
        <a:prstGeom prst="rect">
          <a:avLst/>
        </a:prstGeom>
      </xdr:spPr>
    </xdr:pic>
    <xdr:clientData/>
  </xdr:twoCellAnchor>
  <xdr:twoCellAnchor editAs="oneCell">
    <xdr:from>
      <xdr:col>12</xdr:col>
      <xdr:colOff>704850</xdr:colOff>
      <xdr:row>14</xdr:row>
      <xdr:rowOff>38100</xdr:rowOff>
    </xdr:from>
    <xdr:to>
      <xdr:col>19</xdr:col>
      <xdr:colOff>76801</xdr:colOff>
      <xdr:row>28</xdr:row>
      <xdr:rowOff>38491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686E508-3B51-9B2D-8078-429530F20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6775" y="2838450"/>
          <a:ext cx="4305901" cy="2800741"/>
        </a:xfrm>
        <a:prstGeom prst="rect">
          <a:avLst/>
        </a:prstGeom>
      </xdr:spPr>
    </xdr:pic>
    <xdr:clientData/>
  </xdr:twoCellAnchor>
  <xdr:twoCellAnchor editAs="oneCell">
    <xdr:from>
      <xdr:col>12</xdr:col>
      <xdr:colOff>704850</xdr:colOff>
      <xdr:row>28</xdr:row>
      <xdr:rowOff>28575</xdr:rowOff>
    </xdr:from>
    <xdr:to>
      <xdr:col>19</xdr:col>
      <xdr:colOff>50869</xdr:colOff>
      <xdr:row>43</xdr:row>
      <xdr:rowOff>161925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9378A39-02C1-6C5D-FE96-425CD060B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96775" y="5629275"/>
          <a:ext cx="4279969" cy="3133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161925</xdr:rowOff>
    </xdr:from>
    <xdr:to>
      <xdr:col>3</xdr:col>
      <xdr:colOff>943435</xdr:colOff>
      <xdr:row>87</xdr:row>
      <xdr:rowOff>105912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1867612-2746-FE62-B43D-A0375FF2C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363075"/>
          <a:ext cx="3296110" cy="81450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2</xdr:row>
      <xdr:rowOff>139700</xdr:rowOff>
    </xdr:from>
    <xdr:to>
      <xdr:col>13</xdr:col>
      <xdr:colOff>330200</xdr:colOff>
      <xdr:row>25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774799-FFB0-F041-A83C-ACB6C10ABF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6800" y="596900"/>
              <a:ext cx="7743825" cy="4670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ceras.ilr.rwth-aachen.de/tiki/tiki-index.php?page=Welc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zoomScale="80" zoomScaleNormal="80" workbookViewId="0">
      <selection activeCell="A5" sqref="A5:E5"/>
    </sheetView>
  </sheetViews>
  <sheetFormatPr baseColWidth="10" defaultColWidth="11.125" defaultRowHeight="15" customHeight="1" x14ac:dyDescent="0.25"/>
  <cols>
    <col min="1" max="1" width="13.625" customWidth="1"/>
    <col min="2" max="2" width="9.625" customWidth="1"/>
    <col min="3" max="3" width="5.375" customWidth="1"/>
    <col min="4" max="4" width="6.375" customWidth="1"/>
    <col min="5" max="5" width="5.375" customWidth="1"/>
    <col min="6" max="6" width="10.875" customWidth="1"/>
    <col min="7" max="7" width="9" customWidth="1"/>
    <col min="8" max="8" width="16.375" customWidth="1"/>
    <col min="9" max="9" width="4.625" customWidth="1"/>
    <col min="10" max="10" width="5.375" customWidth="1"/>
    <col min="11" max="11" width="6.375" customWidth="1"/>
    <col min="12" max="12" width="5.375" customWidth="1"/>
    <col min="13" max="13" width="10.875" customWidth="1"/>
    <col min="14" max="14" width="8.125" customWidth="1"/>
    <col min="15" max="15" width="18.375" customWidth="1"/>
    <col min="16" max="17" width="10.875" customWidth="1"/>
    <col min="18" max="18" width="15.5" customWidth="1"/>
    <col min="19" max="19" width="8.75" bestFit="1" customWidth="1"/>
    <col min="20" max="20" width="8.875" customWidth="1"/>
    <col min="21" max="21" width="3.625" customWidth="1"/>
    <col min="22" max="26" width="10.5" customWidth="1"/>
  </cols>
  <sheetData>
    <row r="1" spans="1:26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1" t="s">
        <v>4</v>
      </c>
      <c r="H1" s="1" t="s">
        <v>5</v>
      </c>
      <c r="I1" s="1" t="s">
        <v>6</v>
      </c>
      <c r="J1" s="1" t="s">
        <v>1</v>
      </c>
      <c r="K1" s="1" t="s">
        <v>2</v>
      </c>
      <c r="L1" s="1" t="s">
        <v>3</v>
      </c>
      <c r="M1" s="2"/>
      <c r="N1" s="30"/>
      <c r="O1" s="1" t="s">
        <v>46</v>
      </c>
      <c r="P1" s="1" t="s">
        <v>45</v>
      </c>
      <c r="Q1" s="1" t="s">
        <v>47</v>
      </c>
      <c r="R1" s="1" t="s">
        <v>48</v>
      </c>
      <c r="S1" s="1" t="s">
        <v>49</v>
      </c>
      <c r="T1" s="1" t="s">
        <v>3</v>
      </c>
      <c r="U1" s="2"/>
      <c r="V1" s="2"/>
      <c r="W1" s="2"/>
      <c r="X1" s="2"/>
      <c r="Y1" s="2"/>
      <c r="Z1" s="2"/>
    </row>
    <row r="2" spans="1:26" ht="15.75" customHeight="1" x14ac:dyDescent="0.25">
      <c r="A2" s="1" t="s">
        <v>7</v>
      </c>
      <c r="B2" s="1">
        <v>14.89</v>
      </c>
      <c r="C2" s="1">
        <v>1.9</v>
      </c>
      <c r="D2" s="1">
        <v>17</v>
      </c>
      <c r="E2" s="1">
        <v>28</v>
      </c>
      <c r="F2" s="2"/>
      <c r="G2" s="1">
        <v>86.2</v>
      </c>
      <c r="H2" s="3" t="s">
        <v>8</v>
      </c>
      <c r="I2" s="4">
        <v>0.67</v>
      </c>
      <c r="J2" s="4">
        <v>0.12</v>
      </c>
      <c r="K2" s="4">
        <v>0.04</v>
      </c>
      <c r="L2" s="4">
        <v>0.09</v>
      </c>
      <c r="M2" s="2"/>
      <c r="N2" s="30"/>
      <c r="O2" s="3" t="s">
        <v>8</v>
      </c>
      <c r="P2" s="1">
        <v>86.2</v>
      </c>
      <c r="Q2" s="4">
        <v>0.67</v>
      </c>
      <c r="R2" s="4">
        <v>0.12</v>
      </c>
      <c r="S2" s="4">
        <v>0.04</v>
      </c>
      <c r="T2" s="4">
        <v>0.09</v>
      </c>
      <c r="U2" s="2"/>
      <c r="V2" s="2"/>
      <c r="W2" s="2"/>
      <c r="X2" s="2"/>
      <c r="Y2" s="2"/>
      <c r="Z2" s="2"/>
    </row>
    <row r="3" spans="1:26" ht="15.75" customHeight="1" x14ac:dyDescent="0.25">
      <c r="A3" s="1" t="s">
        <v>9</v>
      </c>
      <c r="B3" s="1">
        <v>162.80000000000001</v>
      </c>
      <c r="C3" s="1">
        <v>19.899999999999999</v>
      </c>
      <c r="D3" s="1">
        <v>326</v>
      </c>
      <c r="E3" s="1">
        <v>514</v>
      </c>
      <c r="F3" s="2"/>
      <c r="G3" s="1">
        <v>40</v>
      </c>
      <c r="H3" s="3" t="s">
        <v>10</v>
      </c>
      <c r="I3" s="4">
        <v>0.72</v>
      </c>
      <c r="J3" s="4">
        <v>0.09</v>
      </c>
      <c r="K3" s="4">
        <v>0.06</v>
      </c>
      <c r="L3" s="4">
        <v>0.1</v>
      </c>
      <c r="M3" s="2"/>
      <c r="N3" s="30"/>
      <c r="O3" s="3" t="s">
        <v>10</v>
      </c>
      <c r="P3" s="1">
        <v>40</v>
      </c>
      <c r="Q3" s="4">
        <v>0.72</v>
      </c>
      <c r="R3" s="4">
        <v>0.09</v>
      </c>
      <c r="S3" s="4">
        <v>0.06</v>
      </c>
      <c r="T3" s="4">
        <v>0.1</v>
      </c>
      <c r="U3" s="2"/>
      <c r="V3" s="2"/>
      <c r="W3" s="2"/>
      <c r="X3" s="2"/>
      <c r="Y3" s="2"/>
      <c r="Z3" s="2"/>
    </row>
    <row r="4" spans="1:26" ht="15.75" customHeight="1" x14ac:dyDescent="0.25">
      <c r="A4" s="1" t="s">
        <v>11</v>
      </c>
      <c r="B4" s="1">
        <v>4.5</v>
      </c>
      <c r="C4" s="1">
        <v>2.4</v>
      </c>
      <c r="D4" s="1">
        <v>16.899999999999999</v>
      </c>
      <c r="E4" s="1">
        <v>0.3</v>
      </c>
      <c r="F4" s="2"/>
      <c r="G4" s="1">
        <v>124</v>
      </c>
      <c r="H4" s="3" t="s">
        <v>12</v>
      </c>
      <c r="I4" s="4">
        <v>0.73</v>
      </c>
      <c r="J4" s="4">
        <v>7.0000000000000007E-2</v>
      </c>
      <c r="K4" s="4">
        <v>0.1</v>
      </c>
      <c r="L4" s="4">
        <v>0.08</v>
      </c>
      <c r="M4" s="2"/>
      <c r="N4" s="30"/>
      <c r="O4" s="3" t="s">
        <v>12</v>
      </c>
      <c r="P4" s="1">
        <v>124</v>
      </c>
      <c r="Q4" s="4">
        <v>0.73</v>
      </c>
      <c r="R4" s="4">
        <v>7.0000000000000007E-2</v>
      </c>
      <c r="S4" s="4">
        <v>0.1</v>
      </c>
      <c r="T4" s="4">
        <v>0.08</v>
      </c>
      <c r="U4" s="2"/>
      <c r="V4" s="2"/>
      <c r="W4" s="2"/>
      <c r="X4" s="2"/>
      <c r="Y4" s="2"/>
      <c r="Z4" s="2"/>
    </row>
    <row r="5" spans="1:26" ht="15.75" customHeight="1" x14ac:dyDescent="0.25">
      <c r="A5" s="1" t="s">
        <v>13</v>
      </c>
      <c r="B5" s="1">
        <v>5</v>
      </c>
      <c r="C5" s="1">
        <v>16</v>
      </c>
      <c r="D5" s="1">
        <v>10</v>
      </c>
      <c r="E5" s="1">
        <v>1.5</v>
      </c>
      <c r="F5" s="2"/>
      <c r="G5" s="1">
        <v>277</v>
      </c>
      <c r="H5" s="3" t="s">
        <v>14</v>
      </c>
      <c r="I5" s="4">
        <v>0.75</v>
      </c>
      <c r="J5" s="4">
        <v>7.0000000000000007E-2</v>
      </c>
      <c r="K5" s="4">
        <v>0.08</v>
      </c>
      <c r="L5" s="4">
        <v>7.0000000000000007E-2</v>
      </c>
      <c r="M5" s="2"/>
      <c r="N5" s="30"/>
      <c r="O5" s="3" t="s">
        <v>14</v>
      </c>
      <c r="P5" s="1">
        <v>277</v>
      </c>
      <c r="Q5" s="4">
        <v>0.75</v>
      </c>
      <c r="R5" s="4">
        <v>7.0000000000000007E-2</v>
      </c>
      <c r="S5" s="4">
        <v>0.08</v>
      </c>
      <c r="T5" s="4">
        <v>7.0000000000000007E-2</v>
      </c>
      <c r="U5" s="2"/>
      <c r="V5" s="2"/>
      <c r="W5" s="2"/>
      <c r="X5" s="2"/>
      <c r="Y5" s="2"/>
      <c r="Z5" s="2"/>
    </row>
    <row r="6" spans="1:26" ht="15.75" customHeight="1" x14ac:dyDescent="0.25">
      <c r="A6" s="1" t="s">
        <v>15</v>
      </c>
      <c r="B6" s="1">
        <v>75</v>
      </c>
      <c r="C6" s="1">
        <v>12</v>
      </c>
      <c r="D6" s="1">
        <v>14</v>
      </c>
      <c r="E6" s="1">
        <v>53</v>
      </c>
      <c r="F6" s="2"/>
      <c r="G6" s="1">
        <v>108</v>
      </c>
      <c r="H6" s="3" t="s">
        <v>16</v>
      </c>
      <c r="I6" s="4">
        <v>0.19</v>
      </c>
      <c r="J6" s="4">
        <v>7.0000000000000007E-2</v>
      </c>
      <c r="K6" s="4">
        <v>0.14000000000000001</v>
      </c>
      <c r="L6" s="4">
        <v>0.53</v>
      </c>
      <c r="M6" s="2"/>
      <c r="N6" s="30"/>
      <c r="O6" s="3" t="s">
        <v>16</v>
      </c>
      <c r="P6" s="1">
        <v>108</v>
      </c>
      <c r="Q6" s="4">
        <v>0.19</v>
      </c>
      <c r="R6" s="4">
        <v>7.0000000000000007E-2</v>
      </c>
      <c r="S6" s="4">
        <v>0.14000000000000001</v>
      </c>
      <c r="T6" s="4">
        <v>0.53</v>
      </c>
      <c r="U6" s="2"/>
      <c r="V6" s="2"/>
      <c r="W6" s="2"/>
      <c r="X6" s="2"/>
      <c r="Y6" s="2"/>
      <c r="Z6" s="2"/>
    </row>
    <row r="7" spans="1:26" ht="15.75" customHeight="1" x14ac:dyDescent="0.25">
      <c r="A7" s="1" t="s">
        <v>17</v>
      </c>
      <c r="B7" s="1">
        <f>19-75</f>
        <v>-56</v>
      </c>
      <c r="C7" s="1">
        <v>0</v>
      </c>
      <c r="D7" s="1">
        <v>6</v>
      </c>
      <c r="E7" s="1">
        <f>53-7</f>
        <v>46</v>
      </c>
      <c r="F7" s="2"/>
      <c r="G7" s="1">
        <v>37</v>
      </c>
      <c r="H7" s="3" t="s">
        <v>43</v>
      </c>
      <c r="I7" s="4">
        <v>0.24</v>
      </c>
      <c r="J7" s="4">
        <v>0.01</v>
      </c>
      <c r="K7" s="4">
        <v>0.08</v>
      </c>
      <c r="L7" s="4">
        <v>0.46</v>
      </c>
      <c r="M7" s="2"/>
      <c r="N7" s="2"/>
      <c r="O7" s="3" t="s">
        <v>43</v>
      </c>
      <c r="P7" s="1">
        <v>37</v>
      </c>
      <c r="Q7" s="4">
        <v>0.24</v>
      </c>
      <c r="R7" s="4">
        <v>0.01</v>
      </c>
      <c r="S7" s="4">
        <v>0.08</v>
      </c>
      <c r="T7" s="4">
        <v>0.46</v>
      </c>
      <c r="U7" s="5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1">
        <v>41.7</v>
      </c>
      <c r="H8" s="3" t="s">
        <v>38</v>
      </c>
      <c r="I8" s="4">
        <v>0.8</v>
      </c>
      <c r="J8" s="4">
        <v>0.08</v>
      </c>
      <c r="K8" s="4">
        <v>0.08</v>
      </c>
      <c r="L8" s="4">
        <v>0.03</v>
      </c>
      <c r="M8" s="2"/>
      <c r="N8" s="2"/>
      <c r="O8" s="3" t="s">
        <v>38</v>
      </c>
      <c r="P8" s="1">
        <v>41.7</v>
      </c>
      <c r="Q8" s="4">
        <v>0.8</v>
      </c>
      <c r="R8" s="4">
        <v>0.08</v>
      </c>
      <c r="S8" s="4">
        <v>0.08</v>
      </c>
      <c r="T8" s="4">
        <v>0.03</v>
      </c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1">
        <v>184.6</v>
      </c>
      <c r="H9" s="3" t="s">
        <v>42</v>
      </c>
      <c r="I9" s="4">
        <v>0.81</v>
      </c>
      <c r="J9" s="4">
        <v>0.13</v>
      </c>
      <c r="K9" s="4">
        <v>0.04</v>
      </c>
      <c r="L9" s="4">
        <v>0.01</v>
      </c>
      <c r="M9" s="2"/>
      <c r="N9" s="2"/>
      <c r="O9" s="3" t="s">
        <v>42</v>
      </c>
      <c r="P9" s="1">
        <v>184.6</v>
      </c>
      <c r="Q9" s="4">
        <v>0.81</v>
      </c>
      <c r="R9" s="4">
        <v>0.13</v>
      </c>
      <c r="S9" s="4">
        <v>0.04</v>
      </c>
      <c r="T9" s="4">
        <v>0.01</v>
      </c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1">
        <v>84.5</v>
      </c>
      <c r="H10" s="3" t="s">
        <v>39</v>
      </c>
      <c r="I10" s="4">
        <v>0.78</v>
      </c>
      <c r="J10" s="4">
        <v>0.13</v>
      </c>
      <c r="K10" s="4">
        <v>0.02</v>
      </c>
      <c r="L10" s="4">
        <v>0.05</v>
      </c>
      <c r="M10" s="2"/>
      <c r="N10" s="2"/>
      <c r="O10" s="3" t="s">
        <v>39</v>
      </c>
      <c r="P10" s="1">
        <v>84.5</v>
      </c>
      <c r="Q10" s="4">
        <v>0.78</v>
      </c>
      <c r="R10" s="4">
        <v>0.13</v>
      </c>
      <c r="S10" s="4">
        <v>0.02</v>
      </c>
      <c r="T10" s="4">
        <v>0.05</v>
      </c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1">
        <v>168.7</v>
      </c>
      <c r="H11" s="3" t="s">
        <v>40</v>
      </c>
      <c r="I11" s="4">
        <v>0.7</v>
      </c>
      <c r="J11" s="4">
        <v>0.11</v>
      </c>
      <c r="K11" s="4">
        <v>7.0000000000000007E-2</v>
      </c>
      <c r="L11" s="4">
        <v>0.12</v>
      </c>
      <c r="M11" s="2"/>
      <c r="N11" s="2"/>
      <c r="O11" s="3" t="s">
        <v>40</v>
      </c>
      <c r="P11" s="1">
        <v>168.7</v>
      </c>
      <c r="Q11" s="4">
        <v>0.7</v>
      </c>
      <c r="R11" s="4">
        <v>0.11</v>
      </c>
      <c r="S11" s="4">
        <v>7.0000000000000007E-2</v>
      </c>
      <c r="T11" s="4">
        <v>0.12</v>
      </c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1">
        <v>128.80000000000001</v>
      </c>
      <c r="H12" s="3" t="s">
        <v>41</v>
      </c>
      <c r="I12" s="4">
        <v>0.2</v>
      </c>
      <c r="J12" s="4">
        <v>0.1</v>
      </c>
      <c r="K12" s="4">
        <v>0.15</v>
      </c>
      <c r="L12" s="4">
        <v>0.5</v>
      </c>
      <c r="M12" s="2"/>
      <c r="N12" s="2"/>
      <c r="O12" s="3" t="s">
        <v>41</v>
      </c>
      <c r="P12" s="1">
        <v>128.80000000000001</v>
      </c>
      <c r="Q12" s="4">
        <v>0.2</v>
      </c>
      <c r="R12" s="4">
        <v>0.1</v>
      </c>
      <c r="S12" s="4">
        <v>0.15</v>
      </c>
      <c r="T12" s="4">
        <v>0.5</v>
      </c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 t="s">
        <v>37</v>
      </c>
      <c r="H16" s="2">
        <f>12.5*1*22.4</f>
        <v>280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 t="s">
        <v>3</v>
      </c>
      <c r="H17" s="2">
        <f>12.5*1*29.5</f>
        <v>368.75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 t="s">
        <v>37</v>
      </c>
      <c r="H19" s="2">
        <f>12.5*1*22.4*5</f>
        <v>1400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 t="s">
        <v>3</v>
      </c>
      <c r="H20" s="2">
        <f>12.5*1*29.5*1.5</f>
        <v>553.125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T1000" s="2"/>
      <c r="U1000" s="2"/>
      <c r="V1000" s="2"/>
      <c r="W1000" s="2"/>
      <c r="X1000" s="2"/>
      <c r="Y1000" s="2"/>
      <c r="Z1000" s="2"/>
    </row>
    <row r="1001" spans="1:26" ht="15" customHeight="1" x14ac:dyDescent="0.25">
      <c r="G1001" s="2"/>
      <c r="H1001" s="2"/>
      <c r="I1001" s="2"/>
      <c r="J1001" s="2"/>
      <c r="K1001" s="2"/>
      <c r="L1001" s="2"/>
    </row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2" sqref="F2:F12"/>
    </sheetView>
  </sheetViews>
  <sheetFormatPr baseColWidth="10" defaultColWidth="11.125" defaultRowHeight="15" customHeight="1" x14ac:dyDescent="0.25"/>
  <cols>
    <col min="1" max="1" width="9.5" customWidth="1"/>
    <col min="2" max="2" width="11.5" bestFit="1" customWidth="1"/>
    <col min="3" max="3" width="5.875" bestFit="1" customWidth="1"/>
    <col min="4" max="4" width="9.375" bestFit="1" customWidth="1"/>
    <col min="5" max="5" width="6.125" bestFit="1" customWidth="1"/>
    <col min="6" max="6" width="7.375" customWidth="1"/>
    <col min="7" max="8" width="10.875" customWidth="1"/>
    <col min="9" max="9" width="11.5" bestFit="1" customWidth="1"/>
    <col min="10" max="10" width="7.25" bestFit="1" customWidth="1"/>
    <col min="11" max="11" width="9.875" bestFit="1" customWidth="1"/>
    <col min="12" max="12" width="7.25" bestFit="1" customWidth="1"/>
    <col min="13" max="26" width="10.5" customWidth="1"/>
  </cols>
  <sheetData>
    <row r="1" spans="1:26" ht="15.75" customHeight="1" x14ac:dyDescent="0.3">
      <c r="A1" s="3" t="s">
        <v>44</v>
      </c>
      <c r="B1" s="22" t="s">
        <v>47</v>
      </c>
      <c r="C1" s="22" t="s">
        <v>48</v>
      </c>
      <c r="D1" s="22" t="s">
        <v>49</v>
      </c>
      <c r="E1" s="22" t="s">
        <v>3</v>
      </c>
      <c r="F1" s="22" t="s">
        <v>36</v>
      </c>
      <c r="G1" s="23"/>
      <c r="H1" s="3" t="s">
        <v>44</v>
      </c>
      <c r="I1" s="22" t="s">
        <v>47</v>
      </c>
      <c r="J1" s="22" t="s">
        <v>48</v>
      </c>
      <c r="K1" s="22" t="s">
        <v>49</v>
      </c>
      <c r="L1" s="22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24">
        <f>'BTF + frac massique'!$G2*'BTF + frac massique'!I2*'BTF + frac massique'!B$5*'BTF + frac massique'!B$2</f>
        <v>4299.7853000000005</v>
      </c>
      <c r="C2" s="24">
        <f>'BTF + frac massique'!$G2*'BTF + frac massique'!J2*'BTF + frac massique'!C$5*'BTF + frac massique'!C$2</f>
        <v>314.45759999999996</v>
      </c>
      <c r="D2" s="24">
        <f>'BTF + frac massique'!$G2*'BTF + frac massique'!K2*'BTF + frac massique'!D$5*'BTF + frac massique'!D$2</f>
        <v>586.16000000000008</v>
      </c>
      <c r="E2" s="24">
        <f>'BTF + frac massique'!$G2*'BTF + frac massique'!L2*'BTF + frac massique'!E$5*'BTF + frac massique'!E$2</f>
        <v>325.83600000000001</v>
      </c>
      <c r="F2" s="24">
        <f t="shared" ref="F2:F12" si="0">SUM(B2:E2)</f>
        <v>5526.2389000000003</v>
      </c>
      <c r="G2" s="23"/>
      <c r="H2" s="3" t="s">
        <v>8</v>
      </c>
      <c r="I2" s="25">
        <f t="shared" ref="I2:I5" si="1">B2/$F2</f>
        <v>0.77806721312753968</v>
      </c>
      <c r="J2" s="25">
        <f t="shared" ref="J2:J5" si="2">C2/$F2</f>
        <v>5.6902643134012887E-2</v>
      </c>
      <c r="K2" s="25">
        <f t="shared" ref="K2:K4" si="3">D2/$F2</f>
        <v>0.10606852338576966</v>
      </c>
      <c r="L2" s="25">
        <f t="shared" ref="L2" si="4">E2/$F$2</f>
        <v>5.8961620352677838E-2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 t="s">
        <v>10</v>
      </c>
      <c r="B3" s="24">
        <f>'BTF + frac massique'!$G3*'BTF + frac massique'!I3*'BTF + frac massique'!B$5*'BTF + frac massique'!B$2</f>
        <v>2144.16</v>
      </c>
      <c r="C3" s="24">
        <f>'BTF + frac massique'!$G3*'BTF + frac massique'!J3*'BTF + frac massique'!C$5*'BTF + frac massique'!C$2</f>
        <v>109.43999999999998</v>
      </c>
      <c r="D3" s="24">
        <f>'BTF + frac massique'!$G3*'BTF + frac massique'!K3*'BTF + frac massique'!D$5*'BTF + frac massique'!D$2</f>
        <v>408</v>
      </c>
      <c r="E3" s="24">
        <f>'BTF + frac massique'!$G3*'BTF + frac massique'!L3*'BTF + frac massique'!E$5*'BTF + frac massique'!E$2</f>
        <v>168</v>
      </c>
      <c r="F3" s="24">
        <f t="shared" si="0"/>
        <v>2829.6</v>
      </c>
      <c r="G3" s="23"/>
      <c r="H3" s="3" t="s">
        <v>10</v>
      </c>
      <c r="I3" s="25">
        <f t="shared" si="1"/>
        <v>0.75776081424936381</v>
      </c>
      <c r="J3" s="25">
        <f t="shared" si="2"/>
        <v>3.8676844783715011E-2</v>
      </c>
      <c r="K3" s="25">
        <f t="shared" si="3"/>
        <v>0.1441899915182358</v>
      </c>
      <c r="L3" s="25">
        <f t="shared" ref="L3" si="5">E3/$F$3</f>
        <v>5.937234944868533E-2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 t="s">
        <v>12</v>
      </c>
      <c r="B4" s="24">
        <f>'BTF + frac massique'!$G4*'BTF + frac massique'!I4*'BTF + frac massique'!B$5*'BTF + frac massique'!B$2</f>
        <v>6739.2139999999999</v>
      </c>
      <c r="C4" s="24">
        <f>'BTF + frac massique'!$G4*'BTF + frac massique'!J4*'BTF + frac massique'!C$5*'BTF + frac massique'!C$2</f>
        <v>263.87200000000001</v>
      </c>
      <c r="D4" s="24">
        <f>'BTF + frac massique'!$G4*'BTF + frac massique'!K4*'BTF + frac massique'!D$5*'BTF + frac massique'!D$2</f>
        <v>2108</v>
      </c>
      <c r="E4" s="24">
        <f>'BTF + frac massique'!$G4*'BTF + frac massique'!L4*'BTF + frac massique'!E$5*'BTF + frac massique'!E$2</f>
        <v>416.64</v>
      </c>
      <c r="F4" s="24">
        <f t="shared" si="0"/>
        <v>9527.7259999999987</v>
      </c>
      <c r="G4" s="23"/>
      <c r="H4" s="3" t="s">
        <v>12</v>
      </c>
      <c r="I4" s="25">
        <f t="shared" si="1"/>
        <v>0.70732659608389248</v>
      </c>
      <c r="J4" s="25">
        <f t="shared" si="2"/>
        <v>2.7695170914864686E-2</v>
      </c>
      <c r="K4" s="25">
        <f t="shared" si="3"/>
        <v>0.22124901576724607</v>
      </c>
      <c r="L4" s="25">
        <f t="shared" ref="L4" si="6">E4/$F$4</f>
        <v>4.3729217233996864E-2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 t="s">
        <v>14</v>
      </c>
      <c r="B5" s="24">
        <f>'BTF + frac massique'!$G5*'BTF + frac massique'!I5*'BTF + frac massique'!B$5*'BTF + frac massique'!B$2</f>
        <v>15466.987500000001</v>
      </c>
      <c r="C5" s="24">
        <f>'BTF + frac massique'!$G5*'BTF + frac massique'!J5*'BTF + frac massique'!C$5*'BTF + frac massique'!C$2</f>
        <v>589.45600000000002</v>
      </c>
      <c r="D5" s="24">
        <f>'BTF + frac massique'!$G5*'BTF + frac massique'!K5*'BTF + frac massique'!D$5*'BTF + frac massique'!D$2</f>
        <v>3767.2</v>
      </c>
      <c r="E5" s="24">
        <f>'BTF + frac massique'!$G5*'BTF + frac massique'!L5*'BTF + frac massique'!E$5*'BTF + frac massique'!E$2</f>
        <v>814.38</v>
      </c>
      <c r="F5" s="24">
        <f t="shared" si="0"/>
        <v>20638.023500000003</v>
      </c>
      <c r="G5" s="23"/>
      <c r="H5" s="3" t="s">
        <v>14</v>
      </c>
      <c r="I5" s="25">
        <f t="shared" si="1"/>
        <v>0.74944131641288225</v>
      </c>
      <c r="J5" s="25">
        <f t="shared" si="2"/>
        <v>2.8561649811087768E-2</v>
      </c>
      <c r="K5" s="25">
        <f>D5/$F5</f>
        <v>0.18253685969492181</v>
      </c>
      <c r="L5" s="25">
        <f t="shared" ref="L5" si="7">E5/$F$5</f>
        <v>3.94601740811081E-2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 t="s">
        <v>16</v>
      </c>
      <c r="B6" s="24">
        <f>'BTF + frac massique'!$G6*'BTF + frac massique'!I6*'BTF + frac massique'!B$5*'BTF + frac massique'!B$2</f>
        <v>1527.7139999999999</v>
      </c>
      <c r="C6" s="24">
        <f>'BTF + frac massique'!$G6*'BTF + frac massique'!J6*'BTF + frac massique'!C$5*'BTF + frac massique'!C$2</f>
        <v>229.82400000000001</v>
      </c>
      <c r="D6" s="24">
        <f>'BTF + frac massique'!$G6*'BTF + frac massique'!K6*'BTF + frac massique'!D$5*'BTF + frac massique'!D$2</f>
        <v>2570.4</v>
      </c>
      <c r="E6" s="24">
        <f>'BTF + frac massique'!$G6*'BTF + frac massique'!L6*'BTF + frac massique'!E$5*'BTF + frac massique'!E$2</f>
        <v>2404.08</v>
      </c>
      <c r="F6" s="24">
        <f t="shared" si="0"/>
        <v>6732.018</v>
      </c>
      <c r="G6" s="23"/>
      <c r="H6" s="3" t="s">
        <v>16</v>
      </c>
      <c r="I6" s="25">
        <f>B6/$F6</f>
        <v>0.22693254830869436</v>
      </c>
      <c r="J6" s="25">
        <f>C6/$F6</f>
        <v>3.4138946152550399E-2</v>
      </c>
      <c r="K6" s="25">
        <f t="shared" ref="K6:K12" si="8">D6/$F6</f>
        <v>0.38181716091668205</v>
      </c>
      <c r="L6" s="25">
        <f>E6/$F6</f>
        <v>0.35711134462207317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3" t="s">
        <v>43</v>
      </c>
      <c r="B7" s="24">
        <f>'BTF + frac massique'!$G7*'BTF + frac massique'!I7*'BTF + frac massique'!B$5*'BTF + frac massique'!B$2</f>
        <v>661.11599999999987</v>
      </c>
      <c r="C7" s="24">
        <f>'BTF + frac massique'!$G7*'BTF + frac massique'!J7*'BTF + frac massique'!C$5*'BTF + frac massique'!C$2</f>
        <v>11.247999999999999</v>
      </c>
      <c r="D7" s="24">
        <f>'BTF + frac massique'!$G7*'BTF + frac massique'!K7*'BTF + frac massique'!D$5*'BTF + frac massique'!D$2</f>
        <v>503.20000000000005</v>
      </c>
      <c r="E7" s="24">
        <f>'BTF + frac massique'!$G7*'BTF + frac massique'!L7*'BTF + frac massique'!E$5*'BTF + frac massique'!E$2</f>
        <v>714.84</v>
      </c>
      <c r="F7" s="24">
        <f t="shared" si="0"/>
        <v>1890.404</v>
      </c>
      <c r="G7" s="2"/>
      <c r="H7" s="3" t="s">
        <v>43</v>
      </c>
      <c r="I7" s="25">
        <f t="shared" ref="I7" si="9">B7/$F$6</f>
        <v>9.8204728507856026E-2</v>
      </c>
      <c r="J7" s="31">
        <f t="shared" ref="J7:J12" si="10">C7/$F7</f>
        <v>5.9500508885931254E-3</v>
      </c>
      <c r="K7" s="25">
        <f t="shared" si="8"/>
        <v>0.26618648712127146</v>
      </c>
      <c r="L7" s="25">
        <f t="shared" ref="L7:L12" si="11">E7/$F7</f>
        <v>0.37814139199874736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 t="s">
        <v>38</v>
      </c>
      <c r="B8" s="24">
        <f>'BTF + frac massique'!$G8*'BTF + frac massique'!I8*'BTF + frac massique'!B$5*'BTF + frac massique'!B$2</f>
        <v>2483.6520000000005</v>
      </c>
      <c r="C8" s="24">
        <f>'BTF + frac massique'!$G8*'BTF + frac massique'!J8*'BTF + frac massique'!C$5*'BTF + frac massique'!C$2</f>
        <v>101.4144</v>
      </c>
      <c r="D8" s="24">
        <f>'BTF + frac massique'!$G8*'BTF + frac massique'!K8*'BTF + frac massique'!D$5*'BTF + frac massique'!D$2</f>
        <v>567.12</v>
      </c>
      <c r="E8" s="24">
        <f>'BTF + frac massique'!$G8*'BTF + frac massique'!L8*'BTF + frac massique'!E$5*'BTF + frac massique'!E$2</f>
        <v>52.542000000000002</v>
      </c>
      <c r="F8" s="24">
        <f t="shared" si="0"/>
        <v>3204.7284000000004</v>
      </c>
      <c r="G8" s="2"/>
      <c r="H8" s="3" t="s">
        <v>38</v>
      </c>
      <c r="I8" s="25">
        <f>B8/$F$8</f>
        <v>0.77499609639306721</v>
      </c>
      <c r="J8" s="25">
        <f t="shared" si="10"/>
        <v>3.1645240201946596E-2</v>
      </c>
      <c r="K8" s="25">
        <f t="shared" si="8"/>
        <v>0.17696351428720136</v>
      </c>
      <c r="L8" s="25">
        <f t="shared" si="11"/>
        <v>1.6395149117784832E-2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3" t="s">
        <v>42</v>
      </c>
      <c r="B9" s="24">
        <f>'BTF + frac massique'!$G9*'BTF + frac massique'!I9*'BTF + frac massique'!B$5*'BTF + frac massique'!B$2</f>
        <v>11132.210700000001</v>
      </c>
      <c r="C9" s="24">
        <f>'BTF + frac massique'!$G9*'BTF + frac massique'!J9*'BTF + frac massique'!C$5*'BTF + frac massique'!C$2</f>
        <v>729.53920000000005</v>
      </c>
      <c r="D9" s="24">
        <f>'BTF + frac massique'!$G9*'BTF + frac massique'!K9*'BTF + frac massique'!D$5*'BTF + frac massique'!D$2</f>
        <v>1255.28</v>
      </c>
      <c r="E9" s="24">
        <f>'BTF + frac massique'!$G9*'BTF + frac massique'!L9*'BTF + frac massique'!E$5*'BTF + frac massique'!E$2</f>
        <v>77.532000000000011</v>
      </c>
      <c r="F9" s="24">
        <f t="shared" si="0"/>
        <v>13194.561900000001</v>
      </c>
      <c r="G9" s="2"/>
      <c r="H9" s="3" t="s">
        <v>42</v>
      </c>
      <c r="I9" s="25">
        <f>B9/$F$9</f>
        <v>0.84369687939392679</v>
      </c>
      <c r="J9" s="25">
        <f t="shared" si="10"/>
        <v>5.5290899806230018E-2</v>
      </c>
      <c r="K9" s="25">
        <f t="shared" si="8"/>
        <v>9.5136163634201451E-2</v>
      </c>
      <c r="L9" s="31">
        <f t="shared" si="11"/>
        <v>5.8760571656418549E-3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3" t="s">
        <v>39</v>
      </c>
      <c r="B10" s="24">
        <f>'BTF + frac massique'!$G10*'BTF + frac massique'!I10*'BTF + frac massique'!B$5*'BTF + frac massique'!B$2</f>
        <v>4906.9994999999999</v>
      </c>
      <c r="C10" s="24">
        <f>'BTF + frac massique'!$G10*'BTF + frac massique'!J10*'BTF + frac massique'!C$5*'BTF + frac massique'!C$2</f>
        <v>333.94400000000002</v>
      </c>
      <c r="D10" s="24">
        <f>'BTF + frac massique'!$G10*'BTF + frac massique'!K10*'BTF + frac massique'!D$5*'BTF + frac massique'!D$2</f>
        <v>287.29999999999995</v>
      </c>
      <c r="E10" s="24">
        <f>'BTF + frac massique'!$G10*'BTF + frac massique'!L10*'BTF + frac massique'!E$5*'BTF + frac massique'!E$2</f>
        <v>177.45000000000002</v>
      </c>
      <c r="F10" s="24">
        <f t="shared" si="0"/>
        <v>5705.6935000000003</v>
      </c>
      <c r="G10" s="2"/>
      <c r="H10" s="3" t="s">
        <v>39</v>
      </c>
      <c r="I10" s="25">
        <f>B10/$F$10</f>
        <v>0.86001806791759838</v>
      </c>
      <c r="J10" s="25">
        <f t="shared" si="10"/>
        <v>5.852820520415266E-2</v>
      </c>
      <c r="K10" s="25">
        <f t="shared" si="8"/>
        <v>5.0353212979281123E-2</v>
      </c>
      <c r="L10" s="25">
        <f t="shared" si="11"/>
        <v>3.1100513898967761E-2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3" t="s">
        <v>40</v>
      </c>
      <c r="B11" s="24">
        <f>'BTF + frac massique'!$G11*'BTF + frac massique'!I11*'BTF + frac massique'!B$5*'BTF + frac massique'!B$2</f>
        <v>8791.8004999999994</v>
      </c>
      <c r="C11" s="24">
        <f>'BTF + frac massique'!$G11*'BTF + frac massique'!J11*'BTF + frac massique'!C$5*'BTF + frac massique'!C$2</f>
        <v>564.13279999999997</v>
      </c>
      <c r="D11" s="24">
        <f>'BTF + frac massique'!$G11*'BTF + frac massique'!K11*'BTF + frac massique'!D$5*'BTF + frac massique'!D$2</f>
        <v>2007.53</v>
      </c>
      <c r="E11" s="24">
        <f>'BTF + frac massique'!$G11*'BTF + frac massique'!L11*'BTF + frac massique'!E$5*'BTF + frac massique'!E$2</f>
        <v>850.24799999999982</v>
      </c>
      <c r="F11" s="24">
        <f t="shared" si="0"/>
        <v>12213.711299999999</v>
      </c>
      <c r="G11" s="2"/>
      <c r="H11" s="3" t="s">
        <v>40</v>
      </c>
      <c r="I11" s="25">
        <f>B11/$F$11</f>
        <v>0.71983038439757452</v>
      </c>
      <c r="J11" s="25">
        <f t="shared" si="10"/>
        <v>4.6188483266343457E-2</v>
      </c>
      <c r="K11" s="25">
        <f t="shared" si="8"/>
        <v>0.16436691114518157</v>
      </c>
      <c r="L11" s="25">
        <f t="shared" si="11"/>
        <v>6.9614221190900424E-2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3" t="s">
        <v>41</v>
      </c>
      <c r="B12" s="24">
        <f>'BTF + frac massique'!$G12*'BTF + frac massique'!I12*'BTF + frac massique'!B$5*'BTF + frac massique'!B$2</f>
        <v>1917.8320000000003</v>
      </c>
      <c r="C12" s="24">
        <f>'BTF + frac massique'!$G12*'BTF + frac massique'!J12*'BTF + frac massique'!C$5*'BTF + frac massique'!C$2</f>
        <v>391.55200000000008</v>
      </c>
      <c r="D12" s="24">
        <f>'BTF + frac massique'!$G12*'BTF + frac massique'!K12*'BTF + frac massique'!D$5*'BTF + frac massique'!D$2</f>
        <v>3284.3999999999996</v>
      </c>
      <c r="E12" s="24">
        <f>'BTF + frac massique'!$G12*'BTF + frac massique'!L12*'BTF + frac massique'!E$5*'BTF + frac massique'!E$2</f>
        <v>2704.8</v>
      </c>
      <c r="F12" s="24">
        <f t="shared" si="0"/>
        <v>8298.5839999999989</v>
      </c>
      <c r="G12" s="2"/>
      <c r="H12" s="3" t="s">
        <v>41</v>
      </c>
      <c r="I12" s="25">
        <f>B12/$F$12</f>
        <v>0.23110352320347671</v>
      </c>
      <c r="J12" s="25">
        <f t="shared" si="10"/>
        <v>4.7182989290703102E-2</v>
      </c>
      <c r="K12" s="25">
        <f t="shared" si="8"/>
        <v>0.39577836411609502</v>
      </c>
      <c r="L12" s="25">
        <f t="shared" si="11"/>
        <v>0.32593512338972536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8"/>
      <c r="B13" s="29"/>
      <c r="C13" s="29"/>
      <c r="D13" s="29"/>
      <c r="E13" s="2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>
      <selection activeCell="O2" sqref="O2"/>
    </sheetView>
  </sheetViews>
  <sheetFormatPr baseColWidth="10" defaultColWidth="11.125" defaultRowHeight="15" customHeight="1" x14ac:dyDescent="0.25"/>
  <cols>
    <col min="1" max="1" width="9.5" bestFit="1" customWidth="1"/>
    <col min="2" max="2" width="11.5" bestFit="1" customWidth="1"/>
    <col min="3" max="3" width="5.875" bestFit="1" customWidth="1"/>
    <col min="4" max="4" width="9.375" bestFit="1" customWidth="1"/>
    <col min="5" max="5" width="7.375" bestFit="1" customWidth="1"/>
    <col min="6" max="6" width="8.625" bestFit="1" customWidth="1"/>
    <col min="7" max="7" width="10.875" customWidth="1"/>
    <col min="8" max="8" width="9.5" bestFit="1" customWidth="1"/>
    <col min="9" max="9" width="11.5" bestFit="1" customWidth="1"/>
    <col min="10" max="10" width="5.875" bestFit="1" customWidth="1"/>
    <col min="11" max="11" width="9.375" bestFit="1" customWidth="1"/>
    <col min="12" max="12" width="5.625" bestFit="1" customWidth="1"/>
    <col min="13" max="14" width="10.875" customWidth="1"/>
    <col min="15" max="15" width="11.5" bestFit="1" customWidth="1"/>
    <col min="16" max="16" width="5.875" bestFit="1" customWidth="1"/>
    <col min="17" max="17" width="9.375" bestFit="1" customWidth="1"/>
    <col min="18" max="18" width="10.875" customWidth="1"/>
    <col min="19" max="26" width="10.5" customWidth="1"/>
  </cols>
  <sheetData>
    <row r="1" spans="1:26" ht="15.75" customHeight="1" x14ac:dyDescent="0.3">
      <c r="A1" s="3" t="s">
        <v>44</v>
      </c>
      <c r="B1" s="22" t="s">
        <v>47</v>
      </c>
      <c r="C1" s="22" t="s">
        <v>48</v>
      </c>
      <c r="D1" s="22" t="s">
        <v>49</v>
      </c>
      <c r="E1" s="22" t="s">
        <v>3</v>
      </c>
      <c r="F1" s="22" t="s">
        <v>36</v>
      </c>
      <c r="G1" s="2"/>
      <c r="H1" s="3" t="s">
        <v>44</v>
      </c>
      <c r="I1" s="22" t="s">
        <v>47</v>
      </c>
      <c r="J1" s="22" t="s">
        <v>48</v>
      </c>
      <c r="K1" s="22" t="s">
        <v>49</v>
      </c>
      <c r="L1" s="22" t="s">
        <v>3</v>
      </c>
      <c r="M1" s="2"/>
      <c r="N1" s="3" t="s">
        <v>44</v>
      </c>
      <c r="O1" s="22" t="s">
        <v>47</v>
      </c>
      <c r="P1" s="22" t="s">
        <v>48</v>
      </c>
      <c r="Q1" s="22" t="s">
        <v>49</v>
      </c>
      <c r="R1" s="22" t="s">
        <v>3</v>
      </c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24">
        <f>'BTF + frac massique'!$G2*'BTF + frac massique'!I2*'BTF + frac massique'!B$5*'BTF + frac massique'!B$3</f>
        <v>47011.756000000008</v>
      </c>
      <c r="C2" s="24">
        <f>'BTF + frac massique'!$G2*'BTF + frac massique'!J2*'BTF + frac massique'!C$5*'BTF + frac massique'!C$3</f>
        <v>3293.5295999999994</v>
      </c>
      <c r="D2" s="24">
        <f>'BTF + frac massique'!$G2*'BTF + frac massique'!K2*'BTF + frac massique'!D$5*'BTF + frac massique'!D$3</f>
        <v>11240.480000000001</v>
      </c>
      <c r="E2" s="24">
        <f>'BTF + frac massique'!$G2*'BTF + frac massique'!L2*'BTF + frac massique'!E$5*'BTF + frac massique'!E$3</f>
        <v>5981.4180000000006</v>
      </c>
      <c r="F2" s="24">
        <f t="shared" ref="F2:F12" si="0">SUM(B2:E2)</f>
        <v>67527.183600000018</v>
      </c>
      <c r="G2" s="2"/>
      <c r="H2" s="3" t="s">
        <v>8</v>
      </c>
      <c r="I2" s="25">
        <f>B2/$F2</f>
        <v>0.69619008958638096</v>
      </c>
      <c r="J2" s="25">
        <f>C2/$F2</f>
        <v>4.8773389091856016E-2</v>
      </c>
      <c r="K2" s="25">
        <f t="shared" ref="K2:L12" si="1">D2/$F2</f>
        <v>0.16645859342488553</v>
      </c>
      <c r="L2" s="25">
        <f t="shared" si="1"/>
        <v>8.8577927896877351E-2</v>
      </c>
      <c r="M2" s="2"/>
      <c r="N2" s="3" t="s">
        <v>8</v>
      </c>
      <c r="O2" s="26">
        <f>I2/('BTF + frac massique'!I2)</f>
        <v>1.0390896859498222</v>
      </c>
      <c r="P2" s="26">
        <f>J2/('BTF + frac massique'!J2)</f>
        <v>0.40644490909880016</v>
      </c>
      <c r="Q2" s="26">
        <f>K2/('BTF + frac massique'!K2)</f>
        <v>4.1614648356221382</v>
      </c>
      <c r="R2" s="26">
        <f>L2/('BTF + frac massique'!L2)</f>
        <v>0.98419919885419282</v>
      </c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 t="s">
        <v>10</v>
      </c>
      <c r="B3" s="24">
        <f>'BTF + frac massique'!$G3*'BTF + frac massique'!I3*'BTF + frac massique'!B$5*'BTF + frac massique'!B$3</f>
        <v>23443.200000000001</v>
      </c>
      <c r="C3" s="24">
        <f>'BTF + frac massique'!$G3*'BTF + frac massique'!J3*'BTF + frac massique'!C$5*'BTF + frac massique'!C$3</f>
        <v>1146.2399999999998</v>
      </c>
      <c r="D3" s="24">
        <f>'BTF + frac massique'!$G3*'BTF + frac massique'!K3*'BTF + frac massique'!D$5*'BTF + frac massique'!D$3</f>
        <v>7824</v>
      </c>
      <c r="E3" s="24">
        <f>'BTF + frac massique'!$G3*'BTF + frac massique'!L3*'BTF + frac massique'!E$5*'BTF + frac massique'!E$3</f>
        <v>3084</v>
      </c>
      <c r="F3" s="24">
        <f t="shared" si="0"/>
        <v>35497.440000000002</v>
      </c>
      <c r="G3" s="2"/>
      <c r="H3" s="3" t="s">
        <v>10</v>
      </c>
      <c r="I3" s="25">
        <f t="shared" ref="I3:I12" si="2">B3/$F3</f>
        <v>0.66041945560017845</v>
      </c>
      <c r="J3" s="25">
        <f t="shared" ref="J3:J12" si="3">C3/$F3</f>
        <v>3.2290779278731079E-2</v>
      </c>
      <c r="K3" s="25">
        <f t="shared" si="1"/>
        <v>0.22041026057090313</v>
      </c>
      <c r="L3" s="25">
        <f t="shared" si="1"/>
        <v>8.6879504550187281E-2</v>
      </c>
      <c r="M3" s="2"/>
      <c r="N3" s="3" t="s">
        <v>10</v>
      </c>
      <c r="O3" s="26">
        <f>I3/('BTF + frac massique'!I3)</f>
        <v>0.91724924388913676</v>
      </c>
      <c r="P3" s="26">
        <f>J3/('BTF + frac massique'!J3)</f>
        <v>0.35878643643034536</v>
      </c>
      <c r="Q3" s="26">
        <f>K3/('BTF + frac massique'!K3)</f>
        <v>3.6735043428483856</v>
      </c>
      <c r="R3" s="26">
        <f>L3/('BTF + frac massique'!L3)</f>
        <v>0.86879504550187281</v>
      </c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 t="s">
        <v>12</v>
      </c>
      <c r="B4" s="24">
        <f>'BTF + frac massique'!$G4*'BTF + frac massique'!I4*'BTF + frac massique'!B$5*'BTF + frac massique'!B$3</f>
        <v>73683.28</v>
      </c>
      <c r="C4" s="24">
        <f>'BTF + frac massique'!$G4*'BTF + frac massique'!J4*'BTF + frac massique'!C$5*'BTF + frac massique'!C$3</f>
        <v>2763.7120000000004</v>
      </c>
      <c r="D4" s="24">
        <f>'BTF + frac massique'!$G4*'BTF + frac massique'!K4*'BTF + frac massique'!D$5*'BTF + frac massique'!D$3</f>
        <v>40424</v>
      </c>
      <c r="E4" s="24">
        <f>'BTF + frac massique'!$G4*'BTF + frac massique'!L4*'BTF + frac massique'!E$5*'BTF + frac massique'!E$3</f>
        <v>7648.32</v>
      </c>
      <c r="F4" s="24">
        <f t="shared" si="0"/>
        <v>124519.31200000001</v>
      </c>
      <c r="G4" s="2"/>
      <c r="H4" s="3" t="s">
        <v>12</v>
      </c>
      <c r="I4" s="25">
        <f t="shared" si="2"/>
        <v>0.59174178540273337</v>
      </c>
      <c r="J4" s="25">
        <f t="shared" si="3"/>
        <v>2.2195047142566933E-2</v>
      </c>
      <c r="K4" s="25">
        <f t="shared" si="1"/>
        <v>0.32464040597975674</v>
      </c>
      <c r="L4" s="25">
        <f t="shared" si="1"/>
        <v>6.1422761474942932E-2</v>
      </c>
      <c r="M4" s="2"/>
      <c r="N4" s="3" t="s">
        <v>12</v>
      </c>
      <c r="O4" s="26">
        <f>I4/('BTF + frac massique'!I4)</f>
        <v>0.81060518548319638</v>
      </c>
      <c r="P4" s="26">
        <f>J4/('BTF + frac massique'!J4)</f>
        <v>0.31707210203667047</v>
      </c>
      <c r="Q4" s="26">
        <f>K4/('BTF + frac massique'!K4)</f>
        <v>3.2464040597975674</v>
      </c>
      <c r="R4" s="26">
        <f>L4/('BTF + frac massique'!L4)</f>
        <v>0.76778451843678663</v>
      </c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 t="s">
        <v>14</v>
      </c>
      <c r="B5" s="24">
        <f>'BTF + frac massique'!$G5*'BTF + frac massique'!I5*'BTF + frac massique'!B$5*'BTF + frac massique'!B$3</f>
        <v>169108.5</v>
      </c>
      <c r="C5" s="24">
        <f>'BTF + frac massique'!$G5*'BTF + frac massique'!J5*'BTF + frac massique'!C$5*'BTF + frac massique'!C$3</f>
        <v>6173.7759999999998</v>
      </c>
      <c r="D5" s="24">
        <f>'BTF + frac massique'!$G5*'BTF + frac massique'!K5*'BTF + frac massique'!D$5*'BTF + frac massique'!D$3</f>
        <v>72241.599999999991</v>
      </c>
      <c r="E5" s="24">
        <f>'BTF + frac massique'!$G5*'BTF + frac massique'!L5*'BTF + frac massique'!E$5*'BTF + frac massique'!E$3</f>
        <v>14949.69</v>
      </c>
      <c r="F5" s="24">
        <f t="shared" si="0"/>
        <v>262473.56599999999</v>
      </c>
      <c r="G5" s="2"/>
      <c r="H5" s="3" t="s">
        <v>14</v>
      </c>
      <c r="I5" s="25">
        <f t="shared" si="2"/>
        <v>0.64428773753163393</v>
      </c>
      <c r="J5" s="25">
        <f t="shared" si="3"/>
        <v>2.352151530565939E-2</v>
      </c>
      <c r="K5" s="25">
        <f t="shared" si="1"/>
        <v>0.27523381154504523</v>
      </c>
      <c r="L5" s="25">
        <f t="shared" si="1"/>
        <v>5.6956935617661401E-2</v>
      </c>
      <c r="M5" s="2"/>
      <c r="N5" s="3" t="s">
        <v>14</v>
      </c>
      <c r="O5" s="26">
        <f>I5/('BTF + frac massique'!I5)</f>
        <v>0.85905031670884524</v>
      </c>
      <c r="P5" s="26">
        <f>J5/('BTF + frac massique'!J5)</f>
        <v>0.33602164722370553</v>
      </c>
      <c r="Q5" s="26">
        <f>K5/('BTF + frac massique'!K5)</f>
        <v>3.4404226443130654</v>
      </c>
      <c r="R5" s="26">
        <f>L5/('BTF + frac massique'!L5)</f>
        <v>0.81367050882373426</v>
      </c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 t="s">
        <v>16</v>
      </c>
      <c r="B6" s="24">
        <f>'BTF + frac massique'!$G6*'BTF + frac massique'!I6*'BTF + frac massique'!B$5*'BTF + frac massique'!B$3</f>
        <v>16703.28</v>
      </c>
      <c r="C6" s="24">
        <f>'BTF + frac massique'!$G6*'BTF + frac massique'!J6*'BTF + frac massique'!C$5*'BTF + frac massique'!C$3</f>
        <v>2407.1039999999998</v>
      </c>
      <c r="D6" s="24">
        <f>'BTF + frac massique'!$G6*'BTF + frac massique'!K6*'BTF + frac massique'!D$5*'BTF + frac massique'!D$3</f>
        <v>49291.200000000004</v>
      </c>
      <c r="E6" s="24">
        <f>'BTF + frac massique'!$G6*'BTF + frac massique'!L6*'BTF + frac massique'!E$5*'BTF + frac massique'!E$3</f>
        <v>44132.04</v>
      </c>
      <c r="F6" s="24">
        <f t="shared" si="0"/>
        <v>112533.62400000001</v>
      </c>
      <c r="G6" s="2"/>
      <c r="H6" s="3" t="s">
        <v>16</v>
      </c>
      <c r="I6" s="25">
        <f t="shared" si="2"/>
        <v>0.14842923746950509</v>
      </c>
      <c r="J6" s="25">
        <f t="shared" si="3"/>
        <v>2.1390086930818113E-2</v>
      </c>
      <c r="K6" s="25">
        <f t="shared" si="1"/>
        <v>0.43801308664866245</v>
      </c>
      <c r="L6" s="25">
        <f t="shared" si="1"/>
        <v>0.39216758895101428</v>
      </c>
      <c r="M6" s="2"/>
      <c r="N6" s="3" t="s">
        <v>16</v>
      </c>
      <c r="O6" s="26">
        <f>I6/('BTF + frac massique'!I6)</f>
        <v>0.78120651299739519</v>
      </c>
      <c r="P6" s="26">
        <f>J6/('BTF + frac massique'!J6)</f>
        <v>0.30557267044025871</v>
      </c>
      <c r="Q6" s="26">
        <f>K6/('BTF + frac massique'!K6)</f>
        <v>3.128664904633303</v>
      </c>
      <c r="R6" s="26">
        <f>L6/('BTF + frac massique'!L6)</f>
        <v>0.73993884707738544</v>
      </c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3" t="s">
        <v>43</v>
      </c>
      <c r="B7" s="24">
        <f>'BTF + frac massique'!$G7*'BTF + frac massique'!I7*'BTF + frac massique'!B$5*'BTF + frac massique'!B$3</f>
        <v>7228.3199999999988</v>
      </c>
      <c r="C7" s="24">
        <f>'BTF + frac massique'!$G7*'BTF + frac massique'!J7*'BTF + frac massique'!C$5*'BTF + frac massique'!C$3</f>
        <v>117.80799999999999</v>
      </c>
      <c r="D7" s="24">
        <f>'BTF + frac massique'!$G7*'BTF + frac massique'!K7*'BTF + frac massique'!D$5*'BTF + frac massique'!D$3</f>
        <v>9649.6</v>
      </c>
      <c r="E7" s="24">
        <f>'BTF + frac massique'!$G7*'BTF + frac massique'!L7*'BTF + frac massique'!E$5*'BTF + frac massique'!E$3</f>
        <v>13122.42</v>
      </c>
      <c r="F7" s="24">
        <f t="shared" si="0"/>
        <v>30118.148000000001</v>
      </c>
      <c r="G7" s="2"/>
      <c r="H7" s="3" t="s">
        <v>43</v>
      </c>
      <c r="I7" s="25">
        <f t="shared" si="2"/>
        <v>0.23999882064461595</v>
      </c>
      <c r="J7" s="25">
        <f t="shared" si="3"/>
        <v>3.9115286902767056E-3</v>
      </c>
      <c r="K7" s="25">
        <f t="shared" si="1"/>
        <v>0.32039154598748898</v>
      </c>
      <c r="L7" s="25">
        <f t="shared" si="1"/>
        <v>0.43569810467761827</v>
      </c>
      <c r="M7" s="2"/>
      <c r="N7" s="3" t="s">
        <v>43</v>
      </c>
      <c r="O7" s="26">
        <f>I7/('BTF + frac massique'!I7)</f>
        <v>0.99999508601923315</v>
      </c>
      <c r="P7" s="26">
        <f>J7/('BTF + frac massique'!J7)</f>
        <v>0.39115286902767055</v>
      </c>
      <c r="Q7" s="26">
        <f>K7/('BTF + frac massique'!K7)</f>
        <v>4.0048943248436117</v>
      </c>
      <c r="R7" s="26">
        <f>L7/('BTF + frac massique'!L7)</f>
        <v>0.94716979277743096</v>
      </c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 t="s">
        <v>38</v>
      </c>
      <c r="B8" s="24">
        <f>'BTF + frac massique'!$G8*'BTF + frac massique'!I8*'BTF + frac massique'!B$5*'BTF + frac massique'!B$3</f>
        <v>27155.040000000008</v>
      </c>
      <c r="C8" s="24">
        <f>'BTF + frac massique'!$G8*'BTF + frac massique'!J8*'BTF + frac massique'!C$5*'BTF + frac massique'!C$3</f>
        <v>1062.1823999999999</v>
      </c>
      <c r="D8" s="24">
        <f>'BTF + frac massique'!$G8*'BTF + frac massique'!K8*'BTF + frac massique'!D$5*'BTF + frac massique'!D$3</f>
        <v>10875.36</v>
      </c>
      <c r="E8" s="24">
        <f>'BTF + frac massique'!$G8*'BTF + frac massique'!L8*'BTF + frac massique'!E$5*'BTF + frac massique'!E$3</f>
        <v>964.52100000000007</v>
      </c>
      <c r="F8" s="24">
        <f t="shared" si="0"/>
        <v>40057.103400000015</v>
      </c>
      <c r="G8" s="2"/>
      <c r="H8" s="3" t="s">
        <v>38</v>
      </c>
      <c r="I8" s="25">
        <f t="shared" si="2"/>
        <v>0.67790822838178555</v>
      </c>
      <c r="J8" s="25">
        <f t="shared" si="3"/>
        <v>2.651670514947917E-2</v>
      </c>
      <c r="K8" s="25">
        <f t="shared" si="1"/>
        <v>0.27149641578926542</v>
      </c>
      <c r="L8" s="25">
        <f t="shared" si="1"/>
        <v>2.4078650679469741E-2</v>
      </c>
      <c r="M8" s="2"/>
      <c r="N8" s="3" t="s">
        <v>38</v>
      </c>
      <c r="O8" s="26">
        <f>I8/('BTF + frac massique'!I8)</f>
        <v>0.84738528547723191</v>
      </c>
      <c r="P8" s="26">
        <f>J8/('BTF + frac massique'!J8)</f>
        <v>0.33145881436848962</v>
      </c>
      <c r="Q8" s="26">
        <f>K8/('BTF + frac massique'!K8)</f>
        <v>3.3937051973658177</v>
      </c>
      <c r="R8" s="26">
        <f>L8/('BTF + frac massique'!L8)</f>
        <v>0.80262168931565803</v>
      </c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3" t="s">
        <v>42</v>
      </c>
      <c r="B9" s="24">
        <f>'BTF + frac massique'!$G9*'BTF + frac massique'!I9*'BTF + frac massique'!B$5*'BTF + frac massique'!B$3</f>
        <v>121714.16400000003</v>
      </c>
      <c r="C9" s="24">
        <f>'BTF + frac massique'!$G9*'BTF + frac massique'!J9*'BTF + frac massique'!C$5*'BTF + frac massique'!C$3</f>
        <v>7640.9632000000001</v>
      </c>
      <c r="D9" s="24">
        <f>'BTF + frac massique'!$G9*'BTF + frac massique'!K9*'BTF + frac massique'!D$5*'BTF + frac massique'!D$3</f>
        <v>24071.84</v>
      </c>
      <c r="E9" s="24">
        <f>'BTF + frac massique'!$G9*'BTF + frac massique'!L9*'BTF + frac massique'!E$5*'BTF + frac massique'!E$3</f>
        <v>1423.2660000000001</v>
      </c>
      <c r="F9" s="24">
        <f t="shared" si="0"/>
        <v>154850.23320000005</v>
      </c>
      <c r="G9" s="2"/>
      <c r="H9" s="3" t="s">
        <v>42</v>
      </c>
      <c r="I9" s="25">
        <f t="shared" si="2"/>
        <v>0.78601214531461228</v>
      </c>
      <c r="J9" s="25">
        <f t="shared" si="3"/>
        <v>4.9344215001156343E-2</v>
      </c>
      <c r="K9" s="25">
        <f t="shared" si="1"/>
        <v>0.15545239747175268</v>
      </c>
      <c r="L9" s="25">
        <f t="shared" si="1"/>
        <v>9.191242212478629E-3</v>
      </c>
      <c r="M9" s="2"/>
      <c r="N9" s="3" t="s">
        <v>42</v>
      </c>
      <c r="O9" s="26">
        <f>I9/('BTF + frac massique'!I9)</f>
        <v>0.97038536458594105</v>
      </c>
      <c r="P9" s="26">
        <f>J9/('BTF + frac massique'!J9)</f>
        <v>0.37957088462427957</v>
      </c>
      <c r="Q9" s="26">
        <f>K9/('BTF + frac massique'!K9)</f>
        <v>3.886309936793817</v>
      </c>
      <c r="R9" s="26">
        <f>L9/('BTF + frac massique'!L9)</f>
        <v>0.91912422124786286</v>
      </c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3" t="s">
        <v>39</v>
      </c>
      <c r="B10" s="24">
        <f>'BTF + frac massique'!$G10*'BTF + frac massique'!I10*'BTF + frac massique'!B$5*'BTF + frac massique'!B$3</f>
        <v>53650.74</v>
      </c>
      <c r="C10" s="24">
        <f>'BTF + frac massique'!$G10*'BTF + frac massique'!J10*'BTF + frac massique'!C$5*'BTF + frac massique'!C$3</f>
        <v>3497.6240000000003</v>
      </c>
      <c r="D10" s="24">
        <f>'BTF + frac massique'!$G10*'BTF + frac massique'!K10*'BTF + frac massique'!D$5*'BTF + frac massique'!D$3</f>
        <v>5509.4</v>
      </c>
      <c r="E10" s="24">
        <f>'BTF + frac massique'!$G10*'BTF + frac massique'!L10*'BTF + frac massique'!E$5*'BTF + frac massique'!E$3</f>
        <v>3257.4750000000004</v>
      </c>
      <c r="F10" s="24">
        <f t="shared" si="0"/>
        <v>65915.239000000001</v>
      </c>
      <c r="G10" s="2"/>
      <c r="H10" s="3" t="s">
        <v>39</v>
      </c>
      <c r="I10" s="25">
        <f t="shared" si="2"/>
        <v>0.81393530257851299</v>
      </c>
      <c r="J10" s="25">
        <f t="shared" si="3"/>
        <v>5.3062448882268333E-2</v>
      </c>
      <c r="K10" s="25">
        <f t="shared" si="1"/>
        <v>8.358309980488729E-2</v>
      </c>
      <c r="L10" s="25">
        <f t="shared" si="1"/>
        <v>4.9419148734331377E-2</v>
      </c>
      <c r="M10" s="2"/>
      <c r="N10" s="3" t="s">
        <v>39</v>
      </c>
      <c r="O10" s="26">
        <f>I10/('BTF + frac massique'!I10)</f>
        <v>1.0435067981775807</v>
      </c>
      <c r="P10" s="26">
        <f>J10/('BTF + frac massique'!J10)</f>
        <v>0.4081726837097564</v>
      </c>
      <c r="Q10" s="26">
        <f>K10/('BTF + frac massique'!K10)</f>
        <v>4.1791549902443643</v>
      </c>
      <c r="R10" s="26">
        <f>L10/('BTF + frac massique'!L10)</f>
        <v>0.9883829746866275</v>
      </c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3" t="s">
        <v>40</v>
      </c>
      <c r="B11" s="24">
        <f>'BTF + frac massique'!$G11*'BTF + frac massique'!I11*'BTF + frac massique'!B$5*'BTF + frac massique'!B$3</f>
        <v>96125.26</v>
      </c>
      <c r="C11" s="24">
        <f>'BTF + frac massique'!$G11*'BTF + frac massique'!J11*'BTF + frac massique'!C$5*'BTF + frac massique'!C$3</f>
        <v>5908.5487999999996</v>
      </c>
      <c r="D11" s="24">
        <f>'BTF + frac massique'!$G11*'BTF + frac massique'!K11*'BTF + frac massique'!D$5*'BTF + frac massique'!D$3</f>
        <v>38497.340000000004</v>
      </c>
      <c r="E11" s="24">
        <f>'BTF + frac massique'!$G11*'BTF + frac massique'!L11*'BTF + frac massique'!E$5*'BTF + frac massique'!E$3</f>
        <v>15608.123999999996</v>
      </c>
      <c r="F11" s="24">
        <f t="shared" si="0"/>
        <v>156139.27279999998</v>
      </c>
      <c r="G11" s="2"/>
      <c r="H11" s="3" t="s">
        <v>40</v>
      </c>
      <c r="I11" s="25">
        <f t="shared" si="2"/>
        <v>0.61563793833680525</v>
      </c>
      <c r="J11" s="25">
        <f t="shared" si="3"/>
        <v>3.7841528873829883E-2</v>
      </c>
      <c r="K11" s="25">
        <f t="shared" si="1"/>
        <v>0.24655770012014561</v>
      </c>
      <c r="L11" s="25">
        <f t="shared" si="1"/>
        <v>9.996283266921939E-2</v>
      </c>
      <c r="M11" s="2"/>
      <c r="N11" s="3" t="s">
        <v>40</v>
      </c>
      <c r="O11" s="26">
        <f>I11/('BTF + frac massique'!I11)</f>
        <v>0.87948276905257894</v>
      </c>
      <c r="P11" s="26">
        <f>J11/('BTF + frac massique'!J11)</f>
        <v>0.34401389885299893</v>
      </c>
      <c r="Q11" s="26">
        <f>K11/('BTF + frac massique'!K11)</f>
        <v>3.5222528588592228</v>
      </c>
      <c r="R11" s="26">
        <f>L11/('BTF + frac massique'!L11)</f>
        <v>0.83302360557682831</v>
      </c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3" t="s">
        <v>41</v>
      </c>
      <c r="B12" s="24">
        <f>'BTF + frac massique'!$G12*'BTF + frac massique'!I12*'BTF + frac massique'!B$5*'BTF + frac massique'!B$3</f>
        <v>20968.640000000003</v>
      </c>
      <c r="C12" s="24">
        <f>'BTF + frac massique'!$G12*'BTF + frac massique'!J12*'BTF + frac massique'!C$5*'BTF + frac massique'!C$3</f>
        <v>4100.9920000000002</v>
      </c>
      <c r="D12" s="24">
        <f>'BTF + frac massique'!$G12*'BTF + frac massique'!K12*'BTF + frac massique'!D$5*'BTF + frac massique'!D$3</f>
        <v>62983.199999999997</v>
      </c>
      <c r="E12" s="24">
        <f>'BTF + frac massique'!$G12*'BTF + frac massique'!L12*'BTF + frac massique'!E$5*'BTF + frac massique'!E$3</f>
        <v>49652.4</v>
      </c>
      <c r="F12" s="24">
        <f t="shared" si="0"/>
        <v>137705.23199999999</v>
      </c>
      <c r="G12" s="2"/>
      <c r="H12" s="3" t="s">
        <v>41</v>
      </c>
      <c r="I12" s="25">
        <f t="shared" si="2"/>
        <v>0.15227191948669028</v>
      </c>
      <c r="J12" s="25">
        <f t="shared" si="3"/>
        <v>2.9780945432777751E-2</v>
      </c>
      <c r="K12" s="25">
        <f t="shared" si="1"/>
        <v>0.45737695718053767</v>
      </c>
      <c r="L12" s="25">
        <f t="shared" si="1"/>
        <v>0.3605701778999944</v>
      </c>
      <c r="M12" s="2"/>
      <c r="N12" s="3" t="s">
        <v>41</v>
      </c>
      <c r="O12" s="26">
        <f>I12/('BTF + frac massique'!I12)</f>
        <v>0.76135959743345138</v>
      </c>
      <c r="P12" s="26">
        <f>J12/('BTF + frac massique'!J12)</f>
        <v>0.2978094543277775</v>
      </c>
      <c r="Q12" s="26">
        <f>K12/('BTF + frac massique'!K12)</f>
        <v>3.0491797145369177</v>
      </c>
      <c r="R12" s="26">
        <f>L12/('BTF + frac massique'!L12)</f>
        <v>0.72114035579998881</v>
      </c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A925-4B19-4836-9831-5C3E3BF72990}">
  <dimension ref="A1:R1001"/>
  <sheetViews>
    <sheetView workbookViewId="0">
      <selection activeCell="K39" sqref="K39"/>
    </sheetView>
  </sheetViews>
  <sheetFormatPr baseColWidth="10" defaultColWidth="11.125" defaultRowHeight="15" customHeight="1" x14ac:dyDescent="0.25"/>
  <cols>
    <col min="1" max="1" width="9.5" bestFit="1" customWidth="1"/>
    <col min="2" max="2" width="11.5" bestFit="1" customWidth="1"/>
    <col min="3" max="3" width="5.875" bestFit="1" customWidth="1"/>
    <col min="4" max="4" width="9.375" bestFit="1" customWidth="1"/>
    <col min="5" max="5" width="5.625" bestFit="1" customWidth="1"/>
    <col min="6" max="6" width="6.125" bestFit="1" customWidth="1"/>
    <col min="7" max="7" width="10.5" customWidth="1"/>
    <col min="8" max="8" width="9.5" bestFit="1" customWidth="1"/>
    <col min="9" max="9" width="11.5" bestFit="1" customWidth="1"/>
    <col min="10" max="10" width="5.875" bestFit="1" customWidth="1"/>
    <col min="11" max="11" width="9.375" bestFit="1" customWidth="1"/>
    <col min="12" max="12" width="8.5" bestFit="1" customWidth="1"/>
    <col min="13" max="13" width="10.5" customWidth="1"/>
    <col min="14" max="14" width="9.5" bestFit="1" customWidth="1"/>
    <col min="15" max="15" width="11.5" bestFit="1" customWidth="1"/>
    <col min="16" max="16" width="5.875" bestFit="1" customWidth="1"/>
    <col min="17" max="17" width="9.375" bestFit="1" customWidth="1"/>
    <col min="18" max="18" width="5.625" bestFit="1" customWidth="1"/>
    <col min="19" max="26" width="10.5" customWidth="1"/>
  </cols>
  <sheetData>
    <row r="1" spans="1:18" ht="15.75" customHeight="1" x14ac:dyDescent="0.3">
      <c r="A1" s="3" t="s">
        <v>44</v>
      </c>
      <c r="B1" s="22" t="s">
        <v>47</v>
      </c>
      <c r="C1" s="22" t="s">
        <v>48</v>
      </c>
      <c r="D1" s="22" t="s">
        <v>49</v>
      </c>
      <c r="E1" s="22" t="s">
        <v>3</v>
      </c>
      <c r="F1" s="22" t="s">
        <v>36</v>
      </c>
      <c r="G1" s="2"/>
      <c r="H1" s="3" t="s">
        <v>44</v>
      </c>
      <c r="I1" s="22" t="s">
        <v>47</v>
      </c>
      <c r="J1" s="22" t="s">
        <v>48</v>
      </c>
      <c r="K1" s="22" t="s">
        <v>49</v>
      </c>
      <c r="L1" s="22" t="s">
        <v>3</v>
      </c>
      <c r="N1" s="3" t="s">
        <v>44</v>
      </c>
      <c r="O1" s="22" t="s">
        <v>47</v>
      </c>
      <c r="P1" s="22" t="s">
        <v>48</v>
      </c>
      <c r="Q1" s="22" t="s">
        <v>49</v>
      </c>
      <c r="R1" s="22" t="s">
        <v>3</v>
      </c>
    </row>
    <row r="2" spans="1:18" ht="15.75" customHeight="1" x14ac:dyDescent="0.3">
      <c r="A2" s="3" t="s">
        <v>8</v>
      </c>
      <c r="B2" s="24">
        <f>'BTF + frac massique'!P2*'BTF + frac massique'!Q2*('BTF + frac massique'!$B$5-1)</f>
        <v>231.01600000000002</v>
      </c>
      <c r="C2" s="24">
        <f>'BTF + frac massique'!P2*'BTF + frac massique'!R2*('BTF + frac massique'!$C$5-1)</f>
        <v>155.16</v>
      </c>
      <c r="D2" s="24">
        <f>'BTF + frac massique'!P2*'BTF + frac massique'!S2*('BTF + frac massique'!$D$5-1)</f>
        <v>31.032000000000004</v>
      </c>
      <c r="E2" s="24">
        <f>'BTF + frac massique'!P2*'BTF + frac massique'!T2*('BTF + frac massique'!$E$5-1)</f>
        <v>3.879</v>
      </c>
      <c r="F2" s="24">
        <f t="shared" ref="F2:F12" si="0">SUM(B2:E2)</f>
        <v>421.08700000000005</v>
      </c>
      <c r="G2" s="2"/>
      <c r="H2" s="3" t="s">
        <v>8</v>
      </c>
      <c r="I2" s="25">
        <f>B2/$F2</f>
        <v>0.548618219037871</v>
      </c>
      <c r="J2" s="25">
        <f t="shared" ref="J2:L12" si="1">C2/$F2</f>
        <v>0.36847492323439096</v>
      </c>
      <c r="K2" s="25">
        <f t="shared" si="1"/>
        <v>7.3694984646878195E-2</v>
      </c>
      <c r="L2" s="31">
        <f t="shared" si="1"/>
        <v>9.2118730808597744E-3</v>
      </c>
      <c r="N2" s="3" t="s">
        <v>8</v>
      </c>
      <c r="O2" s="27">
        <f>I2/('BTF + frac massique'!I2)</f>
        <v>0.81883316274309104</v>
      </c>
      <c r="P2" s="27">
        <f>J2/('BTF + frac massique'!J2)</f>
        <v>3.0706243602865912</v>
      </c>
      <c r="Q2" s="27">
        <f>K2/('BTF + frac massique'!K2)</f>
        <v>1.8423746161719547</v>
      </c>
      <c r="R2" s="27">
        <f>L2/('BTF + frac massique'!L2)</f>
        <v>0.10235414534288638</v>
      </c>
    </row>
    <row r="3" spans="1:18" ht="15.75" customHeight="1" x14ac:dyDescent="0.3">
      <c r="A3" s="3" t="s">
        <v>10</v>
      </c>
      <c r="B3" s="24">
        <f>'BTF + frac massique'!P3*'BTF + frac massique'!Q3*('BTF + frac massique'!$B$5-1)</f>
        <v>115.19999999999999</v>
      </c>
      <c r="C3" s="24">
        <f>'BTF + frac massique'!P3*'BTF + frac massique'!R3*('BTF + frac massique'!$C$5-1)</f>
        <v>53.999999999999993</v>
      </c>
      <c r="D3" s="24">
        <f>'BTF + frac massique'!P3*'BTF + frac massique'!S3*('BTF + frac massique'!$D$5-1)</f>
        <v>21.599999999999998</v>
      </c>
      <c r="E3" s="24">
        <f>'BTF + frac massique'!P3*'BTF + frac massique'!T3*('BTF + frac massique'!$E$5-1)</f>
        <v>2</v>
      </c>
      <c r="F3" s="24">
        <f t="shared" si="0"/>
        <v>192.79999999999998</v>
      </c>
      <c r="G3" s="2"/>
      <c r="H3" s="3" t="s">
        <v>10</v>
      </c>
      <c r="I3" s="25">
        <f t="shared" ref="I3:I12" si="2">B3/$F3</f>
        <v>0.59751037344398339</v>
      </c>
      <c r="J3" s="25">
        <f t="shared" si="1"/>
        <v>0.28008298755186722</v>
      </c>
      <c r="K3" s="25">
        <f t="shared" si="1"/>
        <v>0.11203319502074689</v>
      </c>
      <c r="L3" s="31">
        <f t="shared" si="1"/>
        <v>1.0373443983402491E-2</v>
      </c>
      <c r="N3" s="3" t="s">
        <v>10</v>
      </c>
      <c r="O3" s="27">
        <f>I3/('BTF + frac massique'!I3)</f>
        <v>0.82987551867219922</v>
      </c>
      <c r="P3" s="27">
        <f>J3/('BTF + frac massique'!J3)</f>
        <v>3.1120331950207469</v>
      </c>
      <c r="Q3" s="27">
        <f>K3/('BTF + frac massique'!K3)</f>
        <v>1.8672199170124484</v>
      </c>
      <c r="R3" s="27">
        <f>L3/('BTF + frac massique'!L3)</f>
        <v>0.1037344398340249</v>
      </c>
    </row>
    <row r="4" spans="1:18" ht="15.75" customHeight="1" x14ac:dyDescent="0.3">
      <c r="A4" s="3" t="s">
        <v>12</v>
      </c>
      <c r="B4" s="24">
        <f>'BTF + frac massique'!P4*'BTF + frac massique'!Q4*('BTF + frac massique'!$B$5-1)</f>
        <v>362.08</v>
      </c>
      <c r="C4" s="24">
        <f>'BTF + frac massique'!P4*'BTF + frac massique'!R4*('BTF + frac massique'!$C$5-1)</f>
        <v>130.20000000000002</v>
      </c>
      <c r="D4" s="24">
        <f>'BTF + frac massique'!P4*'BTF + frac massique'!S4*('BTF + frac massique'!$D$5-1)</f>
        <v>111.60000000000001</v>
      </c>
      <c r="E4" s="24">
        <f>'BTF + frac massique'!P4*'BTF + frac massique'!T4*('BTF + frac massique'!$E$5-1)</f>
        <v>4.96</v>
      </c>
      <c r="F4" s="24">
        <f t="shared" si="0"/>
        <v>608.84</v>
      </c>
      <c r="G4" s="2"/>
      <c r="H4" s="3" t="s">
        <v>12</v>
      </c>
      <c r="I4" s="25">
        <f t="shared" si="2"/>
        <v>0.59470468431771883</v>
      </c>
      <c r="J4" s="25">
        <f t="shared" si="1"/>
        <v>0.21384928716904278</v>
      </c>
      <c r="K4" s="25">
        <f t="shared" si="1"/>
        <v>0.18329938900203666</v>
      </c>
      <c r="L4" s="31">
        <f t="shared" si="1"/>
        <v>8.1466395112016286E-3</v>
      </c>
      <c r="N4" s="3" t="s">
        <v>12</v>
      </c>
      <c r="O4" s="27">
        <f>I4/('BTF + frac massique'!I4)</f>
        <v>0.81466395112016277</v>
      </c>
      <c r="P4" s="27">
        <f>J4/('BTF + frac massique'!J4)</f>
        <v>3.0549898167006106</v>
      </c>
      <c r="Q4" s="27">
        <f>K4/('BTF + frac massique'!K4)</f>
        <v>1.8329938900203664</v>
      </c>
      <c r="R4" s="27">
        <f>L4/('BTF + frac massique'!L4)</f>
        <v>0.10183299389002036</v>
      </c>
    </row>
    <row r="5" spans="1:18" ht="15.75" customHeight="1" x14ac:dyDescent="0.3">
      <c r="A5" s="3" t="s">
        <v>14</v>
      </c>
      <c r="B5" s="24">
        <f>'BTF + frac massique'!P5*'BTF + frac massique'!Q5*('BTF + frac massique'!$B$5-1)</f>
        <v>831</v>
      </c>
      <c r="C5" s="24">
        <f>'BTF + frac massique'!P5*'BTF + frac massique'!R5*('BTF + frac massique'!$C$5-1)</f>
        <v>290.85000000000002</v>
      </c>
      <c r="D5" s="24">
        <f>'BTF + frac massique'!P5*'BTF + frac massique'!S5*('BTF + frac massique'!$D$5-1)</f>
        <v>199.44</v>
      </c>
      <c r="E5" s="24">
        <f>'BTF + frac massique'!P5*'BTF + frac massique'!T5*('BTF + frac massique'!$E$5-1)</f>
        <v>9.6950000000000003</v>
      </c>
      <c r="F5" s="24">
        <f t="shared" si="0"/>
        <v>1330.9849999999999</v>
      </c>
      <c r="G5" s="2"/>
      <c r="H5" s="3" t="s">
        <v>14</v>
      </c>
      <c r="I5" s="25">
        <f t="shared" si="2"/>
        <v>0.62434963579604585</v>
      </c>
      <c r="J5" s="25">
        <f t="shared" si="1"/>
        <v>0.21852237252861606</v>
      </c>
      <c r="K5" s="25">
        <f t="shared" si="1"/>
        <v>0.14984391259105101</v>
      </c>
      <c r="L5" s="31">
        <f t="shared" si="1"/>
        <v>7.2840790842872019E-3</v>
      </c>
      <c r="N5" s="3" t="s">
        <v>14</v>
      </c>
      <c r="O5" s="27">
        <f>I5/('BTF + frac massique'!I5)</f>
        <v>0.83246618106139447</v>
      </c>
      <c r="P5" s="27">
        <f>J5/('BTF + frac massique'!J5)</f>
        <v>3.121748178980229</v>
      </c>
      <c r="Q5" s="27">
        <f>K5/('BTF + frac massique'!K5)</f>
        <v>1.8730489073881376</v>
      </c>
      <c r="R5" s="27">
        <f>L5/('BTF + frac massique'!L5)</f>
        <v>0.10405827263267431</v>
      </c>
    </row>
    <row r="6" spans="1:18" ht="15.75" customHeight="1" x14ac:dyDescent="0.3">
      <c r="A6" s="3" t="s">
        <v>16</v>
      </c>
      <c r="B6" s="24">
        <f>'BTF + frac massique'!P6*'BTF + frac massique'!Q6*('BTF + frac massique'!$B$5-1)</f>
        <v>82.08</v>
      </c>
      <c r="C6" s="24">
        <f>'BTF + frac massique'!P6*'BTF + frac massique'!R6*('BTF + frac massique'!$C$5-1)</f>
        <v>113.4</v>
      </c>
      <c r="D6" s="24">
        <f>'BTF + frac massique'!P6*'BTF + frac massique'!S6*('BTF + frac massique'!$D$5-1)</f>
        <v>136.08000000000001</v>
      </c>
      <c r="E6" s="24">
        <f>'BTF + frac massique'!P6*'BTF + frac massique'!T6*('BTF + frac massique'!$E$5-1)</f>
        <v>28.62</v>
      </c>
      <c r="F6" s="24">
        <f t="shared" si="0"/>
        <v>360.18000000000006</v>
      </c>
      <c r="G6" s="2"/>
      <c r="H6" s="3" t="s">
        <v>16</v>
      </c>
      <c r="I6" s="25">
        <f t="shared" si="2"/>
        <v>0.22788605697151421</v>
      </c>
      <c r="J6" s="25">
        <f t="shared" si="1"/>
        <v>0.31484257871064464</v>
      </c>
      <c r="K6" s="25">
        <f t="shared" si="1"/>
        <v>0.37781109445277355</v>
      </c>
      <c r="L6" s="31">
        <f t="shared" si="1"/>
        <v>7.9460269865067448E-2</v>
      </c>
      <c r="N6" s="3" t="s">
        <v>16</v>
      </c>
      <c r="O6" s="27">
        <f>I6/('BTF + frac massique'!I6)</f>
        <v>1.1994002998500748</v>
      </c>
      <c r="P6" s="27">
        <f>J6/('BTF + frac massique'!J6)</f>
        <v>4.4977511244377801</v>
      </c>
      <c r="Q6" s="27">
        <f>K6/('BTF + frac massique'!K6)</f>
        <v>2.6986506746626682</v>
      </c>
      <c r="R6" s="27">
        <f>L6/('BTF + frac massique'!L6)</f>
        <v>0.14992503748125932</v>
      </c>
    </row>
    <row r="7" spans="1:18" ht="15.75" customHeight="1" x14ac:dyDescent="0.3">
      <c r="A7" s="3" t="s">
        <v>43</v>
      </c>
      <c r="B7" s="24">
        <f>'BTF + frac massique'!P7*'BTF + frac massique'!Q7*('BTF + frac massique'!$B$5-1)</f>
        <v>35.519999999999996</v>
      </c>
      <c r="C7" s="24">
        <f>'BTF + frac massique'!P7*'BTF + frac massique'!R7*('BTF + frac massique'!$C$5-1)</f>
        <v>5.55</v>
      </c>
      <c r="D7" s="24">
        <f>'BTF + frac massique'!P7*'BTF + frac massique'!S7*('BTF + frac massique'!$D$5-1)</f>
        <v>26.64</v>
      </c>
      <c r="E7" s="24">
        <f>'BTF + frac massique'!P7*'BTF + frac massique'!T7*('BTF + frac massique'!$E$5-1)</f>
        <v>8.51</v>
      </c>
      <c r="F7" s="24">
        <f t="shared" si="0"/>
        <v>76.22</v>
      </c>
      <c r="G7" s="2"/>
      <c r="H7" s="3" t="s">
        <v>43</v>
      </c>
      <c r="I7" s="25">
        <f t="shared" si="2"/>
        <v>0.46601941747572811</v>
      </c>
      <c r="J7" s="25">
        <f t="shared" si="1"/>
        <v>7.281553398058252E-2</v>
      </c>
      <c r="K7" s="25">
        <f t="shared" si="1"/>
        <v>0.34951456310679613</v>
      </c>
      <c r="L7" s="31">
        <f t="shared" si="1"/>
        <v>0.1116504854368932</v>
      </c>
      <c r="N7" s="3" t="s">
        <v>43</v>
      </c>
      <c r="O7" s="27">
        <f>I7/('BTF + frac massique'!I7)</f>
        <v>1.9417475728155338</v>
      </c>
      <c r="P7" s="27">
        <f>J7/('BTF + frac massique'!J7)</f>
        <v>7.2815533980582519</v>
      </c>
      <c r="Q7" s="27">
        <f>K7/('BTF + frac massique'!K7)</f>
        <v>4.3689320388349513</v>
      </c>
      <c r="R7" s="27">
        <f>L7/('BTF + frac massique'!L7)</f>
        <v>0.24271844660194172</v>
      </c>
    </row>
    <row r="8" spans="1:18" ht="15.75" customHeight="1" x14ac:dyDescent="0.3">
      <c r="A8" s="3" t="s">
        <v>38</v>
      </c>
      <c r="B8" s="24">
        <f>'BTF + frac massique'!P8*'BTF + frac massique'!Q8*('BTF + frac massique'!$B$5-1)</f>
        <v>133.44000000000003</v>
      </c>
      <c r="C8" s="24">
        <f>'BTF + frac massique'!P8*'BTF + frac massique'!R8*('BTF + frac massique'!$C$5-1)</f>
        <v>50.040000000000006</v>
      </c>
      <c r="D8" s="24">
        <f>'BTF + frac massique'!P8*'BTF + frac massique'!S8*('BTF + frac massique'!$D$5-1)</f>
        <v>30.024000000000001</v>
      </c>
      <c r="E8" s="24">
        <f>'BTF + frac massique'!P8*'BTF + frac massique'!T8*('BTF + frac massique'!$E$5-1)</f>
        <v>0.62550000000000006</v>
      </c>
      <c r="F8" s="24">
        <f t="shared" si="0"/>
        <v>214.12950000000001</v>
      </c>
      <c r="H8" s="3" t="s">
        <v>38</v>
      </c>
      <c r="I8" s="25">
        <f t="shared" si="2"/>
        <v>0.62317429406037006</v>
      </c>
      <c r="J8" s="25">
        <f t="shared" si="1"/>
        <v>0.23369036027263879</v>
      </c>
      <c r="K8" s="25">
        <f t="shared" si="1"/>
        <v>0.14021421616358326</v>
      </c>
      <c r="L8" s="31">
        <f t="shared" si="1"/>
        <v>2.9211295034079847E-3</v>
      </c>
      <c r="N8" s="3" t="s">
        <v>38</v>
      </c>
      <c r="O8" s="27">
        <f>I8/('BTF + frac massique'!I8)</f>
        <v>0.77896786757546255</v>
      </c>
      <c r="P8" s="27">
        <f>J8/('BTF + frac massique'!J8)</f>
        <v>2.9211295034079847</v>
      </c>
      <c r="Q8" s="27">
        <f>K8/('BTF + frac massique'!K8)</f>
        <v>1.7526777020447908</v>
      </c>
      <c r="R8" s="27">
        <f>L8/('BTF + frac massique'!L8)</f>
        <v>9.7370983446932832E-2</v>
      </c>
    </row>
    <row r="9" spans="1:18" ht="15.75" customHeight="1" x14ac:dyDescent="0.3">
      <c r="A9" s="3" t="s">
        <v>42</v>
      </c>
      <c r="B9" s="24">
        <f>'BTF + frac massique'!P9*'BTF + frac massique'!Q9*('BTF + frac massique'!$B$5-1)</f>
        <v>598.10400000000004</v>
      </c>
      <c r="C9" s="24">
        <f>'BTF + frac massique'!P9*'BTF + frac massique'!R9*('BTF + frac massique'!$C$5-1)</f>
        <v>359.97</v>
      </c>
      <c r="D9" s="24">
        <f>'BTF + frac massique'!P9*'BTF + frac massique'!S9*('BTF + frac massique'!$D$5-1)</f>
        <v>66.456000000000003</v>
      </c>
      <c r="E9" s="24">
        <f>'BTF + frac massique'!P9*'BTF + frac massique'!T9*('BTF + frac massique'!$E$5-1)</f>
        <v>0.92300000000000004</v>
      </c>
      <c r="F9" s="24">
        <f t="shared" si="0"/>
        <v>1025.453</v>
      </c>
      <c r="H9" s="3" t="s">
        <v>42</v>
      </c>
      <c r="I9" s="25">
        <f t="shared" si="2"/>
        <v>0.5832583258325833</v>
      </c>
      <c r="J9" s="25">
        <f t="shared" si="1"/>
        <v>0.35103510351035105</v>
      </c>
      <c r="K9" s="25">
        <f t="shared" si="1"/>
        <v>6.480648064806481E-2</v>
      </c>
      <c r="L9" s="31">
        <f t="shared" si="1"/>
        <v>9.0009000900090016E-4</v>
      </c>
      <c r="N9" s="3" t="s">
        <v>42</v>
      </c>
      <c r="O9" s="27">
        <f>I9/('BTF + frac massique'!I9)</f>
        <v>0.72007200720072007</v>
      </c>
      <c r="P9" s="27">
        <f>J9/('BTF + frac massique'!J9)</f>
        <v>2.7002700270027002</v>
      </c>
      <c r="Q9" s="27">
        <f>K9/('BTF + frac massique'!K9)</f>
        <v>1.6201620162016201</v>
      </c>
      <c r="R9" s="27">
        <f>L9/('BTF + frac massique'!L9)</f>
        <v>9.0009000900090008E-2</v>
      </c>
    </row>
    <row r="10" spans="1:18" ht="15.75" customHeight="1" x14ac:dyDescent="0.3">
      <c r="A10" s="3" t="s">
        <v>39</v>
      </c>
      <c r="B10" s="24">
        <f>'BTF + frac massique'!P10*'BTF + frac massique'!Q10*('BTF + frac massique'!$B$5-1)</f>
        <v>263.64</v>
      </c>
      <c r="C10" s="24">
        <f>'BTF + frac massique'!P10*'BTF + frac massique'!R10*('BTF + frac massique'!$C$5-1)</f>
        <v>164.77500000000001</v>
      </c>
      <c r="D10" s="24">
        <f>'BTF + frac massique'!P10*'BTF + frac massique'!S10*('BTF + frac massique'!$D$5-1)</f>
        <v>15.209999999999999</v>
      </c>
      <c r="E10" s="24">
        <f>'BTF + frac massique'!P10*'BTF + frac massique'!T10*('BTF + frac massique'!$E$5-1)</f>
        <v>2.1125000000000003</v>
      </c>
      <c r="F10" s="24">
        <f t="shared" si="0"/>
        <v>445.73749999999995</v>
      </c>
      <c r="H10" s="3" t="s">
        <v>39</v>
      </c>
      <c r="I10" s="25">
        <f t="shared" si="2"/>
        <v>0.59146919431279621</v>
      </c>
      <c r="J10" s="25">
        <f t="shared" si="1"/>
        <v>0.36966824644549767</v>
      </c>
      <c r="K10" s="25">
        <f t="shared" si="1"/>
        <v>3.4123222748815164E-2</v>
      </c>
      <c r="L10" s="31">
        <f t="shared" si="1"/>
        <v>4.7393364928909965E-3</v>
      </c>
      <c r="N10" s="3" t="s">
        <v>39</v>
      </c>
      <c r="O10" s="27">
        <f>I10/('BTF + frac massique'!I10)</f>
        <v>0.75829383886255919</v>
      </c>
      <c r="P10" s="27">
        <f>J10/('BTF + frac massique'!J10)</f>
        <v>2.8436018957345972</v>
      </c>
      <c r="Q10" s="27">
        <f>K10/('BTF + frac massique'!K10)</f>
        <v>1.7061611374407581</v>
      </c>
      <c r="R10" s="27">
        <f>L10/('BTF + frac massique'!L10)</f>
        <v>9.4786729857819926E-2</v>
      </c>
    </row>
    <row r="11" spans="1:18" ht="15.75" customHeight="1" x14ac:dyDescent="0.3">
      <c r="A11" s="3" t="s">
        <v>40</v>
      </c>
      <c r="B11" s="24">
        <f>'BTF + frac massique'!P11*'BTF + frac massique'!Q11*('BTF + frac massique'!$B$5-1)</f>
        <v>472.35999999999996</v>
      </c>
      <c r="C11" s="24">
        <f>'BTF + frac massique'!P11*'BTF + frac massique'!R11*('BTF + frac massique'!$C$5-1)</f>
        <v>278.35499999999996</v>
      </c>
      <c r="D11" s="24">
        <f>'BTF + frac massique'!P11*'BTF + frac massique'!S11*('BTF + frac massique'!$D$5-1)</f>
        <v>106.28100000000001</v>
      </c>
      <c r="E11" s="24">
        <f>'BTF + frac massique'!P11*'BTF + frac massique'!T11*('BTF + frac massique'!$E$5-1)</f>
        <v>10.121999999999998</v>
      </c>
      <c r="F11" s="24">
        <f t="shared" si="0"/>
        <v>867.11799999999982</v>
      </c>
      <c r="H11" s="3" t="s">
        <v>40</v>
      </c>
      <c r="I11" s="25">
        <f t="shared" si="2"/>
        <v>0.54474708171206232</v>
      </c>
      <c r="J11" s="25">
        <f t="shared" si="1"/>
        <v>0.321011673151751</v>
      </c>
      <c r="K11" s="25">
        <f t="shared" si="1"/>
        <v>0.12256809338521404</v>
      </c>
      <c r="L11" s="31">
        <f t="shared" si="1"/>
        <v>1.1673151750972763E-2</v>
      </c>
      <c r="N11" s="3" t="s">
        <v>40</v>
      </c>
      <c r="O11" s="27">
        <f>I11/('BTF + frac massique'!I11)</f>
        <v>0.77821011673151763</v>
      </c>
      <c r="P11" s="27">
        <f>J11/('BTF + frac massique'!J11)</f>
        <v>2.918287937743191</v>
      </c>
      <c r="Q11" s="27">
        <f>K11/('BTF + frac massique'!K11)</f>
        <v>1.7509727626459148</v>
      </c>
      <c r="R11" s="27">
        <f>L11/('BTF + frac massique'!L11)</f>
        <v>9.727626459143969E-2</v>
      </c>
    </row>
    <row r="12" spans="1:18" ht="15.75" customHeight="1" x14ac:dyDescent="0.3">
      <c r="A12" s="3" t="s">
        <v>41</v>
      </c>
      <c r="B12" s="24">
        <f>'BTF + frac massique'!P12*'BTF + frac massique'!Q12*('BTF + frac massique'!$B$5-1)</f>
        <v>103.04000000000002</v>
      </c>
      <c r="C12" s="24">
        <f>'BTF + frac massique'!P12*'BTF + frac massique'!R12*('BTF + frac massique'!$C$5-1)</f>
        <v>193.20000000000005</v>
      </c>
      <c r="D12" s="24">
        <f>'BTF + frac massique'!P12*'BTF + frac massique'!S12*('BTF + frac massique'!$D$5-1)</f>
        <v>173.88</v>
      </c>
      <c r="E12" s="24">
        <f>'BTF + frac massique'!P12*'BTF + frac massique'!T12*('BTF + frac massique'!$E$5-1)</f>
        <v>32.200000000000003</v>
      </c>
      <c r="F12" s="24">
        <f t="shared" si="0"/>
        <v>502.32000000000005</v>
      </c>
      <c r="H12" s="3" t="s">
        <v>41</v>
      </c>
      <c r="I12" s="25">
        <f t="shared" si="2"/>
        <v>0.20512820512820515</v>
      </c>
      <c r="J12" s="25">
        <f t="shared" si="1"/>
        <v>0.38461538461538469</v>
      </c>
      <c r="K12" s="25">
        <f t="shared" si="1"/>
        <v>0.34615384615384609</v>
      </c>
      <c r="L12" s="31">
        <f t="shared" si="1"/>
        <v>6.4102564102564097E-2</v>
      </c>
      <c r="N12" s="3" t="s">
        <v>41</v>
      </c>
      <c r="O12" s="27">
        <f>I12/('BTF + frac massique'!I12)</f>
        <v>1.0256410256410258</v>
      </c>
      <c r="P12" s="27">
        <f>J12/('BTF + frac massique'!J12)</f>
        <v>3.8461538461538467</v>
      </c>
      <c r="Q12" s="27">
        <f>K12/('BTF + frac massique'!K12)</f>
        <v>2.3076923076923075</v>
      </c>
      <c r="R12" s="27">
        <f>L12/('BTF + frac massique'!L12)</f>
        <v>0.12820512820512819</v>
      </c>
    </row>
    <row r="13" spans="1:18" ht="15.75" customHeight="1" x14ac:dyDescent="0.3">
      <c r="B13" s="24"/>
    </row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1"/>
  <sheetViews>
    <sheetView workbookViewId="0">
      <selection activeCell="I41" sqref="I41"/>
    </sheetView>
  </sheetViews>
  <sheetFormatPr baseColWidth="10" defaultColWidth="11.125" defaultRowHeight="15" customHeight="1" x14ac:dyDescent="0.25"/>
  <cols>
    <col min="1" max="1" width="9.5" bestFit="1" customWidth="1"/>
    <col min="2" max="2" width="11.5" bestFit="1" customWidth="1"/>
    <col min="3" max="3" width="5.875" bestFit="1" customWidth="1"/>
    <col min="4" max="4" width="9.375" bestFit="1" customWidth="1"/>
    <col min="5" max="5" width="5.625" bestFit="1" customWidth="1"/>
    <col min="6" max="6" width="6.125" bestFit="1" customWidth="1"/>
    <col min="7" max="7" width="10.5" customWidth="1"/>
    <col min="8" max="8" width="9.5" bestFit="1" customWidth="1"/>
    <col min="9" max="9" width="11.5" bestFit="1" customWidth="1"/>
    <col min="10" max="10" width="5.875" bestFit="1" customWidth="1"/>
    <col min="11" max="11" width="9.375" bestFit="1" customWidth="1"/>
    <col min="12" max="12" width="7.25" bestFit="1" customWidth="1"/>
    <col min="13" max="13" width="10.5" customWidth="1"/>
    <col min="14" max="14" width="9.5" bestFit="1" customWidth="1"/>
    <col min="15" max="15" width="11.5" bestFit="1" customWidth="1"/>
    <col min="16" max="16" width="5.875" bestFit="1" customWidth="1"/>
    <col min="17" max="17" width="9.375" bestFit="1" customWidth="1"/>
    <col min="18" max="18" width="5.625" bestFit="1" customWidth="1"/>
    <col min="19" max="26" width="10.5" customWidth="1"/>
  </cols>
  <sheetData>
    <row r="1" spans="1:18" ht="15.75" customHeight="1" x14ac:dyDescent="0.3">
      <c r="A1" s="3" t="s">
        <v>44</v>
      </c>
      <c r="B1" s="22" t="s">
        <v>47</v>
      </c>
      <c r="C1" s="22" t="s">
        <v>48</v>
      </c>
      <c r="D1" s="22" t="s">
        <v>49</v>
      </c>
      <c r="E1" s="22" t="s">
        <v>3</v>
      </c>
      <c r="F1" s="22" t="s">
        <v>36</v>
      </c>
      <c r="G1" s="2"/>
      <c r="H1" s="3" t="s">
        <v>44</v>
      </c>
      <c r="I1" s="22" t="s">
        <v>47</v>
      </c>
      <c r="J1" s="22" t="s">
        <v>48</v>
      </c>
      <c r="K1" s="22" t="s">
        <v>49</v>
      </c>
      <c r="L1" s="22" t="s">
        <v>3</v>
      </c>
      <c r="N1" s="3" t="s">
        <v>44</v>
      </c>
      <c r="O1" s="22" t="s">
        <v>47</v>
      </c>
      <c r="P1" s="22" t="s">
        <v>48</v>
      </c>
      <c r="Q1" s="22" t="s">
        <v>49</v>
      </c>
      <c r="R1" s="22" t="s">
        <v>3</v>
      </c>
    </row>
    <row r="2" spans="1:18" ht="15.75" customHeight="1" x14ac:dyDescent="0.3">
      <c r="A2" s="3" t="s">
        <v>8</v>
      </c>
      <c r="B2" s="24">
        <f>'BTF + frac massique'!$G2*'BTF + frac massique'!I2*'BTF + frac massique'!B$5*'BTF + frac massique'!B$4</f>
        <v>1299.4650000000001</v>
      </c>
      <c r="C2" s="24">
        <f>'BTF + frac massique'!$G2*'BTF + frac massique'!J2*'BTF + frac massique'!C$5*'BTF + frac massique'!C$4</f>
        <v>397.20959999999997</v>
      </c>
      <c r="D2" s="24">
        <f>'BTF + frac massique'!$G2*'BTF + frac massique'!K2*'BTF + frac massique'!D$5*'BTF + frac massique'!D$4</f>
        <v>582.71199999999999</v>
      </c>
      <c r="E2" s="24">
        <f>'BTF + frac massique'!$G2*'BTF + frac massique'!L2*'BTF + frac massique'!E$5*'BTF + frac massique'!E$4</f>
        <v>3.4910999999999999</v>
      </c>
      <c r="F2" s="24">
        <f t="shared" ref="F2:F12" si="0">SUM(B2:E2)</f>
        <v>2282.8777</v>
      </c>
      <c r="G2" s="2"/>
      <c r="H2" s="3" t="s">
        <v>8</v>
      </c>
      <c r="I2" s="25">
        <f>B2/$F2</f>
        <v>0.56922234598901211</v>
      </c>
      <c r="J2" s="25">
        <f t="shared" ref="J2:L12" si="1">C2/$F2</f>
        <v>0.17399512904261141</v>
      </c>
      <c r="K2" s="25">
        <f t="shared" si="1"/>
        <v>0.25525327090452543</v>
      </c>
      <c r="L2" s="31">
        <f t="shared" si="1"/>
        <v>1.5292540638510771E-3</v>
      </c>
      <c r="N2" s="3" t="s">
        <v>8</v>
      </c>
      <c r="O2" s="27">
        <f>I2/('BTF + frac massique'!I2)</f>
        <v>0.84958559102837627</v>
      </c>
      <c r="P2" s="27">
        <f>J2/('BTF + frac massique'!J2)</f>
        <v>1.4499594086884284</v>
      </c>
      <c r="Q2" s="27">
        <f>K2/('BTF + frac massique'!K2)</f>
        <v>6.3813317726131356</v>
      </c>
      <c r="R2" s="27">
        <f>L2/('BTF + frac massique'!L2)</f>
        <v>1.6991711820567523E-2</v>
      </c>
    </row>
    <row r="3" spans="1:18" ht="15.75" customHeight="1" x14ac:dyDescent="0.3">
      <c r="A3" s="3" t="s">
        <v>10</v>
      </c>
      <c r="B3" s="24">
        <f>'BTF + frac massique'!$G3*'BTF + frac massique'!I3*'BTF + frac massique'!B$5*'BTF + frac massique'!B$4</f>
        <v>648</v>
      </c>
      <c r="C3" s="24">
        <f>'BTF + frac massique'!$G3*'BTF + frac massique'!J3*'BTF + frac massique'!C$5*'BTF + frac massique'!C$4</f>
        <v>138.23999999999998</v>
      </c>
      <c r="D3" s="24">
        <f>'BTF + frac massique'!$G3*'BTF + frac massique'!K3*'BTF + frac massique'!D$5*'BTF + frac massique'!D$4</f>
        <v>405.59999999999997</v>
      </c>
      <c r="E3" s="24">
        <f>'BTF + frac massique'!$G3*'BTF + frac massique'!L3*'BTF + frac massique'!E$5*'BTF + frac massique'!E$4</f>
        <v>1.7999999999999998</v>
      </c>
      <c r="F3" s="24">
        <f t="shared" si="0"/>
        <v>1193.6399999999999</v>
      </c>
      <c r="G3" s="2"/>
      <c r="H3" s="3" t="s">
        <v>10</v>
      </c>
      <c r="I3" s="25">
        <f t="shared" ref="I3:I12" si="2">B3/$F3</f>
        <v>0.54287724942193627</v>
      </c>
      <c r="J3" s="25">
        <f t="shared" si="1"/>
        <v>0.11581381321001306</v>
      </c>
      <c r="K3" s="25">
        <f t="shared" si="1"/>
        <v>0.3398009450085453</v>
      </c>
      <c r="L3" s="31">
        <f t="shared" si="1"/>
        <v>1.5079923595053785E-3</v>
      </c>
      <c r="N3" s="3" t="s">
        <v>10</v>
      </c>
      <c r="O3" s="27">
        <f>I3/('BTF + frac massique'!I3)</f>
        <v>0.75399617975268929</v>
      </c>
      <c r="P3" s="27">
        <f>J3/('BTF + frac massique'!J3)</f>
        <v>1.286820146777923</v>
      </c>
      <c r="Q3" s="27">
        <f>K3/('BTF + frac massique'!K3)</f>
        <v>5.6633490834757554</v>
      </c>
      <c r="R3" s="27">
        <f>L3/('BTF + frac massique'!L3)</f>
        <v>1.5079923595053784E-2</v>
      </c>
    </row>
    <row r="4" spans="1:18" ht="15.75" customHeight="1" x14ac:dyDescent="0.3">
      <c r="A4" s="3" t="s">
        <v>12</v>
      </c>
      <c r="B4" s="24">
        <f>'BTF + frac massique'!$G4*'BTF + frac massique'!I4*'BTF + frac massique'!B$5*'BTF + frac massique'!B$4</f>
        <v>2036.6999999999998</v>
      </c>
      <c r="C4" s="24">
        <f>'BTF + frac massique'!$G4*'BTF + frac massique'!J4*'BTF + frac massique'!C$5*'BTF + frac massique'!C$4</f>
        <v>333.31200000000007</v>
      </c>
      <c r="D4" s="24">
        <f>'BTF + frac massique'!$G4*'BTF + frac massique'!K4*'BTF + frac massique'!D$5*'BTF + frac massique'!D$4</f>
        <v>2095.6</v>
      </c>
      <c r="E4" s="24">
        <f>'BTF + frac massique'!$G4*'BTF + frac massique'!L4*'BTF + frac massique'!E$5*'BTF + frac massique'!E$4</f>
        <v>4.4639999999999995</v>
      </c>
      <c r="F4" s="24">
        <f t="shared" si="0"/>
        <v>4470.0759999999991</v>
      </c>
      <c r="G4" s="2"/>
      <c r="H4" s="3" t="s">
        <v>12</v>
      </c>
      <c r="I4" s="25">
        <f t="shared" si="2"/>
        <v>0.45562983716607958</v>
      </c>
      <c r="J4" s="25">
        <f t="shared" si="1"/>
        <v>7.4565175178229665E-2</v>
      </c>
      <c r="K4" s="25">
        <f t="shared" si="1"/>
        <v>0.46880634691669681</v>
      </c>
      <c r="L4" s="31">
        <f t="shared" si="1"/>
        <v>9.9864073899414698E-4</v>
      </c>
      <c r="N4" s="3" t="s">
        <v>12</v>
      </c>
      <c r="O4" s="27">
        <f>I4/('BTF + frac massique'!I4)</f>
        <v>0.62415046187134193</v>
      </c>
      <c r="P4" s="27">
        <f>J4/('BTF + frac massique'!J4)</f>
        <v>1.0652167882604238</v>
      </c>
      <c r="Q4" s="27">
        <f>K4/('BTF + frac massique'!K4)</f>
        <v>4.688063469166968</v>
      </c>
      <c r="R4" s="27">
        <f>L4/('BTF + frac massique'!L4)</f>
        <v>1.2483009237426837E-2</v>
      </c>
    </row>
    <row r="5" spans="1:18" ht="15.75" customHeight="1" x14ac:dyDescent="0.3">
      <c r="A5" s="3" t="s">
        <v>14</v>
      </c>
      <c r="B5" s="24">
        <f>'BTF + frac massique'!$G5*'BTF + frac massique'!I5*'BTF + frac massique'!B$5*'BTF + frac massique'!B$4</f>
        <v>4674.375</v>
      </c>
      <c r="C5" s="24">
        <f>'BTF + frac massique'!$G5*'BTF + frac massique'!J5*'BTF + frac massique'!C$5*'BTF + frac massique'!C$4</f>
        <v>744.57600000000002</v>
      </c>
      <c r="D5" s="24">
        <f>'BTF + frac massique'!$G5*'BTF + frac massique'!K5*'BTF + frac massique'!D$5*'BTF + frac massique'!D$4</f>
        <v>3745.0399999999995</v>
      </c>
      <c r="E5" s="24">
        <f>'BTF + frac massique'!$G5*'BTF + frac massique'!L5*'BTF + frac massique'!E$5*'BTF + frac massique'!E$4</f>
        <v>8.7255000000000003</v>
      </c>
      <c r="F5" s="24">
        <f t="shared" si="0"/>
        <v>9172.7165000000005</v>
      </c>
      <c r="G5" s="2"/>
      <c r="H5" s="3" t="s">
        <v>14</v>
      </c>
      <c r="I5" s="25">
        <f t="shared" si="2"/>
        <v>0.50959549442087304</v>
      </c>
      <c r="J5" s="25">
        <f t="shared" si="1"/>
        <v>8.1172900089084843E-2</v>
      </c>
      <c r="K5" s="25">
        <f t="shared" si="1"/>
        <v>0.40828036056712308</v>
      </c>
      <c r="L5" s="31">
        <f t="shared" si="1"/>
        <v>9.51244922918963E-4</v>
      </c>
      <c r="N5" s="3" t="s">
        <v>14</v>
      </c>
      <c r="O5" s="27">
        <f>I5/('BTF + frac massique'!I5)</f>
        <v>0.67946065922783072</v>
      </c>
      <c r="P5" s="27">
        <f>J5/('BTF + frac massique'!J5)</f>
        <v>1.1596128584154977</v>
      </c>
      <c r="Q5" s="27">
        <f>K5/('BTF + frac massique'!K5)</f>
        <v>5.1035045070890384</v>
      </c>
      <c r="R5" s="27">
        <f>L5/('BTF + frac massique'!L5)</f>
        <v>1.3589213184556612E-2</v>
      </c>
    </row>
    <row r="6" spans="1:18" ht="15.75" customHeight="1" x14ac:dyDescent="0.3">
      <c r="A6" s="3" t="s">
        <v>16</v>
      </c>
      <c r="B6" s="24">
        <f>'BTF + frac massique'!$G6*'BTF + frac massique'!I6*'BTF + frac massique'!B$5*'BTF + frac massique'!B$4</f>
        <v>461.7</v>
      </c>
      <c r="C6" s="24">
        <f>'BTF + frac massique'!$G6*'BTF + frac massique'!J6*'BTF + frac massique'!C$5*'BTF + frac massique'!C$4</f>
        <v>290.30400000000003</v>
      </c>
      <c r="D6" s="24">
        <f>'BTF + frac massique'!$G6*'BTF + frac massique'!K6*'BTF + frac massique'!D$5*'BTF + frac massique'!D$4</f>
        <v>2555.2800000000002</v>
      </c>
      <c r="E6" s="24">
        <f>'BTF + frac massique'!$G6*'BTF + frac massique'!L6*'BTF + frac massique'!E$5*'BTF + frac massique'!E$4</f>
        <v>25.757999999999999</v>
      </c>
      <c r="F6" s="24">
        <f t="shared" si="0"/>
        <v>3333.0419999999999</v>
      </c>
      <c r="G6" s="2"/>
      <c r="H6" s="3" t="s">
        <v>16</v>
      </c>
      <c r="I6" s="25">
        <f t="shared" si="2"/>
        <v>0.13852210683213712</v>
      </c>
      <c r="J6" s="25">
        <f t="shared" si="1"/>
        <v>8.7098812436206929E-2</v>
      </c>
      <c r="K6" s="25">
        <f t="shared" si="1"/>
        <v>0.76665100529786312</v>
      </c>
      <c r="L6" s="31">
        <f t="shared" si="1"/>
        <v>7.7280754337929131E-3</v>
      </c>
      <c r="N6" s="3" t="s">
        <v>16</v>
      </c>
      <c r="O6" s="27">
        <f>I6/('BTF + frac massique'!I6)</f>
        <v>0.72906372016914267</v>
      </c>
      <c r="P6" s="27">
        <f>J6/('BTF + frac massique'!J6)</f>
        <v>1.2442687490886704</v>
      </c>
      <c r="Q6" s="27">
        <f>K6/('BTF + frac massique'!K6)</f>
        <v>5.4760786092704503</v>
      </c>
      <c r="R6" s="27">
        <f>L6/('BTF + frac massique'!L6)</f>
        <v>1.4581274403382855E-2</v>
      </c>
    </row>
    <row r="7" spans="1:18" ht="15.75" customHeight="1" x14ac:dyDescent="0.3">
      <c r="A7" s="3" t="s">
        <v>43</v>
      </c>
      <c r="B7" s="24">
        <f>'BTF + frac massique'!$G7*'BTF + frac massique'!I7*'BTF + frac massique'!B$5*'BTF + frac massique'!B$4</f>
        <v>199.79999999999995</v>
      </c>
      <c r="C7" s="24">
        <f>'BTF + frac massique'!$G7*'BTF + frac massique'!J7*'BTF + frac massique'!C$5*'BTF + frac massique'!C$4</f>
        <v>14.208</v>
      </c>
      <c r="D7" s="24">
        <f>'BTF + frac massique'!$G7*'BTF + frac massique'!K7*'BTF + frac massique'!D$5*'BTF + frac massique'!D$4</f>
        <v>500.24</v>
      </c>
      <c r="E7" s="24">
        <f>'BTF + frac massique'!$G7*'BTF + frac massique'!L7*'BTF + frac massique'!E$5*'BTF + frac massique'!E$4</f>
        <v>7.6589999999999998</v>
      </c>
      <c r="F7" s="24">
        <f t="shared" si="0"/>
        <v>721.90699999999993</v>
      </c>
      <c r="G7" s="2"/>
      <c r="H7" s="3" t="s">
        <v>43</v>
      </c>
      <c r="I7" s="25">
        <f t="shared" si="2"/>
        <v>0.27676695197580847</v>
      </c>
      <c r="J7" s="25">
        <f t="shared" si="1"/>
        <v>1.9681205473835273E-2</v>
      </c>
      <c r="K7" s="25">
        <f t="shared" si="1"/>
        <v>0.69294244272461691</v>
      </c>
      <c r="L7" s="31">
        <f t="shared" si="1"/>
        <v>1.0609399825739328E-2</v>
      </c>
      <c r="N7" s="3" t="s">
        <v>43</v>
      </c>
      <c r="O7" s="27">
        <f>I7/('BTF + frac massique'!I7)</f>
        <v>1.1531956332325353</v>
      </c>
      <c r="P7" s="27">
        <f>J7/('BTF + frac massique'!J7)</f>
        <v>1.9681205473835273</v>
      </c>
      <c r="Q7" s="27">
        <f>K7/('BTF + frac massique'!K7)</f>
        <v>8.6617805340577121</v>
      </c>
      <c r="R7" s="27">
        <f>L7/('BTF + frac massique'!L7)</f>
        <v>2.3063912664650712E-2</v>
      </c>
    </row>
    <row r="8" spans="1:18" ht="15.75" customHeight="1" x14ac:dyDescent="0.3">
      <c r="A8" s="3" t="s">
        <v>38</v>
      </c>
      <c r="B8" s="24">
        <f>'BTF + frac massique'!$G8*'BTF + frac massique'!I8*'BTF + frac massique'!B$5*'BTF + frac massique'!B$4</f>
        <v>750.60000000000014</v>
      </c>
      <c r="C8" s="24">
        <f>'BTF + frac massique'!$G8*'BTF + frac massique'!J8*'BTF + frac massique'!C$5*'BTF + frac massique'!C$4</f>
        <v>128.10240000000002</v>
      </c>
      <c r="D8" s="24">
        <f>'BTF + frac massique'!$G8*'BTF + frac massique'!K8*'BTF + frac massique'!D$5*'BTF + frac massique'!D$4</f>
        <v>563.78399999999999</v>
      </c>
      <c r="E8" s="24">
        <f>'BTF + frac massique'!$G8*'BTF + frac massique'!L8*'BTF + frac massique'!E$5*'BTF + frac massique'!E$4</f>
        <v>0.56294999999999995</v>
      </c>
      <c r="F8" s="24">
        <f t="shared" si="0"/>
        <v>1443.0493500000002</v>
      </c>
      <c r="H8" s="3" t="s">
        <v>38</v>
      </c>
      <c r="I8" s="25">
        <f t="shared" si="2"/>
        <v>0.52014853130282757</v>
      </c>
      <c r="J8" s="25">
        <f t="shared" si="1"/>
        <v>8.8772016009015908E-2</v>
      </c>
      <c r="K8" s="25">
        <f t="shared" si="1"/>
        <v>0.3906893412896793</v>
      </c>
      <c r="L8" s="31">
        <f t="shared" si="1"/>
        <v>3.9011139847712061E-4</v>
      </c>
      <c r="N8" s="3" t="s">
        <v>38</v>
      </c>
      <c r="O8" s="27">
        <f>I8/('BTF + frac massique'!I8)</f>
        <v>0.6501856641285344</v>
      </c>
      <c r="P8" s="27">
        <f>J8/('BTF + frac massique'!J8)</f>
        <v>1.1096502001126989</v>
      </c>
      <c r="Q8" s="27">
        <f>K8/('BTF + frac massique'!K8)</f>
        <v>4.8836167661209915</v>
      </c>
      <c r="R8" s="27">
        <f>L8/('BTF + frac massique'!L8)</f>
        <v>1.3003713282570687E-2</v>
      </c>
    </row>
    <row r="9" spans="1:18" ht="15.75" customHeight="1" x14ac:dyDescent="0.3">
      <c r="A9" s="3" t="s">
        <v>42</v>
      </c>
      <c r="B9" s="24">
        <f>'BTF + frac massique'!$G9*'BTF + frac massique'!I9*'BTF + frac massique'!B$5*'BTF + frac massique'!B$4</f>
        <v>3364.3350000000005</v>
      </c>
      <c r="C9" s="24">
        <f>'BTF + frac massique'!$G9*'BTF + frac massique'!J9*'BTF + frac massique'!C$5*'BTF + frac massique'!C$4</f>
        <v>921.52319999999997</v>
      </c>
      <c r="D9" s="24">
        <f>'BTF + frac massique'!$G9*'BTF + frac massique'!K9*'BTF + frac massique'!D$5*'BTF + frac massique'!D$4</f>
        <v>1247.896</v>
      </c>
      <c r="E9" s="24">
        <f>'BTF + frac massique'!$G9*'BTF + frac massique'!L9*'BTF + frac massique'!E$5*'BTF + frac massique'!E$4</f>
        <v>0.83069999999999999</v>
      </c>
      <c r="F9" s="24">
        <f t="shared" si="0"/>
        <v>5534.5849000000007</v>
      </c>
      <c r="H9" s="3" t="s">
        <v>42</v>
      </c>
      <c r="I9" s="25">
        <f t="shared" si="2"/>
        <v>0.60787485616129944</v>
      </c>
      <c r="J9" s="25">
        <f t="shared" si="1"/>
        <v>0.16650267665060117</v>
      </c>
      <c r="K9" s="25">
        <f t="shared" si="1"/>
        <v>0.22547237463102243</v>
      </c>
      <c r="L9" s="31">
        <f t="shared" si="1"/>
        <v>1.5009255707686405E-4</v>
      </c>
      <c r="N9" s="3" t="s">
        <v>42</v>
      </c>
      <c r="O9" s="27">
        <f>I9/('BTF + frac massique'!I9)</f>
        <v>0.75046278538432021</v>
      </c>
      <c r="P9" s="27">
        <f>J9/('BTF + frac massique'!J9)</f>
        <v>1.2807898203892398</v>
      </c>
      <c r="Q9" s="27">
        <f>K9/('BTF + frac massique'!K9)</f>
        <v>5.6368093657755605</v>
      </c>
      <c r="R9" s="27">
        <f>L9/('BTF + frac massique'!L9)</f>
        <v>1.5009255707686405E-2</v>
      </c>
    </row>
    <row r="10" spans="1:18" ht="15.75" customHeight="1" x14ac:dyDescent="0.3">
      <c r="A10" s="3" t="s">
        <v>39</v>
      </c>
      <c r="B10" s="24">
        <f>'BTF + frac massique'!$G10*'BTF + frac massique'!I10*'BTF + frac massique'!B$5*'BTF + frac massique'!B$4</f>
        <v>1482.9749999999999</v>
      </c>
      <c r="C10" s="24">
        <f>'BTF + frac massique'!$G10*'BTF + frac massique'!J10*'BTF + frac massique'!C$5*'BTF + frac massique'!C$4</f>
        <v>421.82400000000001</v>
      </c>
      <c r="D10" s="24">
        <f>'BTF + frac massique'!$G10*'BTF + frac massique'!K10*'BTF + frac massique'!D$5*'BTF + frac massique'!D$4</f>
        <v>285.60999999999996</v>
      </c>
      <c r="E10" s="24">
        <f>'BTF + frac massique'!$G10*'BTF + frac massique'!L10*'BTF + frac massique'!E$5*'BTF + frac massique'!E$4</f>
        <v>1.9012500000000001</v>
      </c>
      <c r="F10" s="24">
        <f t="shared" si="0"/>
        <v>2192.31025</v>
      </c>
      <c r="H10" s="3" t="s">
        <v>39</v>
      </c>
      <c r="I10" s="25">
        <f t="shared" si="2"/>
        <v>0.6764439476574996</v>
      </c>
      <c r="J10" s="25">
        <f t="shared" si="1"/>
        <v>0.19241072288924435</v>
      </c>
      <c r="K10" s="25">
        <f t="shared" si="1"/>
        <v>0.13027809362292583</v>
      </c>
      <c r="L10" s="31">
        <f t="shared" si="1"/>
        <v>8.6723583033012784E-4</v>
      </c>
      <c r="N10" s="3" t="s">
        <v>39</v>
      </c>
      <c r="O10" s="27">
        <f>I10/('BTF + frac massique'!I10)</f>
        <v>0.86723583033012763</v>
      </c>
      <c r="P10" s="27">
        <f>J10/('BTF + frac massique'!J10)</f>
        <v>1.4800824837634181</v>
      </c>
      <c r="Q10" s="27">
        <f>K10/('BTF + frac massique'!K10)</f>
        <v>6.5139046811462915</v>
      </c>
      <c r="R10" s="27">
        <f>L10/('BTF + frac massique'!L10)</f>
        <v>1.7344716606602556E-2</v>
      </c>
    </row>
    <row r="11" spans="1:18" ht="15.75" customHeight="1" x14ac:dyDescent="0.3">
      <c r="A11" s="3" t="s">
        <v>40</v>
      </c>
      <c r="B11" s="24">
        <f>'BTF + frac massique'!$G11*'BTF + frac massique'!I11*'BTF + frac massique'!B$5*'BTF + frac massique'!B$4</f>
        <v>2657.0249999999996</v>
      </c>
      <c r="C11" s="24">
        <f>'BTF + frac massique'!$G11*'BTF + frac massique'!J11*'BTF + frac massique'!C$5*'BTF + frac massique'!C$4</f>
        <v>712.58879999999988</v>
      </c>
      <c r="D11" s="24">
        <f>'BTF + frac massique'!$G11*'BTF + frac massique'!K11*'BTF + frac massique'!D$5*'BTF + frac massique'!D$4</f>
        <v>1995.7209999999998</v>
      </c>
      <c r="E11" s="24">
        <f>'BTF + frac massique'!$G11*'BTF + frac massique'!L11*'BTF + frac massique'!E$5*'BTF + frac massique'!E$4</f>
        <v>9.1097999999999981</v>
      </c>
      <c r="F11" s="24">
        <f t="shared" si="0"/>
        <v>5374.4445999999998</v>
      </c>
      <c r="H11" s="3" t="s">
        <v>40</v>
      </c>
      <c r="I11" s="25">
        <f t="shared" si="2"/>
        <v>0.49438131709460725</v>
      </c>
      <c r="J11" s="25">
        <f t="shared" si="1"/>
        <v>0.13258836085127754</v>
      </c>
      <c r="K11" s="25">
        <f t="shared" si="1"/>
        <v>0.37133530039550505</v>
      </c>
      <c r="L11" s="31">
        <f t="shared" si="1"/>
        <v>1.695021658610082E-3</v>
      </c>
      <c r="N11" s="3" t="s">
        <v>40</v>
      </c>
      <c r="O11" s="27">
        <f>I11/('BTF + frac massique'!I11)</f>
        <v>0.70625902442086752</v>
      </c>
      <c r="P11" s="27">
        <f>J11/('BTF + frac massique'!J11)</f>
        <v>1.2053487350116139</v>
      </c>
      <c r="Q11" s="27">
        <f>K11/('BTF + frac massique'!K11)</f>
        <v>5.3047900056500721</v>
      </c>
      <c r="R11" s="27">
        <f>L11/('BTF + frac massique'!L11)</f>
        <v>1.4125180488417349E-2</v>
      </c>
    </row>
    <row r="12" spans="1:18" ht="15.75" customHeight="1" x14ac:dyDescent="0.3">
      <c r="A12" s="3" t="s">
        <v>41</v>
      </c>
      <c r="B12" s="24">
        <f>'BTF + frac massique'!$G12*'BTF + frac massique'!I12*'BTF + frac massique'!B$5*'BTF + frac massique'!B$4</f>
        <v>579.6</v>
      </c>
      <c r="C12" s="24">
        <f>'BTF + frac massique'!$G12*'BTF + frac massique'!J12*'BTF + frac massique'!C$5*'BTF + frac massique'!C$4</f>
        <v>494.5920000000001</v>
      </c>
      <c r="D12" s="24">
        <f>'BTF + frac massique'!$G12*'BTF + frac massique'!K12*'BTF + frac massique'!D$5*'BTF + frac massique'!D$4</f>
        <v>3265.0799999999995</v>
      </c>
      <c r="E12" s="24">
        <f>'BTF + frac massique'!$G12*'BTF + frac massique'!L12*'BTF + frac massique'!E$5*'BTF + frac massique'!E$4</f>
        <v>28.98</v>
      </c>
      <c r="F12" s="24">
        <f t="shared" si="0"/>
        <v>4368.2519999999986</v>
      </c>
      <c r="H12" s="3" t="s">
        <v>41</v>
      </c>
      <c r="I12" s="25">
        <f t="shared" si="2"/>
        <v>0.13268465280849187</v>
      </c>
      <c r="J12" s="25">
        <f t="shared" si="1"/>
        <v>0.11322423706324641</v>
      </c>
      <c r="K12" s="25">
        <f t="shared" si="1"/>
        <v>0.7474568774878374</v>
      </c>
      <c r="L12" s="31">
        <f t="shared" si="1"/>
        <v>6.634232640424593E-3</v>
      </c>
      <c r="N12" s="3" t="s">
        <v>41</v>
      </c>
      <c r="O12" s="27">
        <f>I12/('BTF + frac massique'!I12)</f>
        <v>0.66342326404245933</v>
      </c>
      <c r="P12" s="27">
        <f>J12/('BTF + frac massique'!J12)</f>
        <v>1.132242370632464</v>
      </c>
      <c r="Q12" s="27">
        <f>K12/('BTF + frac massique'!K12)</f>
        <v>4.9830458499189163</v>
      </c>
      <c r="R12" s="27">
        <f>L12/('BTF + frac massique'!L12)</f>
        <v>1.3268465280849186E-2</v>
      </c>
    </row>
    <row r="13" spans="1:18" ht="15.75" customHeight="1" x14ac:dyDescent="0.25"/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021-D4E5-4317-B033-C26BC11B083D}">
  <dimension ref="A1:E12"/>
  <sheetViews>
    <sheetView workbookViewId="0">
      <selection activeCell="D22" sqref="D22"/>
    </sheetView>
  </sheetViews>
  <sheetFormatPr baseColWidth="10" defaultColWidth="8.625" defaultRowHeight="15.75" x14ac:dyDescent="0.25"/>
  <cols>
    <col min="1" max="1" width="10" customWidth="1"/>
    <col min="4" max="4" width="15.125" customWidth="1"/>
    <col min="5" max="5" width="11.375" customWidth="1"/>
  </cols>
  <sheetData>
    <row r="1" spans="1:5" ht="18.75" x14ac:dyDescent="0.3">
      <c r="A1" s="3" t="s">
        <v>44</v>
      </c>
      <c r="B1" s="32" t="s">
        <v>45</v>
      </c>
      <c r="C1" s="22" t="s">
        <v>50</v>
      </c>
      <c r="D1" s="22" t="s">
        <v>55</v>
      </c>
      <c r="E1" s="22" t="s">
        <v>51</v>
      </c>
    </row>
    <row r="2" spans="1:5" ht="18.75" x14ac:dyDescent="0.3">
      <c r="A2" s="3" t="s">
        <v>8</v>
      </c>
      <c r="B2" s="1">
        <v>86.2</v>
      </c>
      <c r="C2" s="24">
        <v>5526.2389000000003</v>
      </c>
      <c r="D2" s="24">
        <v>67527.183600000018</v>
      </c>
      <c r="E2" s="24">
        <v>2282.8777</v>
      </c>
    </row>
    <row r="3" spans="1:5" ht="18.75" x14ac:dyDescent="0.3">
      <c r="A3" s="3" t="s">
        <v>10</v>
      </c>
      <c r="B3" s="1">
        <v>40</v>
      </c>
      <c r="C3" s="24">
        <v>2829.6</v>
      </c>
      <c r="D3" s="24">
        <v>35497.440000000002</v>
      </c>
      <c r="E3" s="24">
        <v>1032.2</v>
      </c>
    </row>
    <row r="4" spans="1:5" ht="18.75" x14ac:dyDescent="0.3">
      <c r="A4" s="3" t="s">
        <v>12</v>
      </c>
      <c r="B4" s="1">
        <v>124</v>
      </c>
      <c r="C4" s="24">
        <v>9527.7259999999987</v>
      </c>
      <c r="D4" s="24">
        <v>124519.31200000001</v>
      </c>
      <c r="E4" s="24">
        <v>4470.0759999999991</v>
      </c>
    </row>
    <row r="5" spans="1:5" ht="18.75" x14ac:dyDescent="0.3">
      <c r="A5" s="3" t="s">
        <v>14</v>
      </c>
      <c r="B5" s="1">
        <v>277</v>
      </c>
      <c r="C5" s="24">
        <v>20638.023500000003</v>
      </c>
      <c r="D5" s="24">
        <v>262473.56599999999</v>
      </c>
      <c r="E5" s="24">
        <v>9172.7165000000005</v>
      </c>
    </row>
    <row r="6" spans="1:5" ht="18.75" x14ac:dyDescent="0.3">
      <c r="A6" s="3" t="s">
        <v>16</v>
      </c>
      <c r="B6" s="1">
        <v>108</v>
      </c>
      <c r="C6" s="24">
        <v>6732.018</v>
      </c>
      <c r="D6" s="24">
        <v>112533.62400000001</v>
      </c>
      <c r="E6" s="24">
        <v>3333.0419999999999</v>
      </c>
    </row>
    <row r="7" spans="1:5" ht="18.75" x14ac:dyDescent="0.3">
      <c r="A7" s="3" t="s">
        <v>43</v>
      </c>
      <c r="B7" s="1">
        <v>37</v>
      </c>
      <c r="C7" s="24">
        <v>1890.404</v>
      </c>
      <c r="D7" s="24">
        <v>30118.148000000001</v>
      </c>
      <c r="E7" s="24">
        <v>721.90699999999993</v>
      </c>
    </row>
    <row r="8" spans="1:5" ht="18.75" x14ac:dyDescent="0.3">
      <c r="A8" s="3" t="s">
        <v>38</v>
      </c>
      <c r="B8" s="1">
        <v>41.7</v>
      </c>
      <c r="C8" s="24">
        <v>3204.7284000000004</v>
      </c>
      <c r="D8" s="24">
        <v>40057.103400000015</v>
      </c>
      <c r="E8" s="24">
        <v>1443.0493500000002</v>
      </c>
    </row>
    <row r="9" spans="1:5" ht="18.75" x14ac:dyDescent="0.3">
      <c r="A9" s="3" t="s">
        <v>42</v>
      </c>
      <c r="B9" s="1">
        <v>184.6</v>
      </c>
      <c r="C9" s="24">
        <v>13194.561900000001</v>
      </c>
      <c r="D9" s="24">
        <v>154850.23320000005</v>
      </c>
      <c r="E9" s="24">
        <v>5534.5849000000007</v>
      </c>
    </row>
    <row r="10" spans="1:5" ht="18.75" x14ac:dyDescent="0.3">
      <c r="A10" s="3" t="s">
        <v>39</v>
      </c>
      <c r="B10" s="1">
        <v>84.5</v>
      </c>
      <c r="C10" s="24">
        <v>5705.6935000000003</v>
      </c>
      <c r="D10" s="24">
        <v>65915.239000000001</v>
      </c>
      <c r="E10" s="24">
        <v>2192.31025</v>
      </c>
    </row>
    <row r="11" spans="1:5" ht="18.75" x14ac:dyDescent="0.3">
      <c r="A11" s="3" t="s">
        <v>40</v>
      </c>
      <c r="B11" s="1">
        <v>168.7</v>
      </c>
      <c r="C11" s="24">
        <v>12213.711299999999</v>
      </c>
      <c r="D11" s="24">
        <v>156139.27279999998</v>
      </c>
      <c r="E11" s="24">
        <v>5374.4445999999998</v>
      </c>
    </row>
    <row r="12" spans="1:5" ht="18.75" x14ac:dyDescent="0.3">
      <c r="A12" s="3" t="s">
        <v>41</v>
      </c>
      <c r="B12" s="1">
        <v>128.80000000000001</v>
      </c>
      <c r="C12" s="24">
        <v>8298.5839999999989</v>
      </c>
      <c r="D12" s="24">
        <v>137705.23199999999</v>
      </c>
      <c r="E12" s="24">
        <v>4368.2519999999986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6881-35A5-4884-B0F9-A497C50C28F6}">
  <dimension ref="A1:C10"/>
  <sheetViews>
    <sheetView workbookViewId="0">
      <selection activeCell="O24" sqref="O24"/>
    </sheetView>
  </sheetViews>
  <sheetFormatPr baseColWidth="10" defaultColWidth="8.625" defaultRowHeight="15.75" x14ac:dyDescent="0.25"/>
  <sheetData>
    <row r="1" spans="1:3" ht="18.75" x14ac:dyDescent="0.3">
      <c r="A1" s="33" t="s">
        <v>44</v>
      </c>
      <c r="B1" s="34">
        <v>2022</v>
      </c>
      <c r="C1" s="34">
        <v>2023</v>
      </c>
    </row>
    <row r="2" spans="1:3" ht="18.75" x14ac:dyDescent="0.3">
      <c r="A2" s="33" t="s">
        <v>10</v>
      </c>
      <c r="B2" s="35">
        <f>252+264</f>
        <v>516</v>
      </c>
      <c r="C2" s="35">
        <f>254+317</f>
        <v>571</v>
      </c>
    </row>
    <row r="3" spans="1:3" ht="18.75" x14ac:dyDescent="0.3">
      <c r="A3" s="33" t="s">
        <v>12</v>
      </c>
      <c r="B3" s="35">
        <v>32</v>
      </c>
      <c r="C3" s="35">
        <v>32</v>
      </c>
    </row>
    <row r="4" spans="1:3" ht="18.75" x14ac:dyDescent="0.3">
      <c r="A4" s="33" t="s">
        <v>16</v>
      </c>
      <c r="B4" s="35">
        <v>60</v>
      </c>
      <c r="C4" s="35">
        <v>64</v>
      </c>
    </row>
    <row r="5" spans="1:3" ht="18.75" x14ac:dyDescent="0.3">
      <c r="A5" s="33" t="s">
        <v>43</v>
      </c>
      <c r="B5" s="35">
        <v>53</v>
      </c>
      <c r="C5" s="35">
        <v>68</v>
      </c>
    </row>
    <row r="6" spans="1:3" ht="18.75" x14ac:dyDescent="0.3">
      <c r="A6" s="33" t="s">
        <v>38</v>
      </c>
      <c r="B6" s="35">
        <v>374</v>
      </c>
      <c r="C6" s="35">
        <v>387</v>
      </c>
    </row>
    <row r="7" spans="1:3" ht="18.75" x14ac:dyDescent="0.3">
      <c r="A7" s="33" t="s">
        <v>39</v>
      </c>
      <c r="B7" s="35">
        <v>33</v>
      </c>
      <c r="C7" s="35">
        <v>32</v>
      </c>
    </row>
    <row r="8" spans="1:3" ht="18.75" x14ac:dyDescent="0.3">
      <c r="A8" s="33" t="s">
        <v>40</v>
      </c>
      <c r="B8" s="35">
        <v>24</v>
      </c>
      <c r="C8" s="35">
        <v>26</v>
      </c>
    </row>
    <row r="9" spans="1:3" ht="18.75" x14ac:dyDescent="0.3">
      <c r="A9" s="33" t="s">
        <v>41</v>
      </c>
      <c r="B9" s="35">
        <v>31</v>
      </c>
      <c r="C9" s="35">
        <v>73</v>
      </c>
    </row>
    <row r="10" spans="1:3" ht="18.75" x14ac:dyDescent="0.3">
      <c r="A10" s="36" t="s">
        <v>52</v>
      </c>
      <c r="B10" s="34">
        <f>SUM(B2:B9)</f>
        <v>1123</v>
      </c>
      <c r="C10" s="34">
        <f>SUM(C2:C9)</f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CCCC-CB2A-49FA-89F6-BCF66F277D23}">
  <dimension ref="A1:O35"/>
  <sheetViews>
    <sheetView topLeftCell="A11" workbookViewId="0">
      <selection activeCell="F24" sqref="F24"/>
    </sheetView>
  </sheetViews>
  <sheetFormatPr baseColWidth="10" defaultColWidth="8.625" defaultRowHeight="15.75" x14ac:dyDescent="0.25"/>
  <cols>
    <col min="1" max="1" width="13" customWidth="1"/>
    <col min="2" max="2" width="11.625" customWidth="1"/>
    <col min="3" max="3" width="13.125" bestFit="1" customWidth="1"/>
    <col min="4" max="4" width="12.375" bestFit="1" customWidth="1"/>
    <col min="5" max="5" width="11.125" bestFit="1" customWidth="1"/>
    <col min="6" max="6" width="12" customWidth="1"/>
  </cols>
  <sheetData>
    <row r="1" spans="1:15" x14ac:dyDescent="0.25">
      <c r="A1" s="41" t="s">
        <v>53</v>
      </c>
      <c r="B1" s="41"/>
      <c r="C1" s="41"/>
      <c r="D1" s="41"/>
      <c r="E1" s="41"/>
      <c r="F1" s="41"/>
    </row>
    <row r="2" spans="1:15" ht="18.75" x14ac:dyDescent="0.3">
      <c r="A2" s="33" t="s">
        <v>44</v>
      </c>
      <c r="B2" s="37" t="s">
        <v>47</v>
      </c>
      <c r="C2" s="37" t="s">
        <v>48</v>
      </c>
      <c r="D2" s="37" t="s">
        <v>49</v>
      </c>
      <c r="E2" s="37" t="s">
        <v>3</v>
      </c>
      <c r="F2" s="37" t="s">
        <v>36</v>
      </c>
    </row>
    <row r="3" spans="1:15" ht="18.75" x14ac:dyDescent="0.3">
      <c r="A3" s="33" t="s">
        <v>10</v>
      </c>
      <c r="B3" s="38">
        <f>GHG_Emissions!B3*Deliveries!$C2</f>
        <v>1224315.3599999999</v>
      </c>
      <c r="C3" s="38">
        <f>GHG_Emissions!C3*Deliveries!$C2</f>
        <v>62490.239999999991</v>
      </c>
      <c r="D3" s="38">
        <f>GHG_Emissions!D3*Deliveries!$C2</f>
        <v>232968</v>
      </c>
      <c r="E3" s="38">
        <f>GHG_Emissions!E3*Deliveries!$C2</f>
        <v>95928</v>
      </c>
      <c r="F3" s="38">
        <f>GHG_Emissions!F3*Deliveries!$C2</f>
        <v>1615701.5999999999</v>
      </c>
    </row>
    <row r="4" spans="1:15" ht="18.75" x14ac:dyDescent="0.3">
      <c r="A4" s="33" t="s">
        <v>12</v>
      </c>
      <c r="B4" s="38">
        <f>GHG_Emissions!B4*Deliveries!$C3</f>
        <v>215654.848</v>
      </c>
      <c r="C4" s="38">
        <f>GHG_Emissions!C4*Deliveries!$C3</f>
        <v>8443.9040000000005</v>
      </c>
      <c r="D4" s="38">
        <f>GHG_Emissions!D4*Deliveries!$C3</f>
        <v>67456</v>
      </c>
      <c r="E4" s="38">
        <f>GHG_Emissions!E4*Deliveries!$C3</f>
        <v>13332.48</v>
      </c>
      <c r="F4" s="38">
        <f>GHG_Emissions!F4*Deliveries!$C3</f>
        <v>304887.23199999996</v>
      </c>
    </row>
    <row r="5" spans="1:15" ht="18.75" x14ac:dyDescent="0.3">
      <c r="A5" s="33" t="s">
        <v>16</v>
      </c>
      <c r="B5" s="38">
        <f>GHG_Emissions!B6*Deliveries!$C4</f>
        <v>97773.695999999996</v>
      </c>
      <c r="C5" s="38">
        <f>GHG_Emissions!C6*Deliveries!$C4</f>
        <v>14708.736000000001</v>
      </c>
      <c r="D5" s="38">
        <f>GHG_Emissions!D6*Deliveries!$C4</f>
        <v>164505.60000000001</v>
      </c>
      <c r="E5" s="38">
        <f>GHG_Emissions!E6*Deliveries!$C4</f>
        <v>153861.12</v>
      </c>
      <c r="F5" s="38">
        <f>GHG_Emissions!F6*Deliveries!$C4</f>
        <v>430849.152</v>
      </c>
    </row>
    <row r="6" spans="1:15" ht="18.75" x14ac:dyDescent="0.3">
      <c r="A6" s="33" t="s">
        <v>43</v>
      </c>
      <c r="B6" s="38">
        <f>GHG_Emissions!B7*Deliveries!$C5</f>
        <v>44955.887999999992</v>
      </c>
      <c r="C6" s="38">
        <f>GHG_Emissions!C7*Deliveries!$C5</f>
        <v>764.86399999999992</v>
      </c>
      <c r="D6" s="38">
        <f>GHG_Emissions!D7*Deliveries!$C5</f>
        <v>34217.600000000006</v>
      </c>
      <c r="E6" s="38">
        <f>GHG_Emissions!E7*Deliveries!$C5</f>
        <v>48609.120000000003</v>
      </c>
      <c r="F6" s="38">
        <f>GHG_Emissions!F7*Deliveries!$C5</f>
        <v>128547.47199999999</v>
      </c>
    </row>
    <row r="7" spans="1:15" ht="18.75" x14ac:dyDescent="0.3">
      <c r="A7" s="33" t="s">
        <v>38</v>
      </c>
      <c r="B7" s="38">
        <f>GHG_Emissions!B8*Deliveries!$C6</f>
        <v>961173.32400000014</v>
      </c>
      <c r="C7" s="38">
        <f>GHG_Emissions!C8*Deliveries!$C6</f>
        <v>39247.372799999997</v>
      </c>
      <c r="D7" s="38">
        <f>GHG_Emissions!D8*Deliveries!$C6</f>
        <v>219475.44</v>
      </c>
      <c r="E7" s="38">
        <f>GHG_Emissions!E8*Deliveries!$C6</f>
        <v>20333.754000000001</v>
      </c>
      <c r="F7" s="38">
        <f>GHG_Emissions!F8*Deliveries!$C6</f>
        <v>1240229.8908000002</v>
      </c>
    </row>
    <row r="8" spans="1:15" ht="18.75" x14ac:dyDescent="0.3">
      <c r="A8" s="33" t="s">
        <v>39</v>
      </c>
      <c r="B8" s="38">
        <f>GHG_Emissions!B10*Deliveries!$C7</f>
        <v>157023.984</v>
      </c>
      <c r="C8" s="38">
        <f>GHG_Emissions!C10*Deliveries!$C7</f>
        <v>10686.208000000001</v>
      </c>
      <c r="D8" s="38">
        <f>GHG_Emissions!D10*Deliveries!$C7</f>
        <v>9193.5999999999985</v>
      </c>
      <c r="E8" s="38">
        <f>GHG_Emissions!E10*Deliveries!$C7</f>
        <v>5678.4000000000005</v>
      </c>
      <c r="F8" s="38">
        <f>GHG_Emissions!F10*Deliveries!$C7</f>
        <v>182582.19200000001</v>
      </c>
    </row>
    <row r="9" spans="1:15" ht="18.75" x14ac:dyDescent="0.3">
      <c r="A9" s="33" t="s">
        <v>40</v>
      </c>
      <c r="B9" s="38">
        <f>GHG_Emissions!B11*Deliveries!$C8</f>
        <v>228586.81299999999</v>
      </c>
      <c r="C9" s="38">
        <f>GHG_Emissions!C11*Deliveries!$C8</f>
        <v>14667.452799999999</v>
      </c>
      <c r="D9" s="38">
        <f>GHG_Emissions!D11*Deliveries!$C8</f>
        <v>52195.78</v>
      </c>
      <c r="E9" s="38">
        <f>GHG_Emissions!E11*Deliveries!$C8</f>
        <v>22106.447999999997</v>
      </c>
      <c r="F9" s="38">
        <f>GHG_Emissions!F11*Deliveries!$C8</f>
        <v>317556.4938</v>
      </c>
    </row>
    <row r="10" spans="1:15" ht="18.75" x14ac:dyDescent="0.3">
      <c r="A10" s="33" t="s">
        <v>41</v>
      </c>
      <c r="B10" s="38">
        <f>GHG_Emissions!B12*Deliveries!$C9</f>
        <v>140001.73600000003</v>
      </c>
      <c r="C10" s="38">
        <f>GHG_Emissions!C12*Deliveries!$C9</f>
        <v>28583.296000000006</v>
      </c>
      <c r="D10" s="38">
        <f>GHG_Emissions!D12*Deliveries!$C9</f>
        <v>239761.19999999998</v>
      </c>
      <c r="E10" s="38">
        <f>GHG_Emissions!E12*Deliveries!$C9</f>
        <v>197450.40000000002</v>
      </c>
      <c r="F10" s="38">
        <f>GHG_Emissions!F12*Deliveries!$C9</f>
        <v>605796.63199999987</v>
      </c>
    </row>
    <row r="11" spans="1:15" ht="18.75" x14ac:dyDescent="0.3">
      <c r="A11" s="36" t="s">
        <v>52</v>
      </c>
      <c r="B11" s="38">
        <f>SUM(B3:B10)</f>
        <v>3069485.6490000002</v>
      </c>
      <c r="C11" s="38">
        <f t="shared" ref="C11:E11" si="0">SUM(C3:C10)</f>
        <v>179592.0736</v>
      </c>
      <c r="D11" s="38">
        <f t="shared" si="0"/>
        <v>1019773.2199999999</v>
      </c>
      <c r="E11" s="38">
        <f t="shared" si="0"/>
        <v>557299.72200000007</v>
      </c>
      <c r="F11" s="40">
        <f>SUM(F3:F10)</f>
        <v>4826150.6646000007</v>
      </c>
      <c r="G11" s="39"/>
    </row>
    <row r="13" spans="1:15" x14ac:dyDescent="0.25">
      <c r="A13" s="42" t="s">
        <v>56</v>
      </c>
      <c r="B13" s="42"/>
      <c r="C13" s="42"/>
      <c r="D13" s="42"/>
      <c r="E13" s="42"/>
      <c r="F13" s="42"/>
    </row>
    <row r="14" spans="1:15" ht="18.75" x14ac:dyDescent="0.3">
      <c r="A14" s="33" t="s">
        <v>44</v>
      </c>
      <c r="B14" s="37" t="s">
        <v>47</v>
      </c>
      <c r="C14" s="37" t="s">
        <v>48</v>
      </c>
      <c r="D14" s="37" t="s">
        <v>49</v>
      </c>
      <c r="E14" s="37" t="s">
        <v>3</v>
      </c>
      <c r="F14" s="37" t="s">
        <v>36</v>
      </c>
      <c r="N14" s="33" t="s">
        <v>44</v>
      </c>
      <c r="O14" t="s">
        <v>57</v>
      </c>
    </row>
    <row r="15" spans="1:15" ht="18.75" x14ac:dyDescent="0.3">
      <c r="A15" s="33" t="s">
        <v>10</v>
      </c>
      <c r="B15" s="38">
        <f>Energy_Consumption!B3*Deliveries!$C2</f>
        <v>13386067.200000001</v>
      </c>
      <c r="C15" s="38">
        <f>Energy_Consumption!C3*Deliveries!$C2</f>
        <v>654503.03999999992</v>
      </c>
      <c r="D15" s="38">
        <f>Energy_Consumption!D3*Deliveries!$C2</f>
        <v>4467504</v>
      </c>
      <c r="E15" s="38">
        <f>Energy_Consumption!E3*Deliveries!$C2</f>
        <v>1760964</v>
      </c>
      <c r="F15" s="38">
        <f>Energy_Consumption!F3*Deliveries!$C2</f>
        <v>20269038.240000002</v>
      </c>
      <c r="N15" s="33" t="s">
        <v>10</v>
      </c>
      <c r="O15">
        <v>20269038.240000002</v>
      </c>
    </row>
    <row r="16" spans="1:15" ht="18.75" x14ac:dyDescent="0.3">
      <c r="A16" s="33" t="s">
        <v>12</v>
      </c>
      <c r="B16" s="38">
        <f>Energy_Consumption!B4*Deliveries!$C3</f>
        <v>2357864.96</v>
      </c>
      <c r="C16" s="38">
        <f>Energy_Consumption!C4*Deliveries!$C3</f>
        <v>88438.784000000014</v>
      </c>
      <c r="D16" s="38">
        <f>Energy_Consumption!D4*Deliveries!$C3</f>
        <v>1293568</v>
      </c>
      <c r="E16" s="38">
        <f>Energy_Consumption!E4*Deliveries!$C3</f>
        <v>244746.23999999999</v>
      </c>
      <c r="F16" s="38">
        <f>Energy_Consumption!F4*Deliveries!$C3</f>
        <v>3984617.9840000002</v>
      </c>
      <c r="N16" s="33" t="s">
        <v>12</v>
      </c>
      <c r="O16">
        <v>3984617.9840000002</v>
      </c>
    </row>
    <row r="17" spans="1:15" ht="18.75" x14ac:dyDescent="0.3">
      <c r="A17" s="33" t="s">
        <v>16</v>
      </c>
      <c r="B17" s="38">
        <f>Energy_Consumption!B6*Deliveries!$C4</f>
        <v>1069009.9199999999</v>
      </c>
      <c r="C17" s="38">
        <f>Energy_Consumption!C6*Deliveries!$C4</f>
        <v>154054.65599999999</v>
      </c>
      <c r="D17" s="38">
        <f>Energy_Consumption!D6*Deliveries!$C4</f>
        <v>3154636.8000000003</v>
      </c>
      <c r="E17" s="38">
        <f>Energy_Consumption!E6*Deliveries!$C4</f>
        <v>2824450.56</v>
      </c>
      <c r="F17" s="38">
        <f>Energy_Consumption!F6*Deliveries!$C4</f>
        <v>7202151.9360000007</v>
      </c>
      <c r="N17" s="33" t="s">
        <v>16</v>
      </c>
      <c r="O17">
        <v>7202151.9360000007</v>
      </c>
    </row>
    <row r="18" spans="1:15" ht="18.75" x14ac:dyDescent="0.3">
      <c r="A18" s="33" t="s">
        <v>43</v>
      </c>
      <c r="B18" s="38">
        <f>Energy_Consumption!B7*Deliveries!$C5</f>
        <v>491525.75999999989</v>
      </c>
      <c r="C18" s="38">
        <f>Energy_Consumption!C7*Deliveries!$C5</f>
        <v>8010.9439999999995</v>
      </c>
      <c r="D18" s="38">
        <f>Energy_Consumption!D7*Deliveries!$C5</f>
        <v>656172.80000000005</v>
      </c>
      <c r="E18" s="38">
        <f>Energy_Consumption!E7*Deliveries!$C5</f>
        <v>892324.56</v>
      </c>
      <c r="F18" s="38">
        <f>Energy_Consumption!F7*Deliveries!$C5</f>
        <v>2048034.064</v>
      </c>
      <c r="N18" s="33" t="s">
        <v>43</v>
      </c>
      <c r="O18">
        <v>2048034.064</v>
      </c>
    </row>
    <row r="19" spans="1:15" ht="18.75" x14ac:dyDescent="0.3">
      <c r="A19" s="33" t="s">
        <v>38</v>
      </c>
      <c r="B19" s="38">
        <f>Energy_Consumption!B8*Deliveries!$C6</f>
        <v>10509000.480000002</v>
      </c>
      <c r="C19" s="38">
        <f>Energy_Consumption!C8*Deliveries!$C6</f>
        <v>411064.58879999997</v>
      </c>
      <c r="D19" s="38">
        <f>Energy_Consumption!D8*Deliveries!$C6</f>
        <v>4208764.32</v>
      </c>
      <c r="E19" s="38">
        <f>Energy_Consumption!E8*Deliveries!$C6</f>
        <v>373269.62700000004</v>
      </c>
      <c r="F19" s="38">
        <f>Energy_Consumption!F8*Deliveries!$C6</f>
        <v>15502099.015800005</v>
      </c>
      <c r="N19" s="33" t="s">
        <v>38</v>
      </c>
      <c r="O19">
        <v>15502099.015800005</v>
      </c>
    </row>
    <row r="20" spans="1:15" ht="18.75" x14ac:dyDescent="0.3">
      <c r="A20" s="33" t="s">
        <v>39</v>
      </c>
      <c r="B20" s="38">
        <f>Energy_Consumption!B10*Deliveries!$C7</f>
        <v>1716823.68</v>
      </c>
      <c r="C20" s="38">
        <f>Energy_Consumption!C10*Deliveries!$C7</f>
        <v>111923.96800000001</v>
      </c>
      <c r="D20" s="38">
        <f>Energy_Consumption!D10*Deliveries!$C7</f>
        <v>176300.79999999999</v>
      </c>
      <c r="E20" s="38">
        <f>Energy_Consumption!E10*Deliveries!$C7</f>
        <v>104239.20000000001</v>
      </c>
      <c r="F20" s="38">
        <f>Energy_Consumption!F10*Deliveries!$C7</f>
        <v>2109287.648</v>
      </c>
      <c r="N20" s="33" t="s">
        <v>39</v>
      </c>
      <c r="O20">
        <v>2109287.648</v>
      </c>
    </row>
    <row r="21" spans="1:15" ht="18.75" x14ac:dyDescent="0.3">
      <c r="A21" s="33" t="s">
        <v>40</v>
      </c>
      <c r="B21" s="38">
        <f>Energy_Consumption!B11*Deliveries!$C8</f>
        <v>2499256.7599999998</v>
      </c>
      <c r="C21" s="38">
        <f>Energy_Consumption!C11*Deliveries!$C8</f>
        <v>153622.26879999999</v>
      </c>
      <c r="D21" s="38">
        <f>Energy_Consumption!D11*Deliveries!$C8</f>
        <v>1000930.8400000001</v>
      </c>
      <c r="E21" s="38">
        <f>Energy_Consumption!E11*Deliveries!$C8</f>
        <v>405811.22399999993</v>
      </c>
      <c r="F21" s="38">
        <f>Energy_Consumption!F11*Deliveries!$C8</f>
        <v>4059621.0927999993</v>
      </c>
      <c r="N21" s="33" t="s">
        <v>40</v>
      </c>
      <c r="O21">
        <v>4059621.0927999993</v>
      </c>
    </row>
    <row r="22" spans="1:15" ht="18.75" x14ac:dyDescent="0.3">
      <c r="A22" s="33" t="s">
        <v>41</v>
      </c>
      <c r="B22" s="38">
        <f>Energy_Consumption!B12*Deliveries!$C9</f>
        <v>1530710.7200000002</v>
      </c>
      <c r="C22" s="38">
        <f>Energy_Consumption!C12*Deliveries!$C9</f>
        <v>299372.41600000003</v>
      </c>
      <c r="D22" s="38">
        <f>Energy_Consumption!D12*Deliveries!$C9</f>
        <v>4597773.5999999996</v>
      </c>
      <c r="E22" s="38">
        <f>Energy_Consumption!E12*Deliveries!$C9</f>
        <v>3624625.2</v>
      </c>
      <c r="F22" s="38">
        <f>Energy_Consumption!F12*Deliveries!$C9</f>
        <v>10052481.935999999</v>
      </c>
      <c r="N22" s="33" t="s">
        <v>41</v>
      </c>
      <c r="O22">
        <v>10052481.935999999</v>
      </c>
    </row>
    <row r="23" spans="1:15" ht="18.75" x14ac:dyDescent="0.3">
      <c r="A23" s="36" t="s">
        <v>52</v>
      </c>
      <c r="B23" s="38">
        <f>SUM(B15:B22)</f>
        <v>33560259.479999997</v>
      </c>
      <c r="C23" s="38">
        <f t="shared" ref="C23" si="1">SUM(C15:C22)</f>
        <v>1880990.6655999999</v>
      </c>
      <c r="D23" s="38">
        <f t="shared" ref="D23" si="2">SUM(D15:D22)</f>
        <v>19555651.160000004</v>
      </c>
      <c r="E23" s="38">
        <f t="shared" ref="E23" si="3">SUM(E15:E22)</f>
        <v>10230430.611000001</v>
      </c>
      <c r="F23" s="40">
        <f t="shared" ref="F23" si="4">SUM(F15:F22)</f>
        <v>65227331.916600004</v>
      </c>
    </row>
    <row r="24" spans="1:15" x14ac:dyDescent="0.25">
      <c r="F24">
        <f>F23/17.136</f>
        <v>3806450.2752450984</v>
      </c>
    </row>
    <row r="25" spans="1:15" x14ac:dyDescent="0.25">
      <c r="A25" s="42" t="s">
        <v>54</v>
      </c>
      <c r="B25" s="42"/>
      <c r="C25" s="42"/>
      <c r="D25" s="42"/>
      <c r="E25" s="42"/>
      <c r="F25" s="42"/>
    </row>
    <row r="26" spans="1:15" ht="18.75" x14ac:dyDescent="0.3">
      <c r="A26" s="33" t="s">
        <v>44</v>
      </c>
      <c r="B26" s="37" t="s">
        <v>47</v>
      </c>
      <c r="C26" s="37" t="s">
        <v>48</v>
      </c>
      <c r="D26" s="37" t="s">
        <v>49</v>
      </c>
      <c r="E26" s="37" t="s">
        <v>3</v>
      </c>
      <c r="F26" s="37" t="s">
        <v>36</v>
      </c>
    </row>
    <row r="27" spans="1:15" ht="18.75" x14ac:dyDescent="0.3">
      <c r="A27" s="33" t="s">
        <v>10</v>
      </c>
      <c r="B27" s="38">
        <f>Waste!B3*Deliveries!$C2</f>
        <v>370008</v>
      </c>
      <c r="C27" s="38">
        <f>Waste!C3*Deliveries!$C2</f>
        <v>78935.039999999994</v>
      </c>
      <c r="D27" s="38">
        <f>Waste!D3*Deliveries!$C2</f>
        <v>231597.59999999998</v>
      </c>
      <c r="E27" s="38">
        <f>Waste!E3*Deliveries!$C2</f>
        <v>1027.8</v>
      </c>
      <c r="F27" s="38">
        <f>Waste!F3*Deliveries!$C2</f>
        <v>681568.44</v>
      </c>
    </row>
    <row r="28" spans="1:15" ht="18.75" x14ac:dyDescent="0.3">
      <c r="A28" s="33" t="s">
        <v>12</v>
      </c>
      <c r="B28" s="38">
        <f>Waste!B4*Deliveries!$C3</f>
        <v>65174.399999999994</v>
      </c>
      <c r="C28" s="38">
        <f>Waste!C4*Deliveries!$C3</f>
        <v>10665.984000000002</v>
      </c>
      <c r="D28" s="38">
        <f>Waste!D4*Deliveries!$C3</f>
        <v>67059.199999999997</v>
      </c>
      <c r="E28" s="38">
        <f>Waste!E4*Deliveries!$C3</f>
        <v>142.84799999999998</v>
      </c>
      <c r="F28" s="38">
        <f>Waste!F4*Deliveries!$C3</f>
        <v>143042.43199999997</v>
      </c>
    </row>
    <row r="29" spans="1:15" ht="18.75" x14ac:dyDescent="0.3">
      <c r="A29" s="33" t="s">
        <v>16</v>
      </c>
      <c r="B29" s="38">
        <f>Waste!B6*Deliveries!$C4</f>
        <v>29548.799999999999</v>
      </c>
      <c r="C29" s="38">
        <f>Waste!C6*Deliveries!$C4</f>
        <v>18579.456000000002</v>
      </c>
      <c r="D29" s="38">
        <f>Waste!D6*Deliveries!$C4</f>
        <v>163537.92000000001</v>
      </c>
      <c r="E29" s="38">
        <f>Waste!E6*Deliveries!$C4</f>
        <v>1648.5119999999999</v>
      </c>
      <c r="F29" s="38">
        <f>Waste!F6*Deliveries!$C4</f>
        <v>213314.68799999999</v>
      </c>
    </row>
    <row r="30" spans="1:15" ht="18.75" x14ac:dyDescent="0.3">
      <c r="A30" s="33" t="s">
        <v>43</v>
      </c>
      <c r="B30" s="38">
        <f>Waste!B7*Deliveries!$C5</f>
        <v>13586.399999999998</v>
      </c>
      <c r="C30" s="38">
        <f>Waste!C7*Deliveries!$C5</f>
        <v>966.14400000000001</v>
      </c>
      <c r="D30" s="38">
        <f>Waste!D7*Deliveries!$C5</f>
        <v>34016.32</v>
      </c>
      <c r="E30" s="38">
        <f>Waste!E7*Deliveries!$C5</f>
        <v>520.81200000000001</v>
      </c>
      <c r="F30" s="38">
        <f>Waste!F7*Deliveries!$C5</f>
        <v>49089.675999999992</v>
      </c>
    </row>
    <row r="31" spans="1:15" ht="18.75" x14ac:dyDescent="0.3">
      <c r="A31" s="33" t="s">
        <v>38</v>
      </c>
      <c r="B31" s="38">
        <f>Waste!B8*Deliveries!$C6</f>
        <v>290482.20000000007</v>
      </c>
      <c r="C31" s="38">
        <f>Waste!C8*Deliveries!$C6</f>
        <v>49575.628800000006</v>
      </c>
      <c r="D31" s="38">
        <f>Waste!D8*Deliveries!$C6</f>
        <v>218184.408</v>
      </c>
      <c r="E31" s="38">
        <f>Waste!E8*Deliveries!$C6</f>
        <v>217.86164999999997</v>
      </c>
      <c r="F31" s="38">
        <f>Waste!F8*Deliveries!$C6</f>
        <v>558460.09845000005</v>
      </c>
    </row>
    <row r="32" spans="1:15" ht="18.75" x14ac:dyDescent="0.3">
      <c r="A32" s="33" t="s">
        <v>39</v>
      </c>
      <c r="B32" s="38">
        <f>Waste!B10*Deliveries!$C7</f>
        <v>47455.199999999997</v>
      </c>
      <c r="C32" s="38">
        <f>Waste!C10*Deliveries!$C7</f>
        <v>13498.368</v>
      </c>
      <c r="D32" s="38">
        <f>Waste!D10*Deliveries!$C7</f>
        <v>9139.5199999999986</v>
      </c>
      <c r="E32" s="38">
        <f>Waste!E10*Deliveries!$C7</f>
        <v>60.84</v>
      </c>
      <c r="F32" s="38">
        <f>Waste!F10*Deliveries!$C7</f>
        <v>70153.928</v>
      </c>
    </row>
    <row r="33" spans="1:6" ht="18.75" x14ac:dyDescent="0.3">
      <c r="A33" s="33" t="s">
        <v>40</v>
      </c>
      <c r="B33" s="38">
        <f>Waste!B11*Deliveries!$C8</f>
        <v>69082.649999999994</v>
      </c>
      <c r="C33" s="38">
        <f>Waste!C11*Deliveries!$C8</f>
        <v>18527.308799999995</v>
      </c>
      <c r="D33" s="38">
        <f>Waste!D11*Deliveries!$C8</f>
        <v>51888.745999999992</v>
      </c>
      <c r="E33" s="38">
        <f>Waste!E11*Deliveries!$C8</f>
        <v>236.85479999999995</v>
      </c>
      <c r="F33" s="38">
        <f>Waste!F11*Deliveries!$C8</f>
        <v>139735.55960000001</v>
      </c>
    </row>
    <row r="34" spans="1:6" ht="18.75" x14ac:dyDescent="0.3">
      <c r="A34" s="33" t="s">
        <v>41</v>
      </c>
      <c r="B34" s="38">
        <f>Waste!B12*Deliveries!$C9</f>
        <v>42310.8</v>
      </c>
      <c r="C34" s="38">
        <f>Waste!C12*Deliveries!$C9</f>
        <v>36105.216000000008</v>
      </c>
      <c r="D34" s="38">
        <f>Waste!D12*Deliveries!$C9</f>
        <v>238350.83999999997</v>
      </c>
      <c r="E34" s="38">
        <f>Waste!E12*Deliveries!$C9</f>
        <v>2115.54</v>
      </c>
      <c r="F34" s="38">
        <f>Waste!F12*Deliveries!$C9</f>
        <v>318882.39599999989</v>
      </c>
    </row>
    <row r="35" spans="1:6" ht="18.75" x14ac:dyDescent="0.3">
      <c r="A35" s="36" t="s">
        <v>52</v>
      </c>
      <c r="B35" s="38">
        <f>SUM(B27:B34)</f>
        <v>927648.45000000007</v>
      </c>
      <c r="C35" s="38">
        <f t="shared" ref="C35" si="5">SUM(C27:C34)</f>
        <v>226853.14560000002</v>
      </c>
      <c r="D35" s="38">
        <f t="shared" ref="D35" si="6">SUM(D27:D34)</f>
        <v>1013774.554</v>
      </c>
      <c r="E35" s="38">
        <f t="shared" ref="E35" si="7">SUM(E27:E34)</f>
        <v>5971.0684499999998</v>
      </c>
      <c r="F35" s="40">
        <f t="shared" ref="F35" si="8">SUM(F27:F34)</f>
        <v>2174247.2180499998</v>
      </c>
    </row>
  </sheetData>
  <mergeCells count="3">
    <mergeCell ref="A1:F1"/>
    <mergeCell ref="A13:F13"/>
    <mergeCell ref="A25:F2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2" sqref="F2"/>
    </sheetView>
  </sheetViews>
  <sheetFormatPr baseColWidth="10" defaultColWidth="11.125" defaultRowHeight="15" customHeight="1" x14ac:dyDescent="0.25"/>
  <cols>
    <col min="1" max="1" width="31.375" customWidth="1"/>
    <col min="2" max="2" width="10" customWidth="1"/>
    <col min="3" max="5" width="7.625" customWidth="1"/>
    <col min="6" max="6" width="10.875" customWidth="1"/>
    <col min="7" max="7" width="13.625" customWidth="1"/>
    <col min="8" max="8" width="9.625" customWidth="1"/>
    <col min="9" max="9" width="12" customWidth="1"/>
    <col min="10" max="10" width="12.375" customWidth="1"/>
    <col min="11" max="11" width="5.375" customWidth="1"/>
    <col min="12" max="12" width="4.125" customWidth="1"/>
    <col min="13" max="26" width="10.5" customWidth="1"/>
  </cols>
  <sheetData>
    <row r="1" spans="1:26" ht="15.75" customHeight="1" x14ac:dyDescent="0.2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7" t="s">
        <v>24</v>
      </c>
      <c r="L1" s="7">
        <v>1.5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6" t="s">
        <v>7</v>
      </c>
      <c r="B2" s="8">
        <f>'BTF + frac massique'!B2-$F2</f>
        <v>-1.0549999999999997</v>
      </c>
      <c r="C2" s="8">
        <f>'BTF + frac massique'!C2-$F2</f>
        <v>-14.045</v>
      </c>
      <c r="D2" s="8">
        <f>'BTF + frac massique'!D2-$F2</f>
        <v>1.0549999999999997</v>
      </c>
      <c r="E2" s="8">
        <f>'BTF + frac massique'!E2-$F2</f>
        <v>12.055</v>
      </c>
      <c r="F2" s="9">
        <f>MEDIAN('BTF + frac massique'!B2:E2)</f>
        <v>15.945</v>
      </c>
      <c r="G2" s="9">
        <f t="array" ref="G2">MEDIAN(ABS(B2:E2))</f>
        <v>6.5549999999999997</v>
      </c>
      <c r="H2" s="9">
        <f t="shared" ref="H2:H7" si="0">$L$1*G2</f>
        <v>9.8324999999999996</v>
      </c>
      <c r="I2" s="9">
        <f t="shared" ref="I2:I7" si="1">F2-G2</f>
        <v>9.39</v>
      </c>
      <c r="J2" s="9">
        <f t="shared" ref="J2:J7" si="2">F2+H2</f>
        <v>25.7775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6" t="s">
        <v>25</v>
      </c>
      <c r="B3" s="8">
        <f>'BTF + frac massique'!B3-$F3</f>
        <v>-81.599999999999994</v>
      </c>
      <c r="C3" s="8">
        <f>'BTF + frac massique'!C3-$F3</f>
        <v>-224.5</v>
      </c>
      <c r="D3" s="8">
        <f>'BTF + frac massique'!D3-$F3</f>
        <v>81.599999999999994</v>
      </c>
      <c r="E3" s="8">
        <f>'BTF + frac massique'!E3-$F3</f>
        <v>269.60000000000002</v>
      </c>
      <c r="F3" s="9">
        <f>MEDIAN('BTF + frac massique'!B3:E3)</f>
        <v>244.4</v>
      </c>
      <c r="G3" s="9">
        <f t="array" ref="G3">MEDIAN(ABS(B3:E3))</f>
        <v>153.05000000000001</v>
      </c>
      <c r="H3" s="9">
        <f t="shared" si="0"/>
        <v>229.57500000000002</v>
      </c>
      <c r="I3" s="9">
        <f t="shared" si="1"/>
        <v>91.35</v>
      </c>
      <c r="J3" s="9">
        <f t="shared" si="2"/>
        <v>473.97500000000002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6" t="s">
        <v>11</v>
      </c>
      <c r="B4" s="8">
        <f>'BTF + frac massique'!B4-$F4</f>
        <v>1.0499999999999998</v>
      </c>
      <c r="C4" s="8">
        <f>'BTF + frac massique'!C4-$F4</f>
        <v>-1.0500000000000003</v>
      </c>
      <c r="D4" s="8">
        <f>'BTF + frac massique'!D4-$F4</f>
        <v>13.45</v>
      </c>
      <c r="E4" s="8">
        <f>'BTF + frac massique'!E4-$F4</f>
        <v>-3.1500000000000004</v>
      </c>
      <c r="F4" s="9">
        <f>MEDIAN('BTF + frac massique'!B4:E4)</f>
        <v>3.45</v>
      </c>
      <c r="G4" s="9">
        <f t="array" ref="G4">MEDIAN(ABS(B4:E4))</f>
        <v>2.1000000000000005</v>
      </c>
      <c r="H4" s="9">
        <f t="shared" si="0"/>
        <v>3.1500000000000008</v>
      </c>
      <c r="I4" s="9">
        <f t="shared" si="1"/>
        <v>1.3499999999999996</v>
      </c>
      <c r="J4" s="9">
        <f t="shared" si="2"/>
        <v>6.6000000000000014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6" t="s">
        <v>13</v>
      </c>
      <c r="B5" s="8">
        <f>'BTF + frac massique'!B5-$F5</f>
        <v>-2.5</v>
      </c>
      <c r="C5" s="8">
        <f>'BTF + frac massique'!C5-$F5</f>
        <v>8.5</v>
      </c>
      <c r="D5" s="8">
        <f>'BTF + frac massique'!D5-$F5</f>
        <v>2.5</v>
      </c>
      <c r="E5" s="8">
        <f>'BTF + frac massique'!E5-$F5</f>
        <v>-6</v>
      </c>
      <c r="F5" s="9">
        <f>MEDIAN('BTF + frac massique'!B5:E5)</f>
        <v>7.5</v>
      </c>
      <c r="G5" s="9">
        <f t="array" ref="G5">MEDIAN(ABS(B5:E5))</f>
        <v>4.25</v>
      </c>
      <c r="H5" s="9">
        <f t="shared" si="0"/>
        <v>6.375</v>
      </c>
      <c r="I5" s="9">
        <f t="shared" si="1"/>
        <v>3.25</v>
      </c>
      <c r="J5" s="9">
        <f t="shared" si="2"/>
        <v>13.875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6" t="s">
        <v>15</v>
      </c>
      <c r="B6" s="8">
        <f>'BTF + frac massique'!B6-$F6</f>
        <v>41.5</v>
      </c>
      <c r="C6" s="8">
        <f>'BTF + frac massique'!C6-$F6</f>
        <v>-21.5</v>
      </c>
      <c r="D6" s="8">
        <f>'BTF + frac massique'!D6-$F6</f>
        <v>-19.5</v>
      </c>
      <c r="E6" s="8">
        <f>'BTF + frac massique'!E6-$F6</f>
        <v>19.5</v>
      </c>
      <c r="F6" s="9">
        <f>MEDIAN('BTF + frac massique'!B6:E6)</f>
        <v>33.5</v>
      </c>
      <c r="G6" s="9">
        <f t="array" ref="G6">MEDIAN(ABS(B6:E6))</f>
        <v>20.5</v>
      </c>
      <c r="H6" s="9">
        <f t="shared" si="0"/>
        <v>30.75</v>
      </c>
      <c r="I6" s="9">
        <f t="shared" si="1"/>
        <v>13</v>
      </c>
      <c r="J6" s="9">
        <f t="shared" si="2"/>
        <v>64.25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9" t="s">
        <v>17</v>
      </c>
      <c r="B7" s="8">
        <f>'BTF + frac massique'!B7-$F7</f>
        <v>-59</v>
      </c>
      <c r="C7" s="8">
        <f>'BTF + frac massique'!C7-$F7</f>
        <v>-3</v>
      </c>
      <c r="D7" s="8">
        <f>'BTF + frac massique'!D7-$F7</f>
        <v>3</v>
      </c>
      <c r="E7" s="8">
        <f>'BTF + frac massique'!E7-$F7</f>
        <v>43</v>
      </c>
      <c r="F7" s="9">
        <f>MEDIAN('BTF + frac massique'!B7:E7)</f>
        <v>3</v>
      </c>
      <c r="G7" s="9">
        <f t="array" ref="G7">MEDIAN(ABS(B7:E7))</f>
        <v>23</v>
      </c>
      <c r="H7" s="9">
        <f t="shared" si="0"/>
        <v>34.5</v>
      </c>
      <c r="I7" s="9">
        <f t="shared" si="1"/>
        <v>-20</v>
      </c>
      <c r="J7" s="9">
        <f t="shared" si="2"/>
        <v>37.5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9" t="s">
        <v>26</v>
      </c>
      <c r="B11" s="9" t="s">
        <v>0</v>
      </c>
      <c r="C11" s="9" t="s">
        <v>1</v>
      </c>
      <c r="D11" s="9" t="s">
        <v>2</v>
      </c>
      <c r="E11" s="9" t="s">
        <v>3</v>
      </c>
      <c r="F11" s="7"/>
      <c r="G11" s="9" t="s">
        <v>27</v>
      </c>
      <c r="H11" s="9" t="s">
        <v>0</v>
      </c>
      <c r="I11" s="9" t="s">
        <v>1</v>
      </c>
      <c r="J11" s="9" t="s">
        <v>2</v>
      </c>
      <c r="K11" s="9" t="s">
        <v>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9" t="s">
        <v>7</v>
      </c>
      <c r="B12" s="9">
        <v>22.4</v>
      </c>
      <c r="C12" s="9">
        <v>2</v>
      </c>
      <c r="D12" s="9">
        <v>30</v>
      </c>
      <c r="E12" s="9">
        <v>29.5</v>
      </c>
      <c r="F12" s="7"/>
      <c r="G12" s="9" t="s">
        <v>7</v>
      </c>
      <c r="H12" s="9">
        <v>2</v>
      </c>
      <c r="I12" s="9">
        <v>0</v>
      </c>
      <c r="J12" s="9">
        <v>4</v>
      </c>
      <c r="K12" s="9">
        <v>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9" t="s">
        <v>9</v>
      </c>
      <c r="B13" s="9">
        <v>5.9</v>
      </c>
      <c r="C13" s="9">
        <v>6.4</v>
      </c>
      <c r="D13" s="9">
        <v>10</v>
      </c>
      <c r="E13" s="9">
        <v>110</v>
      </c>
      <c r="F13" s="7"/>
      <c r="G13" s="9" t="s">
        <v>9</v>
      </c>
      <c r="H13" s="9">
        <v>0</v>
      </c>
      <c r="I13" s="9">
        <v>2</v>
      </c>
      <c r="J13" s="9">
        <v>3</v>
      </c>
      <c r="K13" s="9">
        <v>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9" t="s">
        <v>11</v>
      </c>
      <c r="B14" s="9">
        <v>4.5</v>
      </c>
      <c r="C14" s="9">
        <v>2.4</v>
      </c>
      <c r="D14" s="9">
        <v>16.899999999999999</v>
      </c>
      <c r="E14" s="9">
        <v>0.3</v>
      </c>
      <c r="F14" s="7"/>
      <c r="G14" s="9" t="s">
        <v>11</v>
      </c>
      <c r="H14" s="9">
        <v>3</v>
      </c>
      <c r="I14" s="9">
        <v>2</v>
      </c>
      <c r="J14" s="9">
        <v>5</v>
      </c>
      <c r="K14" s="9"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9" t="s">
        <v>13</v>
      </c>
      <c r="B15" s="9">
        <v>5</v>
      </c>
      <c r="C15" s="9">
        <v>16</v>
      </c>
      <c r="D15" s="9">
        <v>10</v>
      </c>
      <c r="E15" s="9">
        <v>1.5</v>
      </c>
      <c r="F15" s="7"/>
      <c r="G15" s="9" t="s">
        <v>13</v>
      </c>
      <c r="H15" s="9">
        <v>1</v>
      </c>
      <c r="I15" s="9">
        <v>5</v>
      </c>
      <c r="J15" s="9">
        <v>4</v>
      </c>
      <c r="K15" s="9">
        <v>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9" t="s">
        <v>15</v>
      </c>
      <c r="B16" s="9">
        <v>75</v>
      </c>
      <c r="C16" s="9">
        <v>12</v>
      </c>
      <c r="D16" s="9">
        <v>14</v>
      </c>
      <c r="E16" s="9">
        <v>53</v>
      </c>
      <c r="F16" s="7"/>
      <c r="G16" s="9" t="s">
        <v>15</v>
      </c>
      <c r="H16" s="9">
        <v>5</v>
      </c>
      <c r="I16" s="9">
        <v>0</v>
      </c>
      <c r="J16" s="9">
        <v>2</v>
      </c>
      <c r="K16" s="9">
        <v>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9" t="s">
        <v>17</v>
      </c>
      <c r="B17" s="9">
        <f>19-75</f>
        <v>-56</v>
      </c>
      <c r="C17" s="9">
        <v>0</v>
      </c>
      <c r="D17" s="9">
        <v>6</v>
      </c>
      <c r="E17" s="9">
        <f>53-7</f>
        <v>46</v>
      </c>
      <c r="F17" s="7"/>
      <c r="G17" s="9" t="s">
        <v>17</v>
      </c>
      <c r="H17" s="9">
        <v>0</v>
      </c>
      <c r="I17" s="9">
        <v>2</v>
      </c>
      <c r="J17" s="9">
        <v>3</v>
      </c>
      <c r="K17" s="9">
        <v>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10" t="s">
        <v>28</v>
      </c>
      <c r="B20" s="9" t="s">
        <v>0</v>
      </c>
      <c r="C20" s="9" t="s">
        <v>1</v>
      </c>
      <c r="D20" s="9" t="s">
        <v>2</v>
      </c>
      <c r="E20" s="9" t="s">
        <v>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11" t="s">
        <v>29</v>
      </c>
      <c r="B21" s="12">
        <f t="shared" ref="B21:E21" si="3">SUM(H12:H14)</f>
        <v>5</v>
      </c>
      <c r="C21" s="12">
        <f t="shared" si="3"/>
        <v>4</v>
      </c>
      <c r="D21" s="12">
        <f t="shared" si="3"/>
        <v>12</v>
      </c>
      <c r="E21" s="12">
        <f t="shared" si="3"/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11" t="s">
        <v>30</v>
      </c>
      <c r="B22" s="12">
        <f t="shared" ref="B22:E22" si="4">SUM(H12:H15)</f>
        <v>6</v>
      </c>
      <c r="C22" s="12">
        <f t="shared" si="4"/>
        <v>9</v>
      </c>
      <c r="D22" s="12">
        <f t="shared" si="4"/>
        <v>16</v>
      </c>
      <c r="E22" s="12">
        <f t="shared" si="4"/>
        <v>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11" t="s">
        <v>31</v>
      </c>
      <c r="B23" s="12">
        <f t="shared" ref="B23:E23" si="5">SUM(H12:H16)</f>
        <v>11</v>
      </c>
      <c r="C23" s="12">
        <f t="shared" si="5"/>
        <v>9</v>
      </c>
      <c r="D23" s="12">
        <f t="shared" si="5"/>
        <v>18</v>
      </c>
      <c r="E23" s="12">
        <f t="shared" si="5"/>
        <v>11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11" t="s">
        <v>32</v>
      </c>
      <c r="B24" s="12">
        <f t="shared" ref="B24:E24" si="6">SUM(H12:H15,H17)</f>
        <v>6</v>
      </c>
      <c r="C24" s="12">
        <f t="shared" si="6"/>
        <v>11</v>
      </c>
      <c r="D24" s="12">
        <f t="shared" si="6"/>
        <v>19</v>
      </c>
      <c r="E24" s="12">
        <f t="shared" si="6"/>
        <v>13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13" t="s">
        <v>33</v>
      </c>
      <c r="B25" s="14">
        <f t="shared" ref="B25:E25" si="7">SUM(H12:H17)</f>
        <v>11</v>
      </c>
      <c r="C25" s="14">
        <f t="shared" si="7"/>
        <v>11</v>
      </c>
      <c r="D25" s="14">
        <f t="shared" si="7"/>
        <v>21</v>
      </c>
      <c r="E25" s="14">
        <f t="shared" si="7"/>
        <v>16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conditionalFormatting sqref="B12:E17">
    <cfRule type="cellIs" dxfId="1" priority="1" operator="lessThan">
      <formula>$I2</formula>
    </cfRule>
    <cfRule type="cellIs" dxfId="0" priority="2" operator="greaterThan">
      <formula>$J2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H20" sqref="H20"/>
    </sheetView>
  </sheetViews>
  <sheetFormatPr baseColWidth="10" defaultColWidth="11.125" defaultRowHeight="15" customHeight="1" x14ac:dyDescent="0.25"/>
  <cols>
    <col min="1" max="1" width="13.875" customWidth="1"/>
    <col min="2" max="6" width="10.875" customWidth="1"/>
    <col min="7" max="7" width="26.875" customWidth="1"/>
    <col min="8" max="11" width="10.875" customWidth="1"/>
    <col min="12" max="26" width="10.5" customWidth="1"/>
  </cols>
  <sheetData>
    <row r="1" spans="1:26" ht="15.75" customHeight="1" x14ac:dyDescent="0.25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7"/>
      <c r="G1" s="15" t="s">
        <v>34</v>
      </c>
      <c r="H1" s="16" t="s">
        <v>0</v>
      </c>
      <c r="I1" s="16" t="s">
        <v>1</v>
      </c>
      <c r="J1" s="16" t="s">
        <v>2</v>
      </c>
      <c r="K1" s="16" t="s">
        <v>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5">
      <c r="A2" s="16" t="s">
        <v>7</v>
      </c>
      <c r="B2" s="15">
        <f>'BTF + frac massique'!B2</f>
        <v>14.89</v>
      </c>
      <c r="C2" s="15">
        <f>'BTF + frac massique'!C2</f>
        <v>1.9</v>
      </c>
      <c r="D2" s="15">
        <f>'BTF + frac massique'!D2</f>
        <v>17</v>
      </c>
      <c r="E2" s="15">
        <f>'BTF + frac massique'!E2</f>
        <v>28</v>
      </c>
      <c r="F2" s="17"/>
      <c r="G2" s="16" t="s">
        <v>7</v>
      </c>
      <c r="H2" s="18">
        <f t="shared" ref="H2:K2" si="0">(B2-MIN($B2:$E2))/(MAX($B2:$E2)-MIN($B2:$E2))</f>
        <v>0.49770114942528731</v>
      </c>
      <c r="I2" s="18">
        <f t="shared" si="0"/>
        <v>0</v>
      </c>
      <c r="J2" s="18">
        <f t="shared" si="0"/>
        <v>0.57854406130268199</v>
      </c>
      <c r="K2" s="18">
        <f t="shared" si="0"/>
        <v>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5">
      <c r="A3" s="16" t="s">
        <v>9</v>
      </c>
      <c r="B3" s="15">
        <f>'BTF + frac massique'!B3</f>
        <v>162.80000000000001</v>
      </c>
      <c r="C3" s="15">
        <f>'BTF + frac massique'!C3</f>
        <v>19.899999999999999</v>
      </c>
      <c r="D3" s="15">
        <f>'BTF + frac massique'!D3</f>
        <v>326</v>
      </c>
      <c r="E3" s="15">
        <f>'BTF + frac massique'!E3</f>
        <v>514</v>
      </c>
      <c r="F3" s="17"/>
      <c r="G3" s="16" t="s">
        <v>9</v>
      </c>
      <c r="H3" s="18">
        <f t="shared" ref="H3:K3" si="1">(B3-MIN($B3:$E3))/(MAX($B3:$E3)-MIN($B3:$E3))</f>
        <v>0.28921270997773729</v>
      </c>
      <c r="I3" s="18">
        <f t="shared" si="1"/>
        <v>0</v>
      </c>
      <c r="J3" s="18">
        <f t="shared" si="1"/>
        <v>0.61951022060311678</v>
      </c>
      <c r="K3" s="18">
        <f t="shared" si="1"/>
        <v>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5">
      <c r="A4" s="16" t="s">
        <v>11</v>
      </c>
      <c r="B4" s="15">
        <f>'BTF + frac massique'!B4</f>
        <v>4.5</v>
      </c>
      <c r="C4" s="15">
        <f>'BTF + frac massique'!C4</f>
        <v>2.4</v>
      </c>
      <c r="D4" s="15">
        <f>'BTF + frac massique'!D4</f>
        <v>16.899999999999999</v>
      </c>
      <c r="E4" s="15">
        <f>'BTF + frac massique'!E4</f>
        <v>0.3</v>
      </c>
      <c r="F4" s="17"/>
      <c r="G4" s="16" t="s">
        <v>11</v>
      </c>
      <c r="H4" s="18">
        <f t="shared" ref="H4:K4" si="2">(B4-MIN($B4:$E4))/(MAX($B4:$E4)-MIN($B4:$E4))</f>
        <v>0.25301204819277112</v>
      </c>
      <c r="I4" s="18">
        <f t="shared" si="2"/>
        <v>0.12650602409638556</v>
      </c>
      <c r="J4" s="18">
        <f t="shared" si="2"/>
        <v>1</v>
      </c>
      <c r="K4" s="18">
        <f t="shared" si="2"/>
        <v>0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5">
      <c r="A5" s="16" t="s">
        <v>13</v>
      </c>
      <c r="B5" s="15">
        <f>'BTF + frac massique'!B5</f>
        <v>5</v>
      </c>
      <c r="C5" s="15">
        <f>'BTF + frac massique'!C5</f>
        <v>16</v>
      </c>
      <c r="D5" s="15">
        <f>'BTF + frac massique'!D5</f>
        <v>10</v>
      </c>
      <c r="E5" s="15">
        <f>'BTF + frac massique'!E5</f>
        <v>1.5</v>
      </c>
      <c r="F5" s="17"/>
      <c r="G5" s="16" t="s">
        <v>13</v>
      </c>
      <c r="H5" s="18">
        <f t="shared" ref="H5:K5" si="3">(B5-MIN($B5:$E5))/(MAX($B5:$E5)-MIN($B5:$E5))</f>
        <v>0.2413793103448276</v>
      </c>
      <c r="I5" s="18">
        <f t="shared" si="3"/>
        <v>1</v>
      </c>
      <c r="J5" s="18">
        <f t="shared" si="3"/>
        <v>0.58620689655172409</v>
      </c>
      <c r="K5" s="18">
        <f t="shared" si="3"/>
        <v>0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5">
      <c r="A6" s="16" t="s">
        <v>15</v>
      </c>
      <c r="B6" s="15">
        <f>'BTF + frac massique'!B6</f>
        <v>75</v>
      </c>
      <c r="C6" s="15">
        <f>'BTF + frac massique'!C6</f>
        <v>12</v>
      </c>
      <c r="D6" s="15">
        <f>'BTF + frac massique'!D6</f>
        <v>14</v>
      </c>
      <c r="E6" s="15">
        <f>'BTF + frac massique'!E6</f>
        <v>53</v>
      </c>
      <c r="F6" s="17"/>
      <c r="G6" s="16" t="s">
        <v>15</v>
      </c>
      <c r="H6" s="18">
        <f t="shared" ref="H6:K6" si="4">(B6-MIN($B6:$E6))/(MAX($B6:$E6)-MIN($B6:$E6))</f>
        <v>1</v>
      </c>
      <c r="I6" s="18">
        <f t="shared" si="4"/>
        <v>0</v>
      </c>
      <c r="J6" s="18">
        <f t="shared" si="4"/>
        <v>3.1746031746031744E-2</v>
      </c>
      <c r="K6" s="18">
        <f t="shared" si="4"/>
        <v>0.65079365079365081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5">
      <c r="A7" s="16" t="s">
        <v>17</v>
      </c>
      <c r="B7" s="15">
        <f>'BTF + frac massique'!B7</f>
        <v>-56</v>
      </c>
      <c r="C7" s="15">
        <f>'BTF + frac massique'!C7</f>
        <v>0</v>
      </c>
      <c r="D7" s="15">
        <f>'BTF + frac massique'!D7</f>
        <v>6</v>
      </c>
      <c r="E7" s="15">
        <f>'BTF + frac massique'!E7</f>
        <v>46</v>
      </c>
      <c r="F7" s="17"/>
      <c r="G7" s="16" t="s">
        <v>17</v>
      </c>
      <c r="H7" s="18">
        <f t="shared" ref="H7:K7" si="5">(B7-MIN($B7:$E7))/(MAX($B7:$E7)-MIN($B7:$E7))</f>
        <v>0</v>
      </c>
      <c r="I7" s="18">
        <f t="shared" si="5"/>
        <v>0.5490196078431373</v>
      </c>
      <c r="J7" s="18">
        <f t="shared" si="5"/>
        <v>0.60784313725490191</v>
      </c>
      <c r="K7" s="18">
        <f t="shared" si="5"/>
        <v>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5">
      <c r="A9" s="17"/>
      <c r="B9" s="17"/>
      <c r="C9" s="17"/>
      <c r="D9" s="17"/>
      <c r="E9" s="17"/>
      <c r="F9" s="17"/>
      <c r="G9" s="10" t="s">
        <v>28</v>
      </c>
      <c r="H9" s="16" t="s">
        <v>0</v>
      </c>
      <c r="I9" s="16" t="s">
        <v>1</v>
      </c>
      <c r="J9" s="16" t="s">
        <v>2</v>
      </c>
      <c r="K9" s="16" t="s">
        <v>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5">
      <c r="A10" s="17"/>
      <c r="B10" s="17"/>
      <c r="C10" s="17"/>
      <c r="D10" s="17"/>
      <c r="E10" s="17"/>
      <c r="F10" s="17"/>
      <c r="G10" s="11" t="s">
        <v>29</v>
      </c>
      <c r="H10" s="18">
        <f t="shared" ref="H10:K10" si="6">SUM(H2:H4)</f>
        <v>1.0399259075957956</v>
      </c>
      <c r="I10" s="18">
        <f t="shared" si="6"/>
        <v>0.12650602409638556</v>
      </c>
      <c r="J10" s="18">
        <f t="shared" si="6"/>
        <v>2.1980542819057987</v>
      </c>
      <c r="K10" s="19">
        <f t="shared" si="6"/>
        <v>2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5">
      <c r="A11" s="17"/>
      <c r="B11" s="17"/>
      <c r="C11" s="17"/>
      <c r="D11" s="17"/>
      <c r="E11" s="17"/>
      <c r="F11" s="17"/>
      <c r="G11" s="11" t="s">
        <v>30</v>
      </c>
      <c r="H11" s="18">
        <f t="shared" ref="H11:K11" si="7">SUM(H2:H5)</f>
        <v>1.2813052179406232</v>
      </c>
      <c r="I11" s="18">
        <f t="shared" si="7"/>
        <v>1.1265060240963856</v>
      </c>
      <c r="J11" s="18">
        <f t="shared" si="7"/>
        <v>2.7842611784575229</v>
      </c>
      <c r="K11" s="19">
        <f t="shared" si="7"/>
        <v>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5">
      <c r="A12" s="17"/>
      <c r="B12" s="17"/>
      <c r="C12" s="17"/>
      <c r="D12" s="17"/>
      <c r="E12" s="17"/>
      <c r="F12" s="17"/>
      <c r="G12" s="11" t="s">
        <v>31</v>
      </c>
      <c r="H12" s="18">
        <f t="shared" ref="H12:K12" si="8">SUM(H2:H6)</f>
        <v>2.2813052179406235</v>
      </c>
      <c r="I12" s="18">
        <f t="shared" si="8"/>
        <v>1.1265060240963856</v>
      </c>
      <c r="J12" s="18">
        <f t="shared" si="8"/>
        <v>2.8160072102035545</v>
      </c>
      <c r="K12" s="19">
        <f t="shared" si="8"/>
        <v>2.6507936507936507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5">
      <c r="A13" s="17"/>
      <c r="B13" s="17"/>
      <c r="C13" s="17"/>
      <c r="D13" s="17"/>
      <c r="E13" s="17"/>
      <c r="F13" s="17"/>
      <c r="G13" s="11" t="s">
        <v>32</v>
      </c>
      <c r="H13" s="18">
        <f t="shared" ref="H13:K13" si="9">SUM(H2:H5,H7)</f>
        <v>1.2813052179406232</v>
      </c>
      <c r="I13" s="18">
        <f t="shared" si="9"/>
        <v>1.6755256319395229</v>
      </c>
      <c r="J13" s="18">
        <f t="shared" si="9"/>
        <v>3.3921043157124249</v>
      </c>
      <c r="K13" s="19">
        <f t="shared" si="9"/>
        <v>3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5">
      <c r="A14" s="17"/>
      <c r="B14" s="17"/>
      <c r="C14" s="17"/>
      <c r="D14" s="17"/>
      <c r="E14" s="17"/>
      <c r="F14" s="17"/>
      <c r="G14" s="13" t="s">
        <v>33</v>
      </c>
      <c r="H14" s="20">
        <f t="shared" ref="H14:K14" si="10">SUM(H2:H7)</f>
        <v>2.2813052179406235</v>
      </c>
      <c r="I14" s="20">
        <f t="shared" si="10"/>
        <v>1.6755256319395229</v>
      </c>
      <c r="J14" s="20">
        <f t="shared" si="10"/>
        <v>3.4238503474584565</v>
      </c>
      <c r="K14" s="21">
        <f t="shared" si="10"/>
        <v>3.6507936507936507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15E0-25E1-4F28-8711-36900CA9F3AA}">
  <dimension ref="A1:T24"/>
  <sheetViews>
    <sheetView tabSelected="1" workbookViewId="0">
      <selection activeCell="D11" sqref="D11"/>
    </sheetView>
  </sheetViews>
  <sheetFormatPr baseColWidth="10" defaultRowHeight="15.75" x14ac:dyDescent="0.25"/>
  <cols>
    <col min="2" max="2" width="7.75" bestFit="1" customWidth="1"/>
    <col min="3" max="3" width="12.125" bestFit="1" customWidth="1"/>
    <col min="4" max="4" width="17.75" bestFit="1" customWidth="1"/>
    <col min="6" max="6" width="23.25" bestFit="1" customWidth="1"/>
    <col min="11" max="11" width="14.25" bestFit="1" customWidth="1"/>
    <col min="13" max="13" width="14.25" bestFit="1" customWidth="1"/>
    <col min="14" max="17" width="8.375" bestFit="1" customWidth="1"/>
    <col min="18" max="18" width="6" bestFit="1" customWidth="1"/>
  </cols>
  <sheetData>
    <row r="1" spans="1:20" x14ac:dyDescent="0.25">
      <c r="A1" s="45" t="s">
        <v>58</v>
      </c>
      <c r="B1" s="45" t="s">
        <v>59</v>
      </c>
      <c r="C1" s="46" t="s">
        <v>61</v>
      </c>
      <c r="D1" s="45" t="s">
        <v>60</v>
      </c>
      <c r="F1" s="45"/>
      <c r="G1" s="46" t="s">
        <v>63</v>
      </c>
      <c r="H1" s="52" t="s">
        <v>75</v>
      </c>
      <c r="I1" s="45"/>
      <c r="M1" s="45"/>
      <c r="N1" s="46" t="s">
        <v>71</v>
      </c>
      <c r="O1" s="46" t="s">
        <v>72</v>
      </c>
      <c r="P1" s="46" t="s">
        <v>73</v>
      </c>
      <c r="Q1" s="46" t="s">
        <v>3</v>
      </c>
      <c r="R1" s="45"/>
    </row>
    <row r="2" spans="1:20" x14ac:dyDescent="0.25">
      <c r="A2" s="49" t="s">
        <v>63</v>
      </c>
      <c r="B2" s="46" t="s">
        <v>70</v>
      </c>
      <c r="C2" s="45">
        <v>93265.037400000001</v>
      </c>
      <c r="D2" s="45">
        <v>19326.332999999999</v>
      </c>
      <c r="F2" s="46" t="s">
        <v>76</v>
      </c>
      <c r="G2" s="45">
        <v>7.7999999999999996E-3</v>
      </c>
      <c r="H2" s="45">
        <v>7.7999999999999996E-3</v>
      </c>
      <c r="I2" s="45"/>
      <c r="M2" s="46" t="s">
        <v>74</v>
      </c>
      <c r="N2" s="47">
        <v>2700</v>
      </c>
      <c r="O2" s="47">
        <v>4430</v>
      </c>
      <c r="P2" s="47">
        <v>7800</v>
      </c>
      <c r="Q2" s="47">
        <v>1600</v>
      </c>
      <c r="R2" s="46" t="s">
        <v>68</v>
      </c>
    </row>
    <row r="3" spans="1:20" x14ac:dyDescent="0.25">
      <c r="A3" s="50"/>
      <c r="B3" s="46" t="s">
        <v>62</v>
      </c>
      <c r="C3" s="45">
        <v>91663.231</v>
      </c>
      <c r="D3" s="45">
        <v>21802.662</v>
      </c>
      <c r="F3" s="46" t="s">
        <v>77</v>
      </c>
      <c r="G3" s="45">
        <v>15000</v>
      </c>
      <c r="H3" s="45">
        <f>(64.5-62.1)*1000</f>
        <v>2399.9999999999986</v>
      </c>
      <c r="I3" s="46" t="s">
        <v>83</v>
      </c>
      <c r="M3" s="46" t="s">
        <v>64</v>
      </c>
      <c r="N3" s="47">
        <v>73100000000</v>
      </c>
      <c r="O3" s="47">
        <v>113800000000</v>
      </c>
      <c r="P3" s="47">
        <v>207000000000</v>
      </c>
      <c r="Q3" s="47">
        <v>150000000000</v>
      </c>
      <c r="R3" s="46" t="s">
        <v>69</v>
      </c>
    </row>
    <row r="4" spans="1:20" x14ac:dyDescent="0.25">
      <c r="A4" s="50"/>
      <c r="B4" s="46" t="s">
        <v>48</v>
      </c>
      <c r="C4" s="45">
        <v>139678.72399999999</v>
      </c>
      <c r="D4" s="45">
        <v>72851.847999999998</v>
      </c>
      <c r="F4" s="46" t="s">
        <v>78</v>
      </c>
      <c r="G4" s="46" t="s">
        <v>84</v>
      </c>
      <c r="H4" s="46" t="s">
        <v>84</v>
      </c>
      <c r="I4" s="46" t="s">
        <v>85</v>
      </c>
      <c r="M4" s="46" t="s">
        <v>65</v>
      </c>
      <c r="N4" s="47">
        <f>N3/2/1.33</f>
        <v>27481203007.518795</v>
      </c>
      <c r="O4" s="47">
        <f>O3/2/1.33</f>
        <v>42781954887.21804</v>
      </c>
      <c r="P4" s="47">
        <f>P3/2/1.33</f>
        <v>77819548872.18045</v>
      </c>
      <c r="Q4" s="47">
        <f>Q3/2/1.33</f>
        <v>56390977443.609016</v>
      </c>
      <c r="R4" s="46" t="s">
        <v>69</v>
      </c>
    </row>
    <row r="5" spans="1:20" x14ac:dyDescent="0.25">
      <c r="A5" s="51"/>
      <c r="B5" s="46" t="s">
        <v>3</v>
      </c>
      <c r="C5" s="45">
        <v>95147.388999999996</v>
      </c>
      <c r="D5" s="45">
        <v>11201.518</v>
      </c>
      <c r="F5" s="46" t="s">
        <v>79</v>
      </c>
      <c r="G5" s="47">
        <v>14307000</v>
      </c>
      <c r="H5" s="47">
        <v>5093000</v>
      </c>
      <c r="I5" s="46" t="s">
        <v>86</v>
      </c>
      <c r="M5" s="46" t="s">
        <v>66</v>
      </c>
      <c r="N5" s="47">
        <v>420000000</v>
      </c>
      <c r="O5" s="47">
        <v>880000000</v>
      </c>
      <c r="P5" s="47">
        <v>375000000</v>
      </c>
      <c r="Q5" s="47">
        <v>880000000</v>
      </c>
      <c r="R5" s="46" t="s">
        <v>69</v>
      </c>
    </row>
    <row r="6" spans="1:20" x14ac:dyDescent="0.25">
      <c r="A6" s="49" t="s">
        <v>75</v>
      </c>
      <c r="B6" s="46" t="s">
        <v>70</v>
      </c>
      <c r="C6" s="45">
        <v>6401.8860000000004</v>
      </c>
      <c r="D6" s="45">
        <v>3713.221</v>
      </c>
      <c r="F6" s="46" t="s">
        <v>80</v>
      </c>
      <c r="G6" s="46">
        <v>128000</v>
      </c>
      <c r="H6" s="45">
        <f>42092-8097-(H8*2)+H3</f>
        <v>28644</v>
      </c>
      <c r="I6" s="46" t="s">
        <v>83</v>
      </c>
      <c r="J6" s="45">
        <f>42092-8097</f>
        <v>33995</v>
      </c>
      <c r="M6" s="46" t="s">
        <v>67</v>
      </c>
      <c r="N6" s="47">
        <f>N5/1.5</f>
        <v>280000000</v>
      </c>
      <c r="O6" s="47">
        <f>O5/1.5</f>
        <v>586666666.66666663</v>
      </c>
      <c r="P6" s="47">
        <f>P5/1.5</f>
        <v>250000000</v>
      </c>
      <c r="Q6" s="47">
        <f>Q5/1.5</f>
        <v>586666666.66666663</v>
      </c>
      <c r="R6" s="46" t="s">
        <v>69</v>
      </c>
    </row>
    <row r="7" spans="1:20" x14ac:dyDescent="0.25">
      <c r="A7" s="50"/>
      <c r="B7" s="46" t="s">
        <v>62</v>
      </c>
      <c r="C7" s="45">
        <v>6683.6120000000001</v>
      </c>
      <c r="D7" s="45">
        <v>5914.9859999999999</v>
      </c>
      <c r="F7" s="46" t="s">
        <v>87</v>
      </c>
      <c r="G7" s="46">
        <v>10000</v>
      </c>
      <c r="H7" s="45">
        <f>10000</f>
        <v>10000</v>
      </c>
      <c r="I7" s="46" t="s">
        <v>83</v>
      </c>
      <c r="P7" s="43"/>
      <c r="Q7" s="43"/>
      <c r="R7" s="44"/>
      <c r="S7" s="43"/>
    </row>
    <row r="8" spans="1:20" x14ac:dyDescent="0.25">
      <c r="A8" s="50"/>
      <c r="B8" s="46" t="s">
        <v>48</v>
      </c>
      <c r="C8" s="45">
        <v>7514.4409999999998</v>
      </c>
      <c r="D8" s="45">
        <v>6799.2740000000003</v>
      </c>
      <c r="F8" s="46" t="s">
        <v>81</v>
      </c>
      <c r="G8" s="47">
        <v>10000</v>
      </c>
      <c r="H8" s="45">
        <f>7751/2</f>
        <v>3875.5</v>
      </c>
      <c r="I8" s="46" t="s">
        <v>83</v>
      </c>
      <c r="Q8" s="43"/>
      <c r="R8" s="44"/>
      <c r="S8" s="43"/>
      <c r="T8" s="43"/>
    </row>
    <row r="9" spans="1:20" x14ac:dyDescent="0.25">
      <c r="A9" s="51"/>
      <c r="B9" s="46" t="s">
        <v>3</v>
      </c>
      <c r="C9" s="45">
        <v>5919.6120000000001</v>
      </c>
      <c r="D9" s="45">
        <v>1916.578</v>
      </c>
      <c r="F9" s="46" t="s">
        <v>82</v>
      </c>
      <c r="G9" s="46" t="s">
        <v>88</v>
      </c>
      <c r="H9" s="46" t="s">
        <v>92</v>
      </c>
      <c r="I9" s="46" t="s">
        <v>86</v>
      </c>
      <c r="Q9" s="43"/>
      <c r="R9" s="44"/>
      <c r="S9" s="43"/>
    </row>
    <row r="10" spans="1:20" x14ac:dyDescent="0.25">
      <c r="F10" s="46" t="s">
        <v>89</v>
      </c>
      <c r="G10" s="47">
        <v>200000</v>
      </c>
      <c r="H10" s="45">
        <v>18678</v>
      </c>
      <c r="I10" s="46" t="s">
        <v>83</v>
      </c>
      <c r="Q10" s="43"/>
      <c r="R10" s="44"/>
      <c r="S10" s="43"/>
    </row>
    <row r="11" spans="1:20" x14ac:dyDescent="0.25">
      <c r="F11" s="46" t="s">
        <v>90</v>
      </c>
      <c r="G11" s="46">
        <v>0.85</v>
      </c>
      <c r="H11" s="45">
        <v>0.78</v>
      </c>
      <c r="I11" s="45"/>
      <c r="Q11" s="43"/>
      <c r="R11" s="44"/>
      <c r="S11" s="43"/>
    </row>
    <row r="12" spans="1:20" x14ac:dyDescent="0.25">
      <c r="F12" s="46" t="s">
        <v>91</v>
      </c>
      <c r="G12" s="48">
        <v>0.64</v>
      </c>
      <c r="H12" s="45">
        <v>0.57999999999999996</v>
      </c>
      <c r="I12" s="45"/>
      <c r="P12" s="43"/>
      <c r="Q12" s="43"/>
      <c r="R12" s="44"/>
      <c r="S12" s="43"/>
    </row>
    <row r="13" spans="1:20" x14ac:dyDescent="0.25">
      <c r="Q13" s="43"/>
      <c r="R13" s="44"/>
      <c r="S13" s="43"/>
    </row>
    <row r="14" spans="1:20" x14ac:dyDescent="0.25">
      <c r="Q14" s="43"/>
      <c r="R14" s="44"/>
      <c r="S14" s="43"/>
    </row>
    <row r="15" spans="1:20" x14ac:dyDescent="0.25">
      <c r="Q15" s="43"/>
      <c r="R15" s="44"/>
      <c r="S15" s="43"/>
    </row>
    <row r="16" spans="1:20" x14ac:dyDescent="0.25">
      <c r="Q16" s="43"/>
      <c r="R16" s="44"/>
      <c r="S16" s="43"/>
    </row>
    <row r="17" spans="15:20" x14ac:dyDescent="0.25">
      <c r="P17" s="43"/>
    </row>
    <row r="19" spans="15:20" x14ac:dyDescent="0.25">
      <c r="P19" s="43"/>
      <c r="Q19" s="43"/>
      <c r="R19" s="43"/>
      <c r="S19" s="43"/>
    </row>
    <row r="20" spans="15:20" x14ac:dyDescent="0.25">
      <c r="O20" s="43"/>
      <c r="P20" s="44"/>
      <c r="Q20" s="44"/>
      <c r="R20" s="44"/>
      <c r="T20" s="43"/>
    </row>
    <row r="21" spans="15:20" x14ac:dyDescent="0.25">
      <c r="O21" s="43"/>
      <c r="P21" s="44"/>
      <c r="Q21" s="44"/>
      <c r="R21" s="44"/>
      <c r="T21" s="43"/>
    </row>
    <row r="22" spans="15:20" x14ac:dyDescent="0.25">
      <c r="O22" s="43"/>
      <c r="P22" s="44"/>
      <c r="Q22" s="44"/>
      <c r="R22" s="44"/>
      <c r="T22" s="43"/>
    </row>
    <row r="23" spans="15:20" x14ac:dyDescent="0.25">
      <c r="O23" s="43"/>
      <c r="P23" s="44"/>
      <c r="Q23" s="44"/>
      <c r="R23" s="44"/>
      <c r="T23" s="43"/>
    </row>
    <row r="24" spans="15:20" x14ac:dyDescent="0.25">
      <c r="O24" s="43"/>
      <c r="P24" s="44"/>
      <c r="Q24" s="44"/>
      <c r="R24" s="44"/>
      <c r="T24" s="43"/>
    </row>
  </sheetData>
  <mergeCells count="2">
    <mergeCell ref="A2:A5"/>
    <mergeCell ref="A6:A9"/>
  </mergeCells>
  <hyperlinks>
    <hyperlink ref="H1" r:id="rId1" xr:uid="{0337E4C3-85A6-4D78-902F-B2427BE00D73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F381-2C1E-7D40-B1DC-A9AA5EDB05D2}">
  <dimension ref="A1:B6"/>
  <sheetViews>
    <sheetView workbookViewId="0">
      <selection activeCell="B3" sqref="B3"/>
    </sheetView>
  </sheetViews>
  <sheetFormatPr baseColWidth="10" defaultColWidth="11.125" defaultRowHeight="15.75" x14ac:dyDescent="0.25"/>
  <sheetData>
    <row r="1" spans="1:2" ht="18" x14ac:dyDescent="0.25">
      <c r="A1" s="3" t="s">
        <v>35</v>
      </c>
      <c r="B1" t="s">
        <v>36</v>
      </c>
    </row>
    <row r="2" spans="1:2" ht="18" x14ac:dyDescent="0.25">
      <c r="A2" s="3" t="s">
        <v>8</v>
      </c>
      <c r="B2">
        <v>8177</v>
      </c>
    </row>
    <row r="3" spans="1:2" ht="18" x14ac:dyDescent="0.25">
      <c r="A3" s="3" t="s">
        <v>10</v>
      </c>
      <c r="B3">
        <v>3685</v>
      </c>
    </row>
    <row r="4" spans="1:2" ht="18" x14ac:dyDescent="0.25">
      <c r="A4" s="3" t="s">
        <v>12</v>
      </c>
      <c r="B4">
        <v>13517</v>
      </c>
    </row>
    <row r="5" spans="1:2" ht="18" x14ac:dyDescent="0.25">
      <c r="A5" s="3" t="s">
        <v>14</v>
      </c>
      <c r="B5">
        <v>30601</v>
      </c>
    </row>
    <row r="6" spans="1:2" ht="18" x14ac:dyDescent="0.25">
      <c r="A6" s="3" t="s">
        <v>16</v>
      </c>
      <c r="B6">
        <v>17794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BTF + frac massique</vt:lpstr>
      <vt:lpstr>GHG_Emissions</vt:lpstr>
      <vt:lpstr>Energy_Consumption</vt:lpstr>
      <vt:lpstr>Manufacturing_waste</vt:lpstr>
      <vt:lpstr>Waste</vt:lpstr>
      <vt:lpstr>OWE_vs_Parameters</vt:lpstr>
      <vt:lpstr>Deliveries</vt:lpstr>
      <vt:lpstr>Total Impact 2023</vt:lpstr>
      <vt:lpstr>Score_1</vt:lpstr>
      <vt:lpstr>Score_2</vt:lpstr>
      <vt:lpstr>CeRAS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Shantanu rajendra SAPRE</cp:lastModifiedBy>
  <dcterms:created xsi:type="dcterms:W3CDTF">2022-02-20T16:46:18Z</dcterms:created>
  <dcterms:modified xsi:type="dcterms:W3CDTF">2025-03-13T16:46:21Z</dcterms:modified>
</cp:coreProperties>
</file>